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45232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45232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45232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45232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45232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45232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45232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45232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45232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45232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45232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45232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45232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45232</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45232</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45232</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45232</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45232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45232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45232</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45232</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45232</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45232</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45232</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45232</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45232</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45232</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45232</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45232</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45232</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45232</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45232</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45232</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45232</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45232</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45232</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45232</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45232</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45232</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45232</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45232</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45232</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45232</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45232</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45232</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45232</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45232</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45232</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45232</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45232</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45232</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45232</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45232</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45232</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45232</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45232</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45232</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45232</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45232</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45232</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45232</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45232</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45232</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45232</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8929-2023</t>
        </is>
      </c>
      <c r="B66" s="1" t="n">
        <v>44979</v>
      </c>
      <c r="C66" s="1" t="n">
        <v>45232</v>
      </c>
      <c r="D66" t="inlineStr">
        <is>
          <t>KALMAR LÄN</t>
        </is>
      </c>
      <c r="E66" t="inlineStr">
        <is>
          <t>KALMAR</t>
        </is>
      </c>
      <c r="G66" t="n">
        <v>33.1</v>
      </c>
      <c r="H66" t="n">
        <v>5</v>
      </c>
      <c r="I66" t="n">
        <v>0</v>
      </c>
      <c r="J66" t="n">
        <v>3</v>
      </c>
      <c r="K66" t="n">
        <v>3</v>
      </c>
      <c r="L66" t="n">
        <v>0</v>
      </c>
      <c r="M66" t="n">
        <v>0</v>
      </c>
      <c r="N66" t="n">
        <v>0</v>
      </c>
      <c r="O66" t="n">
        <v>6</v>
      </c>
      <c r="P66" t="n">
        <v>3</v>
      </c>
      <c r="Q66" t="n">
        <v>7</v>
      </c>
      <c r="R66" s="2" t="inlineStr">
        <is>
          <t>Gråtrut
Sandödla
Tofsvipa
Fiskmås
Gullklöver
Kandelabersvamp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20013-2023</t>
        </is>
      </c>
      <c r="B67" s="1" t="n">
        <v>45054</v>
      </c>
      <c r="C67" s="1" t="n">
        <v>45232</v>
      </c>
      <c r="D67" t="inlineStr">
        <is>
          <t>KALMAR LÄN</t>
        </is>
      </c>
      <c r="E67" t="inlineStr">
        <is>
          <t>MÖNSTERÅS</t>
        </is>
      </c>
      <c r="F67" t="inlineStr">
        <is>
          <t>Övriga Aktiebolag</t>
        </is>
      </c>
      <c r="G67" t="n">
        <v>6.7</v>
      </c>
      <c r="H67" t="n">
        <v>7</v>
      </c>
      <c r="I67" t="n">
        <v>0</v>
      </c>
      <c r="J67" t="n">
        <v>4</v>
      </c>
      <c r="K67" t="n">
        <v>0</v>
      </c>
      <c r="L67" t="n">
        <v>0</v>
      </c>
      <c r="M67" t="n">
        <v>0</v>
      </c>
      <c r="N67" t="n">
        <v>0</v>
      </c>
      <c r="O67" t="n">
        <v>4</v>
      </c>
      <c r="P67" t="n">
        <v>0</v>
      </c>
      <c r="Q67" t="n">
        <v>7</v>
      </c>
      <c r="R67" s="2" t="inlineStr">
        <is>
          <t>Barbastell
Brunlångöra
Nordfladdermus
Sydfladdermus
Dvärgpipistrell
Större brunfladdermus
Vattenfladdermus</t>
        </is>
      </c>
      <c r="S67">
        <f>HYPERLINK("https://klasma.github.io/Logging_0861/artfynd/A 20013-2023 artfynd.xlsx", "A 20013-2023")</f>
        <v/>
      </c>
      <c r="T67">
        <f>HYPERLINK("https://klasma.github.io/Logging_0861/kartor/A 20013-2023 karta.png", "A 20013-2023")</f>
        <v/>
      </c>
      <c r="V67">
        <f>HYPERLINK("https://klasma.github.io/Logging_0861/klagomål/A 20013-2023 FSC-klagomål.docx", "A 20013-2023")</f>
        <v/>
      </c>
      <c r="W67">
        <f>HYPERLINK("https://klasma.github.io/Logging_0861/klagomålsmail/A 20013-2023 FSC-klagomål mail.docx", "A 20013-2023")</f>
        <v/>
      </c>
      <c r="X67">
        <f>HYPERLINK("https://klasma.github.io/Logging_0861/tillsyn/A 20013-2023 tillsynsbegäran.docx", "A 20013-2023")</f>
        <v/>
      </c>
      <c r="Y67">
        <f>HYPERLINK("https://klasma.github.io/Logging_0861/tillsynsmail/A 20013-2023 tillsynsbegäran mail.docx", "A 20013-2023")</f>
        <v/>
      </c>
    </row>
    <row r="68" ht="15" customHeight="1">
      <c r="A68" t="inlineStr">
        <is>
          <t>A 35062-2018</t>
        </is>
      </c>
      <c r="B68" s="1" t="n">
        <v>43322</v>
      </c>
      <c r="C68" s="1" t="n">
        <v>45232</v>
      </c>
      <c r="D68" t="inlineStr">
        <is>
          <t>KALMAR LÄN</t>
        </is>
      </c>
      <c r="E68" t="inlineStr">
        <is>
          <t>NYBRO</t>
        </is>
      </c>
      <c r="G68" t="n">
        <v>5.6</v>
      </c>
      <c r="H68" t="n">
        <v>1</v>
      </c>
      <c r="I68" t="n">
        <v>3</v>
      </c>
      <c r="J68" t="n">
        <v>2</v>
      </c>
      <c r="K68" t="n">
        <v>0</v>
      </c>
      <c r="L68" t="n">
        <v>0</v>
      </c>
      <c r="M68" t="n">
        <v>0</v>
      </c>
      <c r="N68" t="n">
        <v>0</v>
      </c>
      <c r="O68" t="n">
        <v>2</v>
      </c>
      <c r="P68" t="n">
        <v>0</v>
      </c>
      <c r="Q68" t="n">
        <v>6</v>
      </c>
      <c r="R68" s="2" t="inlineStr">
        <is>
          <t>Grön aspvedbock
Mindre träfjäril
Blåmossa
Murgröna
Myskmadra
Blåsippa</t>
        </is>
      </c>
      <c r="S68">
        <f>HYPERLINK("https://klasma.github.io/Logging_0881/artfynd/A 35062-2018 artfynd.xlsx", "A 35062-2018")</f>
        <v/>
      </c>
      <c r="T68">
        <f>HYPERLINK("https://klasma.github.io/Logging_0881/kartor/A 35062-2018 karta.png", "A 35062-2018")</f>
        <v/>
      </c>
      <c r="V68">
        <f>HYPERLINK("https://klasma.github.io/Logging_0881/klagomål/A 35062-2018 FSC-klagomål.docx", "A 35062-2018")</f>
        <v/>
      </c>
      <c r="W68">
        <f>HYPERLINK("https://klasma.github.io/Logging_0881/klagomålsmail/A 35062-2018 FSC-klagomål mail.docx", "A 35062-2018")</f>
        <v/>
      </c>
      <c r="X68">
        <f>HYPERLINK("https://klasma.github.io/Logging_0881/tillsyn/A 35062-2018 tillsynsbegäran.docx", "A 35062-2018")</f>
        <v/>
      </c>
      <c r="Y68">
        <f>HYPERLINK("https://klasma.github.io/Logging_0881/tillsynsmail/A 35062-2018 tillsynsbegäran mail.docx", "A 35062-2018")</f>
        <v/>
      </c>
    </row>
    <row r="69" ht="15" customHeight="1">
      <c r="A69" t="inlineStr">
        <is>
          <t>A 68737-2018</t>
        </is>
      </c>
      <c r="B69" s="1" t="n">
        <v>43439</v>
      </c>
      <c r="C69" s="1" t="n">
        <v>45232</v>
      </c>
      <c r="D69" t="inlineStr">
        <is>
          <t>KALMAR LÄN</t>
        </is>
      </c>
      <c r="E69" t="inlineStr">
        <is>
          <t>HÖGSBY</t>
        </is>
      </c>
      <c r="G69" t="n">
        <v>1</v>
      </c>
      <c r="H69" t="n">
        <v>0</v>
      </c>
      <c r="I69" t="n">
        <v>3</v>
      </c>
      <c r="J69" t="n">
        <v>1</v>
      </c>
      <c r="K69" t="n">
        <v>1</v>
      </c>
      <c r="L69" t="n">
        <v>1</v>
      </c>
      <c r="M69" t="n">
        <v>0</v>
      </c>
      <c r="N69" t="n">
        <v>0</v>
      </c>
      <c r="O69" t="n">
        <v>3</v>
      </c>
      <c r="P69" t="n">
        <v>2</v>
      </c>
      <c r="Q69" t="n">
        <v>6</v>
      </c>
      <c r="R69" s="2" t="inlineStr">
        <is>
          <t>Raggtaggsvamp
Koppartaggsvamp
Luddfingersvamp
Fjällig taggsvamp s.str.
Skarp dropptaggsvamp
Tjockfotad fingersvamp</t>
        </is>
      </c>
      <c r="S69">
        <f>HYPERLINK("https://klasma.github.io/Logging_0821/artfynd/A 68737-2018 artfynd.xlsx", "A 68737-2018")</f>
        <v/>
      </c>
      <c r="T69">
        <f>HYPERLINK("https://klasma.github.io/Logging_0821/kartor/A 68737-2018 karta.png", "A 68737-2018")</f>
        <v/>
      </c>
      <c r="V69">
        <f>HYPERLINK("https://klasma.github.io/Logging_0821/klagomål/A 68737-2018 FSC-klagomål.docx", "A 68737-2018")</f>
        <v/>
      </c>
      <c r="W69">
        <f>HYPERLINK("https://klasma.github.io/Logging_0821/klagomålsmail/A 68737-2018 FSC-klagomål mail.docx", "A 68737-2018")</f>
        <v/>
      </c>
      <c r="X69">
        <f>HYPERLINK("https://klasma.github.io/Logging_0821/tillsyn/A 68737-2018 tillsynsbegäran.docx", "A 68737-2018")</f>
        <v/>
      </c>
      <c r="Y69">
        <f>HYPERLINK("https://klasma.github.io/Logging_0821/tillsynsmail/A 68737-2018 tillsynsbegäran mail.docx", "A 68737-2018")</f>
        <v/>
      </c>
    </row>
    <row r="70" ht="15" customHeight="1">
      <c r="A70" t="inlineStr">
        <is>
          <t>A 6097-2019</t>
        </is>
      </c>
      <c r="B70" s="1" t="n">
        <v>43493</v>
      </c>
      <c r="C70" s="1" t="n">
        <v>45232</v>
      </c>
      <c r="D70" t="inlineStr">
        <is>
          <t>KALMAR LÄN</t>
        </is>
      </c>
      <c r="E70" t="inlineStr">
        <is>
          <t>MÖRBYLÅNGA</t>
        </is>
      </c>
      <c r="G70" t="n">
        <v>1.2</v>
      </c>
      <c r="H70" t="n">
        <v>3</v>
      </c>
      <c r="I70" t="n">
        <v>0</v>
      </c>
      <c r="J70" t="n">
        <v>3</v>
      </c>
      <c r="K70" t="n">
        <v>0</v>
      </c>
      <c r="L70" t="n">
        <v>0</v>
      </c>
      <c r="M70" t="n">
        <v>0</v>
      </c>
      <c r="N70" t="n">
        <v>0</v>
      </c>
      <c r="O70" t="n">
        <v>3</v>
      </c>
      <c r="P70" t="n">
        <v>0</v>
      </c>
      <c r="Q70" t="n">
        <v>6</v>
      </c>
      <c r="R70" s="2" t="inlineStr">
        <is>
          <t>Backklöver
Solvända
Ängsskära
Brudsporre
Johannesnycklar
Gullviva</t>
        </is>
      </c>
      <c r="S70">
        <f>HYPERLINK("https://klasma.github.io/Logging_0840/artfynd/A 6097-2019 artfynd.xlsx", "A 6097-2019")</f>
        <v/>
      </c>
      <c r="T70">
        <f>HYPERLINK("https://klasma.github.io/Logging_0840/kartor/A 6097-2019 karta.png", "A 6097-2019")</f>
        <v/>
      </c>
      <c r="V70">
        <f>HYPERLINK("https://klasma.github.io/Logging_0840/klagomål/A 6097-2019 FSC-klagomål.docx", "A 6097-2019")</f>
        <v/>
      </c>
      <c r="W70">
        <f>HYPERLINK("https://klasma.github.io/Logging_0840/klagomålsmail/A 6097-2019 FSC-klagomål mail.docx", "A 6097-2019")</f>
        <v/>
      </c>
      <c r="X70">
        <f>HYPERLINK("https://klasma.github.io/Logging_0840/tillsyn/A 6097-2019 tillsynsbegäran.docx", "A 6097-2019")</f>
        <v/>
      </c>
      <c r="Y70">
        <f>HYPERLINK("https://klasma.github.io/Logging_0840/tillsynsmail/A 6097-2019 tillsynsbegäran mail.docx", "A 6097-2019")</f>
        <v/>
      </c>
    </row>
    <row r="71" ht="15" customHeight="1">
      <c r="A71" t="inlineStr">
        <is>
          <t>A 9921-2019</t>
        </is>
      </c>
      <c r="B71" s="1" t="n">
        <v>43509</v>
      </c>
      <c r="C71" s="1" t="n">
        <v>45232</v>
      </c>
      <c r="D71" t="inlineStr">
        <is>
          <t>KALMAR LÄN</t>
        </is>
      </c>
      <c r="E71" t="inlineStr">
        <is>
          <t>OSKARSHAMN</t>
        </is>
      </c>
      <c r="G71" t="n">
        <v>3.8</v>
      </c>
      <c r="H71" t="n">
        <v>1</v>
      </c>
      <c r="I71" t="n">
        <v>2</v>
      </c>
      <c r="J71" t="n">
        <v>4</v>
      </c>
      <c r="K71" t="n">
        <v>0</v>
      </c>
      <c r="L71" t="n">
        <v>0</v>
      </c>
      <c r="M71" t="n">
        <v>0</v>
      </c>
      <c r="N71" t="n">
        <v>0</v>
      </c>
      <c r="O71" t="n">
        <v>4</v>
      </c>
      <c r="P71" t="n">
        <v>0</v>
      </c>
      <c r="Q71" t="n">
        <v>6</v>
      </c>
      <c r="R71" s="2" t="inlineStr">
        <is>
          <t>Matt pricklav
Strandnarv
Tallticka
Ärtsångare
Blåmossa
Guldlockmossa</t>
        </is>
      </c>
      <c r="S71">
        <f>HYPERLINK("https://klasma.github.io/Logging_0882/artfynd/A 9921-2019 artfynd.xlsx", "A 9921-2019")</f>
        <v/>
      </c>
      <c r="T71">
        <f>HYPERLINK("https://klasma.github.io/Logging_0882/kartor/A 9921-2019 karta.png", "A 9921-2019")</f>
        <v/>
      </c>
      <c r="V71">
        <f>HYPERLINK("https://klasma.github.io/Logging_0882/klagomål/A 9921-2019 FSC-klagomål.docx", "A 9921-2019")</f>
        <v/>
      </c>
      <c r="W71">
        <f>HYPERLINK("https://klasma.github.io/Logging_0882/klagomålsmail/A 9921-2019 FSC-klagomål mail.docx", "A 9921-2019")</f>
        <v/>
      </c>
      <c r="X71">
        <f>HYPERLINK("https://klasma.github.io/Logging_0882/tillsyn/A 9921-2019 tillsynsbegäran.docx", "A 9921-2019")</f>
        <v/>
      </c>
      <c r="Y71">
        <f>HYPERLINK("https://klasma.github.io/Logging_0882/tillsynsmail/A 9921-2019 tillsynsbegäran mail.docx", "A 9921-2019")</f>
        <v/>
      </c>
    </row>
    <row r="72" ht="15" customHeight="1">
      <c r="A72" t="inlineStr">
        <is>
          <t>A 12792-2019</t>
        </is>
      </c>
      <c r="B72" s="1" t="n">
        <v>43525</v>
      </c>
      <c r="C72" s="1" t="n">
        <v>45232</v>
      </c>
      <c r="D72" t="inlineStr">
        <is>
          <t>KALMAR LÄN</t>
        </is>
      </c>
      <c r="E72" t="inlineStr">
        <is>
          <t>BORGHOLM</t>
        </is>
      </c>
      <c r="G72" t="n">
        <v>8.800000000000001</v>
      </c>
      <c r="H72" t="n">
        <v>3</v>
      </c>
      <c r="I72" t="n">
        <v>1</v>
      </c>
      <c r="J72" t="n">
        <v>2</v>
      </c>
      <c r="K72" t="n">
        <v>0</v>
      </c>
      <c r="L72" t="n">
        <v>2</v>
      </c>
      <c r="M72" t="n">
        <v>0</v>
      </c>
      <c r="N72" t="n">
        <v>0</v>
      </c>
      <c r="O72" t="n">
        <v>4</v>
      </c>
      <c r="P72" t="n">
        <v>2</v>
      </c>
      <c r="Q72" t="n">
        <v>6</v>
      </c>
      <c r="R72" s="2" t="inlineStr">
        <is>
          <t>Ask
Nålkörvel
Solvända
Åkerranunkel
Tvåblad
Blåsippa</t>
        </is>
      </c>
      <c r="S72">
        <f>HYPERLINK("https://klasma.github.io/Logging_0885/artfynd/A 12792-2019 artfynd.xlsx", "A 12792-2019")</f>
        <v/>
      </c>
      <c r="T72">
        <f>HYPERLINK("https://klasma.github.io/Logging_0885/kartor/A 12792-2019 karta.png", "A 12792-2019")</f>
        <v/>
      </c>
      <c r="V72">
        <f>HYPERLINK("https://klasma.github.io/Logging_0885/klagomål/A 12792-2019 FSC-klagomål.docx", "A 12792-2019")</f>
        <v/>
      </c>
      <c r="W72">
        <f>HYPERLINK("https://klasma.github.io/Logging_0885/klagomålsmail/A 12792-2019 FSC-klagomål mail.docx", "A 12792-2019")</f>
        <v/>
      </c>
      <c r="X72">
        <f>HYPERLINK("https://klasma.github.io/Logging_0885/tillsyn/A 12792-2019 tillsynsbegäran.docx", "A 12792-2019")</f>
        <v/>
      </c>
      <c r="Y72">
        <f>HYPERLINK("https://klasma.github.io/Logging_0885/tillsynsmail/A 12792-2019 tillsynsbegäran mail.docx", "A 12792-2019")</f>
        <v/>
      </c>
    </row>
    <row r="73" ht="15" customHeight="1">
      <c r="A73" t="inlineStr">
        <is>
          <t>A 27046-2019</t>
        </is>
      </c>
      <c r="B73" s="1" t="n">
        <v>43614</v>
      </c>
      <c r="C73" s="1" t="n">
        <v>45232</v>
      </c>
      <c r="D73" t="inlineStr">
        <is>
          <t>KALMAR LÄN</t>
        </is>
      </c>
      <c r="E73" t="inlineStr">
        <is>
          <t>BORGHOLM</t>
        </is>
      </c>
      <c r="G73" t="n">
        <v>5.7</v>
      </c>
      <c r="H73" t="n">
        <v>2</v>
      </c>
      <c r="I73" t="n">
        <v>3</v>
      </c>
      <c r="J73" t="n">
        <v>3</v>
      </c>
      <c r="K73" t="n">
        <v>0</v>
      </c>
      <c r="L73" t="n">
        <v>0</v>
      </c>
      <c r="M73" t="n">
        <v>0</v>
      </c>
      <c r="N73" t="n">
        <v>0</v>
      </c>
      <c r="O73" t="n">
        <v>3</v>
      </c>
      <c r="P73" t="n">
        <v>0</v>
      </c>
      <c r="Q73" t="n">
        <v>6</v>
      </c>
      <c r="R73" s="2" t="inlineStr">
        <is>
          <t>Axveronika
Backklöver
Solvända
Sårläka
Tvåblad
Vit skogslilja</t>
        </is>
      </c>
      <c r="S73">
        <f>HYPERLINK("https://klasma.github.io/Logging_0885/artfynd/A 27046-2019 artfynd.xlsx", "A 27046-2019")</f>
        <v/>
      </c>
      <c r="T73">
        <f>HYPERLINK("https://klasma.github.io/Logging_0885/kartor/A 27046-2019 karta.png", "A 27046-2019")</f>
        <v/>
      </c>
      <c r="V73">
        <f>HYPERLINK("https://klasma.github.io/Logging_0885/klagomål/A 27046-2019 FSC-klagomål.docx", "A 27046-2019")</f>
        <v/>
      </c>
      <c r="W73">
        <f>HYPERLINK("https://klasma.github.io/Logging_0885/klagomålsmail/A 27046-2019 FSC-klagomål mail.docx", "A 27046-2019")</f>
        <v/>
      </c>
      <c r="X73">
        <f>HYPERLINK("https://klasma.github.io/Logging_0885/tillsyn/A 27046-2019 tillsynsbegäran.docx", "A 27046-2019")</f>
        <v/>
      </c>
      <c r="Y73">
        <f>HYPERLINK("https://klasma.github.io/Logging_0885/tillsynsmail/A 27046-2019 tillsynsbegäran mail.docx", "A 27046-2019")</f>
        <v/>
      </c>
    </row>
    <row r="74" ht="15" customHeight="1">
      <c r="A74" t="inlineStr">
        <is>
          <t>A 40023-2019</t>
        </is>
      </c>
      <c r="B74" s="1" t="n">
        <v>43693</v>
      </c>
      <c r="C74" s="1" t="n">
        <v>45232</v>
      </c>
      <c r="D74" t="inlineStr">
        <is>
          <t>KALMAR LÄN</t>
        </is>
      </c>
      <c r="E74" t="inlineStr">
        <is>
          <t>TORSÅS</t>
        </is>
      </c>
      <c r="G74" t="n">
        <v>3.8</v>
      </c>
      <c r="H74" t="n">
        <v>6</v>
      </c>
      <c r="I74" t="n">
        <v>0</v>
      </c>
      <c r="J74" t="n">
        <v>3</v>
      </c>
      <c r="K74" t="n">
        <v>0</v>
      </c>
      <c r="L74" t="n">
        <v>0</v>
      </c>
      <c r="M74" t="n">
        <v>0</v>
      </c>
      <c r="N74" t="n">
        <v>0</v>
      </c>
      <c r="O74" t="n">
        <v>3</v>
      </c>
      <c r="P74" t="n">
        <v>0</v>
      </c>
      <c r="Q74" t="n">
        <v>6</v>
      </c>
      <c r="R74" s="2" t="inlineStr">
        <is>
          <t>Barbastell
Brunlångöra
Nordfladdermus
Dvärgpipistrell
Gråskimlig fladdermus
Större brunfladdermus</t>
        </is>
      </c>
      <c r="S74">
        <f>HYPERLINK("https://klasma.github.io/Logging_0834/artfynd/A 40023-2019 artfynd.xlsx", "A 40023-2019")</f>
        <v/>
      </c>
      <c r="T74">
        <f>HYPERLINK("https://klasma.github.io/Logging_0834/kartor/A 40023-2019 karta.png", "A 40023-2019")</f>
        <v/>
      </c>
      <c r="V74">
        <f>HYPERLINK("https://klasma.github.io/Logging_0834/klagomål/A 40023-2019 FSC-klagomål.docx", "A 40023-2019")</f>
        <v/>
      </c>
      <c r="W74">
        <f>HYPERLINK("https://klasma.github.io/Logging_0834/klagomålsmail/A 40023-2019 FSC-klagomål mail.docx", "A 40023-2019")</f>
        <v/>
      </c>
      <c r="X74">
        <f>HYPERLINK("https://klasma.github.io/Logging_0834/tillsyn/A 40023-2019 tillsynsbegäran.docx", "A 40023-2019")</f>
        <v/>
      </c>
      <c r="Y74">
        <f>HYPERLINK("https://klasma.github.io/Logging_0834/tillsynsmail/A 40023-2019 tillsynsbegäran mail.docx", "A 40023-2019")</f>
        <v/>
      </c>
    </row>
    <row r="75" ht="15" customHeight="1">
      <c r="A75" t="inlineStr">
        <is>
          <t>A 62113-2019</t>
        </is>
      </c>
      <c r="B75" s="1" t="n">
        <v>43787</v>
      </c>
      <c r="C75" s="1" t="n">
        <v>45232</v>
      </c>
      <c r="D75" t="inlineStr">
        <is>
          <t>KALMAR LÄN</t>
        </is>
      </c>
      <c r="E75" t="inlineStr">
        <is>
          <t>NYBRO</t>
        </is>
      </c>
      <c r="G75" t="n">
        <v>7.4</v>
      </c>
      <c r="H75" t="n">
        <v>2</v>
      </c>
      <c r="I75" t="n">
        <v>5</v>
      </c>
      <c r="J75" t="n">
        <v>0</v>
      </c>
      <c r="K75" t="n">
        <v>0</v>
      </c>
      <c r="L75" t="n">
        <v>0</v>
      </c>
      <c r="M75" t="n">
        <v>0</v>
      </c>
      <c r="N75" t="n">
        <v>0</v>
      </c>
      <c r="O75" t="n">
        <v>0</v>
      </c>
      <c r="P75" t="n">
        <v>0</v>
      </c>
      <c r="Q75" t="n">
        <v>6</v>
      </c>
      <c r="R75" s="2" t="inlineStr">
        <is>
          <t>Blåmossa
Grön sköldmossa
Myskmadra
Mörk husmossa
Västlig hakmossa
Blåsippa</t>
        </is>
      </c>
      <c r="S75">
        <f>HYPERLINK("https://klasma.github.io/Logging_0881/artfynd/A 62113-2019 artfynd.xlsx", "A 62113-2019")</f>
        <v/>
      </c>
      <c r="T75">
        <f>HYPERLINK("https://klasma.github.io/Logging_0881/kartor/A 62113-2019 karta.png", "A 62113-2019")</f>
        <v/>
      </c>
      <c r="V75">
        <f>HYPERLINK("https://klasma.github.io/Logging_0881/klagomål/A 62113-2019 FSC-klagomål.docx", "A 62113-2019")</f>
        <v/>
      </c>
      <c r="W75">
        <f>HYPERLINK("https://klasma.github.io/Logging_0881/klagomålsmail/A 62113-2019 FSC-klagomål mail.docx", "A 62113-2019")</f>
        <v/>
      </c>
      <c r="X75">
        <f>HYPERLINK("https://klasma.github.io/Logging_0881/tillsyn/A 62113-2019 tillsynsbegäran.docx", "A 62113-2019")</f>
        <v/>
      </c>
      <c r="Y75">
        <f>HYPERLINK("https://klasma.github.io/Logging_0881/tillsynsmail/A 62113-2019 tillsynsbegäran mail.docx", "A 62113-2019")</f>
        <v/>
      </c>
    </row>
    <row r="76" ht="15" customHeight="1">
      <c r="A76" t="inlineStr">
        <is>
          <t>A 40640-2020</t>
        </is>
      </c>
      <c r="B76" s="1" t="n">
        <v>44069</v>
      </c>
      <c r="C76" s="1" t="n">
        <v>45232</v>
      </c>
      <c r="D76" t="inlineStr">
        <is>
          <t>KALMAR LÄN</t>
        </is>
      </c>
      <c r="E76" t="inlineStr">
        <is>
          <t>HULTSFRED</t>
        </is>
      </c>
      <c r="G76" t="n">
        <v>0.8</v>
      </c>
      <c r="H76" t="n">
        <v>6</v>
      </c>
      <c r="I76" t="n">
        <v>0</v>
      </c>
      <c r="J76" t="n">
        <v>6</v>
      </c>
      <c r="K76" t="n">
        <v>0</v>
      </c>
      <c r="L76" t="n">
        <v>0</v>
      </c>
      <c r="M76" t="n">
        <v>0</v>
      </c>
      <c r="N76" t="n">
        <v>0</v>
      </c>
      <c r="O76" t="n">
        <v>6</v>
      </c>
      <c r="P76" t="n">
        <v>0</v>
      </c>
      <c r="Q76" t="n">
        <v>6</v>
      </c>
      <c r="R76" s="2" t="inlineStr">
        <is>
          <t>Entita
Gulsparv
Spillkråka
Svartvit flugsnappare
Talltita
Ärtsångare</t>
        </is>
      </c>
      <c r="S76">
        <f>HYPERLINK("https://klasma.github.io/Logging_0860/artfynd/A 40640-2020 artfynd.xlsx", "A 40640-2020")</f>
        <v/>
      </c>
      <c r="T76">
        <f>HYPERLINK("https://klasma.github.io/Logging_0860/kartor/A 40640-2020 karta.png", "A 40640-2020")</f>
        <v/>
      </c>
      <c r="V76">
        <f>HYPERLINK("https://klasma.github.io/Logging_0860/klagomål/A 40640-2020 FSC-klagomål.docx", "A 40640-2020")</f>
        <v/>
      </c>
      <c r="W76">
        <f>HYPERLINK("https://klasma.github.io/Logging_0860/klagomålsmail/A 40640-2020 FSC-klagomål mail.docx", "A 40640-2020")</f>
        <v/>
      </c>
      <c r="X76">
        <f>HYPERLINK("https://klasma.github.io/Logging_0860/tillsyn/A 40640-2020 tillsynsbegäran.docx", "A 40640-2020")</f>
        <v/>
      </c>
      <c r="Y76">
        <f>HYPERLINK("https://klasma.github.io/Logging_0860/tillsynsmail/A 40640-2020 tillsynsbegäran mail.docx", "A 40640-2020")</f>
        <v/>
      </c>
    </row>
    <row r="77" ht="15" customHeight="1">
      <c r="A77" t="inlineStr">
        <is>
          <t>A 52916-2020</t>
        </is>
      </c>
      <c r="B77" s="1" t="n">
        <v>44120</v>
      </c>
      <c r="C77" s="1" t="n">
        <v>45232</v>
      </c>
      <c r="D77" t="inlineStr">
        <is>
          <t>KALMAR LÄN</t>
        </is>
      </c>
      <c r="E77" t="inlineStr">
        <is>
          <t>VÄSTERVIK</t>
        </is>
      </c>
      <c r="G77" t="n">
        <v>1.2</v>
      </c>
      <c r="H77" t="n">
        <v>2</v>
      </c>
      <c r="I77" t="n">
        <v>2</v>
      </c>
      <c r="J77" t="n">
        <v>3</v>
      </c>
      <c r="K77" t="n">
        <v>1</v>
      </c>
      <c r="L77" t="n">
        <v>0</v>
      </c>
      <c r="M77" t="n">
        <v>0</v>
      </c>
      <c r="N77" t="n">
        <v>0</v>
      </c>
      <c r="O77" t="n">
        <v>4</v>
      </c>
      <c r="P77" t="n">
        <v>1</v>
      </c>
      <c r="Q77" t="n">
        <v>6</v>
      </c>
      <c r="R77" s="2" t="inlineStr">
        <is>
          <t>Knärot
Orange taggsvamp
Svart taggsvamp
Talltita
Blomkålssvamp
Dropptaggsvamp</t>
        </is>
      </c>
      <c r="S77">
        <f>HYPERLINK("https://klasma.github.io/Logging_0883/artfynd/A 52916-2020 artfynd.xlsx", "A 52916-2020")</f>
        <v/>
      </c>
      <c r="T77">
        <f>HYPERLINK("https://klasma.github.io/Logging_0883/kartor/A 52916-2020 karta.png", "A 52916-2020")</f>
        <v/>
      </c>
      <c r="U77">
        <f>HYPERLINK("https://klasma.github.io/Logging_0883/knärot/A 52916-2020 karta knärot.png", "A 52916-2020")</f>
        <v/>
      </c>
      <c r="V77">
        <f>HYPERLINK("https://klasma.github.io/Logging_0883/klagomål/A 52916-2020 FSC-klagomål.docx", "A 52916-2020")</f>
        <v/>
      </c>
      <c r="W77">
        <f>HYPERLINK("https://klasma.github.io/Logging_0883/klagomålsmail/A 52916-2020 FSC-klagomål mail.docx", "A 52916-2020")</f>
        <v/>
      </c>
      <c r="X77">
        <f>HYPERLINK("https://klasma.github.io/Logging_0883/tillsyn/A 52916-2020 tillsynsbegäran.docx", "A 52916-2020")</f>
        <v/>
      </c>
      <c r="Y77">
        <f>HYPERLINK("https://klasma.github.io/Logging_0883/tillsynsmail/A 52916-2020 tillsynsbegäran mail.docx", "A 52916-2020")</f>
        <v/>
      </c>
    </row>
    <row r="78" ht="15" customHeight="1">
      <c r="A78" t="inlineStr">
        <is>
          <t>A 57656-2020</t>
        </is>
      </c>
      <c r="B78" s="1" t="n">
        <v>44140</v>
      </c>
      <c r="C78" s="1" t="n">
        <v>45232</v>
      </c>
      <c r="D78" t="inlineStr">
        <is>
          <t>KALMAR LÄN</t>
        </is>
      </c>
      <c r="E78" t="inlineStr">
        <is>
          <t>BORGHOLM</t>
        </is>
      </c>
      <c r="F78" t="inlineStr">
        <is>
          <t>Sveaskog</t>
        </is>
      </c>
      <c r="G78" t="n">
        <v>3.1</v>
      </c>
      <c r="H78" t="n">
        <v>3</v>
      </c>
      <c r="I78" t="n">
        <v>3</v>
      </c>
      <c r="J78" t="n">
        <v>0</v>
      </c>
      <c r="K78" t="n">
        <v>1</v>
      </c>
      <c r="L78" t="n">
        <v>1</v>
      </c>
      <c r="M78" t="n">
        <v>0</v>
      </c>
      <c r="N78" t="n">
        <v>0</v>
      </c>
      <c r="O78" t="n">
        <v>2</v>
      </c>
      <c r="P78" t="n">
        <v>2</v>
      </c>
      <c r="Q78" t="n">
        <v>6</v>
      </c>
      <c r="R78" s="2" t="inlineStr">
        <is>
          <t>Ryl
Gotlandsmåra
Skogsknipprot
Strävlosta
Vit skogslilja
Grönvit nattviol</t>
        </is>
      </c>
      <c r="S78">
        <f>HYPERLINK("https://klasma.github.io/Logging_0885/artfynd/A 57656-2020 artfynd.xlsx", "A 57656-2020")</f>
        <v/>
      </c>
      <c r="T78">
        <f>HYPERLINK("https://klasma.github.io/Logging_0885/kartor/A 57656-2020 karta.png", "A 57656-2020")</f>
        <v/>
      </c>
      <c r="V78">
        <f>HYPERLINK("https://klasma.github.io/Logging_0885/klagomål/A 57656-2020 FSC-klagomål.docx", "A 57656-2020")</f>
        <v/>
      </c>
      <c r="W78">
        <f>HYPERLINK("https://klasma.github.io/Logging_0885/klagomålsmail/A 57656-2020 FSC-klagomål mail.docx", "A 57656-2020")</f>
        <v/>
      </c>
      <c r="X78">
        <f>HYPERLINK("https://klasma.github.io/Logging_0885/tillsyn/A 57656-2020 tillsynsbegäran.docx", "A 57656-2020")</f>
        <v/>
      </c>
      <c r="Y78">
        <f>HYPERLINK("https://klasma.github.io/Logging_0885/tillsynsmail/A 57656-2020 tillsynsbegäran mail.docx", "A 57656-2020")</f>
        <v/>
      </c>
    </row>
    <row r="79" ht="15" customHeight="1">
      <c r="A79" t="inlineStr">
        <is>
          <t>A 11163-2021</t>
        </is>
      </c>
      <c r="B79" s="1" t="n">
        <v>44262</v>
      </c>
      <c r="C79" s="1" t="n">
        <v>45232</v>
      </c>
      <c r="D79" t="inlineStr">
        <is>
          <t>KALMAR LÄN</t>
        </is>
      </c>
      <c r="E79" t="inlineStr">
        <is>
          <t>MÖRBYLÅNGA</t>
        </is>
      </c>
      <c r="G79" t="n">
        <v>3.4</v>
      </c>
      <c r="H79" t="n">
        <v>1</v>
      </c>
      <c r="I79" t="n">
        <v>0</v>
      </c>
      <c r="J79" t="n">
        <v>5</v>
      </c>
      <c r="K79" t="n">
        <v>1</v>
      </c>
      <c r="L79" t="n">
        <v>0</v>
      </c>
      <c r="M79" t="n">
        <v>0</v>
      </c>
      <c r="N79" t="n">
        <v>0</v>
      </c>
      <c r="O79" t="n">
        <v>6</v>
      </c>
      <c r="P79" t="n">
        <v>1</v>
      </c>
      <c r="Q79" t="n">
        <v>6</v>
      </c>
      <c r="R79" s="2" t="inlineStr">
        <is>
          <t>Knippnejlika
Backklöver
Blyvivel
Edwardsiana plebeja
Edwardsiana ulmiphagus
Svart majbagge</t>
        </is>
      </c>
      <c r="S79">
        <f>HYPERLINK("https://klasma.github.io/Logging_0840/artfynd/A 11163-2021 artfynd.xlsx", "A 11163-2021")</f>
        <v/>
      </c>
      <c r="T79">
        <f>HYPERLINK("https://klasma.github.io/Logging_0840/kartor/A 11163-2021 karta.png", "A 11163-2021")</f>
        <v/>
      </c>
      <c r="V79">
        <f>HYPERLINK("https://klasma.github.io/Logging_0840/klagomål/A 11163-2021 FSC-klagomål.docx", "A 11163-2021")</f>
        <v/>
      </c>
      <c r="W79">
        <f>HYPERLINK("https://klasma.github.io/Logging_0840/klagomålsmail/A 11163-2021 FSC-klagomål mail.docx", "A 11163-2021")</f>
        <v/>
      </c>
      <c r="X79">
        <f>HYPERLINK("https://klasma.github.io/Logging_0840/tillsyn/A 11163-2021 tillsynsbegäran.docx", "A 11163-2021")</f>
        <v/>
      </c>
      <c r="Y79">
        <f>HYPERLINK("https://klasma.github.io/Logging_0840/tillsynsmail/A 11163-2021 tillsynsbegäran mail.docx", "A 11163-2021")</f>
        <v/>
      </c>
    </row>
    <row r="80" ht="15" customHeight="1">
      <c r="A80" t="inlineStr">
        <is>
          <t>A 18048-2021</t>
        </is>
      </c>
      <c r="B80" s="1" t="n">
        <v>44302</v>
      </c>
      <c r="C80" s="1" t="n">
        <v>45232</v>
      </c>
      <c r="D80" t="inlineStr">
        <is>
          <t>KALMAR LÄN</t>
        </is>
      </c>
      <c r="E80" t="inlineStr">
        <is>
          <t>OSKARSHAMN</t>
        </is>
      </c>
      <c r="G80" t="n">
        <v>14.7</v>
      </c>
      <c r="H80" t="n">
        <v>6</v>
      </c>
      <c r="I80" t="n">
        <v>0</v>
      </c>
      <c r="J80" t="n">
        <v>3</v>
      </c>
      <c r="K80" t="n">
        <v>0</v>
      </c>
      <c r="L80" t="n">
        <v>0</v>
      </c>
      <c r="M80" t="n">
        <v>0</v>
      </c>
      <c r="N80" t="n">
        <v>0</v>
      </c>
      <c r="O80" t="n">
        <v>3</v>
      </c>
      <c r="P80" t="n">
        <v>0</v>
      </c>
      <c r="Q80" t="n">
        <v>6</v>
      </c>
      <c r="R80" s="2" t="inlineStr">
        <is>
          <t>Barbastell
Brunlångöra
Nordfladdermus
Dvärgpipistrell
Gråskimlig fladdermus
Större brunfladdermus</t>
        </is>
      </c>
      <c r="S80">
        <f>HYPERLINK("https://klasma.github.io/Logging_0882/artfynd/A 18048-2021 artfynd.xlsx", "A 18048-2021")</f>
        <v/>
      </c>
      <c r="T80">
        <f>HYPERLINK("https://klasma.github.io/Logging_0882/kartor/A 18048-2021 karta.png", "A 18048-2021")</f>
        <v/>
      </c>
      <c r="V80">
        <f>HYPERLINK("https://klasma.github.io/Logging_0882/klagomål/A 18048-2021 FSC-klagomål.docx", "A 18048-2021")</f>
        <v/>
      </c>
      <c r="W80">
        <f>HYPERLINK("https://klasma.github.io/Logging_0882/klagomålsmail/A 18048-2021 FSC-klagomål mail.docx", "A 18048-2021")</f>
        <v/>
      </c>
      <c r="X80">
        <f>HYPERLINK("https://klasma.github.io/Logging_0882/tillsyn/A 18048-2021 tillsynsbegäran.docx", "A 18048-2021")</f>
        <v/>
      </c>
      <c r="Y80">
        <f>HYPERLINK("https://klasma.github.io/Logging_0882/tillsynsmail/A 18048-2021 tillsynsbegäran mail.docx", "A 18048-2021")</f>
        <v/>
      </c>
    </row>
    <row r="81" ht="15" customHeight="1">
      <c r="A81" t="inlineStr">
        <is>
          <t>A 28292-2021</t>
        </is>
      </c>
      <c r="B81" s="1" t="n">
        <v>44356</v>
      </c>
      <c r="C81" s="1" t="n">
        <v>45232</v>
      </c>
      <c r="D81" t="inlineStr">
        <is>
          <t>KALMAR LÄN</t>
        </is>
      </c>
      <c r="E81" t="inlineStr">
        <is>
          <t>OSKARSHAMN</t>
        </is>
      </c>
      <c r="G81" t="n">
        <v>8.9</v>
      </c>
      <c r="H81" t="n">
        <v>2</v>
      </c>
      <c r="I81" t="n">
        <v>2</v>
      </c>
      <c r="J81" t="n">
        <v>4</v>
      </c>
      <c r="K81" t="n">
        <v>0</v>
      </c>
      <c r="L81" t="n">
        <v>0</v>
      </c>
      <c r="M81" t="n">
        <v>0</v>
      </c>
      <c r="N81" t="n">
        <v>0</v>
      </c>
      <c r="O81" t="n">
        <v>4</v>
      </c>
      <c r="P81" t="n">
        <v>0</v>
      </c>
      <c r="Q81" t="n">
        <v>6</v>
      </c>
      <c r="R81" s="2" t="inlineStr">
        <is>
          <t>Spillkråka
Tallticka
Talltita
Ullticka
Blåmossa
Granbarkgnagare</t>
        </is>
      </c>
      <c r="S81">
        <f>HYPERLINK("https://klasma.github.io/Logging_0882/artfynd/A 28292-2021 artfynd.xlsx", "A 28292-2021")</f>
        <v/>
      </c>
      <c r="T81">
        <f>HYPERLINK("https://klasma.github.io/Logging_0882/kartor/A 28292-2021 karta.png", "A 28292-2021")</f>
        <v/>
      </c>
      <c r="V81">
        <f>HYPERLINK("https://klasma.github.io/Logging_0882/klagomål/A 28292-2021 FSC-klagomål.docx", "A 28292-2021")</f>
        <v/>
      </c>
      <c r="W81">
        <f>HYPERLINK("https://klasma.github.io/Logging_0882/klagomålsmail/A 28292-2021 FSC-klagomål mail.docx", "A 28292-2021")</f>
        <v/>
      </c>
      <c r="X81">
        <f>HYPERLINK("https://klasma.github.io/Logging_0882/tillsyn/A 28292-2021 tillsynsbegäran.docx", "A 28292-2021")</f>
        <v/>
      </c>
      <c r="Y81">
        <f>HYPERLINK("https://klasma.github.io/Logging_0882/tillsynsmail/A 28292-2021 tillsynsbegäran mail.docx", "A 28292-2021")</f>
        <v/>
      </c>
    </row>
    <row r="82" ht="15" customHeight="1">
      <c r="A82" t="inlineStr">
        <is>
          <t>A 28304-2021</t>
        </is>
      </c>
      <c r="B82" s="1" t="n">
        <v>44356</v>
      </c>
      <c r="C82" s="1" t="n">
        <v>45232</v>
      </c>
      <c r="D82" t="inlineStr">
        <is>
          <t>KALMAR LÄN</t>
        </is>
      </c>
      <c r="E82" t="inlineStr">
        <is>
          <t>OSKARSHAMN</t>
        </is>
      </c>
      <c r="G82" t="n">
        <v>13.2</v>
      </c>
      <c r="H82" t="n">
        <v>3</v>
      </c>
      <c r="I82" t="n">
        <v>1</v>
      </c>
      <c r="J82" t="n">
        <v>4</v>
      </c>
      <c r="K82" t="n">
        <v>0</v>
      </c>
      <c r="L82" t="n">
        <v>0</v>
      </c>
      <c r="M82" t="n">
        <v>0</v>
      </c>
      <c r="N82" t="n">
        <v>0</v>
      </c>
      <c r="O82" t="n">
        <v>4</v>
      </c>
      <c r="P82" t="n">
        <v>0</v>
      </c>
      <c r="Q82" t="n">
        <v>6</v>
      </c>
      <c r="R82" s="2" t="inlineStr">
        <is>
          <t>Spillkråka
Tallticka
Talltita
Vedskivlav
Blåmossa
Revlummer</t>
        </is>
      </c>
      <c r="S82">
        <f>HYPERLINK("https://klasma.github.io/Logging_0882/artfynd/A 28304-2021 artfynd.xlsx", "A 28304-2021")</f>
        <v/>
      </c>
      <c r="T82">
        <f>HYPERLINK("https://klasma.github.io/Logging_0882/kartor/A 28304-2021 karta.png", "A 28304-2021")</f>
        <v/>
      </c>
      <c r="V82">
        <f>HYPERLINK("https://klasma.github.io/Logging_0882/klagomål/A 28304-2021 FSC-klagomål.docx", "A 28304-2021")</f>
        <v/>
      </c>
      <c r="W82">
        <f>HYPERLINK("https://klasma.github.io/Logging_0882/klagomålsmail/A 28304-2021 FSC-klagomål mail.docx", "A 28304-2021")</f>
        <v/>
      </c>
      <c r="X82">
        <f>HYPERLINK("https://klasma.github.io/Logging_0882/tillsyn/A 28304-2021 tillsynsbegäran.docx", "A 28304-2021")</f>
        <v/>
      </c>
      <c r="Y82">
        <f>HYPERLINK("https://klasma.github.io/Logging_0882/tillsynsmail/A 28304-2021 tillsynsbegäran mail.docx", "A 28304-2021")</f>
        <v/>
      </c>
    </row>
    <row r="83" ht="15" customHeight="1">
      <c r="A83" t="inlineStr">
        <is>
          <t>A 45095-2021</t>
        </is>
      </c>
      <c r="B83" s="1" t="n">
        <v>44439</v>
      </c>
      <c r="C83" s="1" t="n">
        <v>45232</v>
      </c>
      <c r="D83" t="inlineStr">
        <is>
          <t>KALMAR LÄN</t>
        </is>
      </c>
      <c r="E83" t="inlineStr">
        <is>
          <t>KALMAR</t>
        </is>
      </c>
      <c r="F83" t="inlineStr">
        <is>
          <t>Sveaskog</t>
        </is>
      </c>
      <c r="G83" t="n">
        <v>6.9</v>
      </c>
      <c r="H83" t="n">
        <v>1</v>
      </c>
      <c r="I83" t="n">
        <v>2</v>
      </c>
      <c r="J83" t="n">
        <v>1</v>
      </c>
      <c r="K83" t="n">
        <v>1</v>
      </c>
      <c r="L83" t="n">
        <v>0</v>
      </c>
      <c r="M83" t="n">
        <v>1</v>
      </c>
      <c r="N83" t="n">
        <v>0</v>
      </c>
      <c r="O83" t="n">
        <v>3</v>
      </c>
      <c r="P83" t="n">
        <v>2</v>
      </c>
      <c r="Q83" t="n">
        <v>6</v>
      </c>
      <c r="R83" s="2" t="inlineStr">
        <is>
          <t>Skogsalm
Porslinsblå spindling
Fyrflikig jordstjärna
Myskmadra
Safsa
Blåsippa</t>
        </is>
      </c>
      <c r="S83">
        <f>HYPERLINK("https://klasma.github.io/Logging_0880/artfynd/A 45095-2021 artfynd.xlsx", "A 45095-2021")</f>
        <v/>
      </c>
      <c r="T83">
        <f>HYPERLINK("https://klasma.github.io/Logging_0880/kartor/A 45095-2021 karta.png", "A 45095-2021")</f>
        <v/>
      </c>
      <c r="V83">
        <f>HYPERLINK("https://klasma.github.io/Logging_0880/klagomål/A 45095-2021 FSC-klagomål.docx", "A 45095-2021")</f>
        <v/>
      </c>
      <c r="W83">
        <f>HYPERLINK("https://klasma.github.io/Logging_0880/klagomålsmail/A 45095-2021 FSC-klagomål mail.docx", "A 45095-2021")</f>
        <v/>
      </c>
      <c r="X83">
        <f>HYPERLINK("https://klasma.github.io/Logging_0880/tillsyn/A 45095-2021 tillsynsbegäran.docx", "A 45095-2021")</f>
        <v/>
      </c>
      <c r="Y83">
        <f>HYPERLINK("https://klasma.github.io/Logging_0880/tillsynsmail/A 45095-2021 tillsynsbegäran mail.docx", "A 45095-2021")</f>
        <v/>
      </c>
    </row>
    <row r="84" ht="15" customHeight="1">
      <c r="A84" t="inlineStr">
        <is>
          <t>A 53760-2021</t>
        </is>
      </c>
      <c r="B84" s="1" t="n">
        <v>44467</v>
      </c>
      <c r="C84" s="1" t="n">
        <v>45232</v>
      </c>
      <c r="D84" t="inlineStr">
        <is>
          <t>KALMAR LÄN</t>
        </is>
      </c>
      <c r="E84" t="inlineStr">
        <is>
          <t>VÄSTERVIK</t>
        </is>
      </c>
      <c r="G84" t="n">
        <v>3.9</v>
      </c>
      <c r="H84" t="n">
        <v>5</v>
      </c>
      <c r="I84" t="n">
        <v>0</v>
      </c>
      <c r="J84" t="n">
        <v>3</v>
      </c>
      <c r="K84" t="n">
        <v>0</v>
      </c>
      <c r="L84" t="n">
        <v>0</v>
      </c>
      <c r="M84" t="n">
        <v>0</v>
      </c>
      <c r="N84" t="n">
        <v>0</v>
      </c>
      <c r="O84" t="n">
        <v>3</v>
      </c>
      <c r="P84" t="n">
        <v>0</v>
      </c>
      <c r="Q84" t="n">
        <v>6</v>
      </c>
      <c r="R84" s="2" t="inlineStr">
        <is>
          <t>Brunlångöra
Nordfladdermus
Tallticka
Dvärgpipistrell
Större brunfladdermus
Trollpipistrell</t>
        </is>
      </c>
      <c r="S84">
        <f>HYPERLINK("https://klasma.github.io/Logging_0883/artfynd/A 53760-2021 artfynd.xlsx", "A 53760-2021")</f>
        <v/>
      </c>
      <c r="T84">
        <f>HYPERLINK("https://klasma.github.io/Logging_0883/kartor/A 53760-2021 karta.png", "A 53760-2021")</f>
        <v/>
      </c>
      <c r="V84">
        <f>HYPERLINK("https://klasma.github.io/Logging_0883/klagomål/A 53760-2021 FSC-klagomål.docx", "A 53760-2021")</f>
        <v/>
      </c>
      <c r="W84">
        <f>HYPERLINK("https://klasma.github.io/Logging_0883/klagomålsmail/A 53760-2021 FSC-klagomål mail.docx", "A 53760-2021")</f>
        <v/>
      </c>
      <c r="X84">
        <f>HYPERLINK("https://klasma.github.io/Logging_0883/tillsyn/A 53760-2021 tillsynsbegäran.docx", "A 53760-2021")</f>
        <v/>
      </c>
      <c r="Y84">
        <f>HYPERLINK("https://klasma.github.io/Logging_0883/tillsynsmail/A 53760-2021 tillsynsbegäran mail.docx", "A 53760-2021")</f>
        <v/>
      </c>
    </row>
    <row r="85" ht="15" customHeight="1">
      <c r="A85" t="inlineStr">
        <is>
          <t>A 60996-2021</t>
        </is>
      </c>
      <c r="B85" s="1" t="n">
        <v>44497</v>
      </c>
      <c r="C85" s="1" t="n">
        <v>45232</v>
      </c>
      <c r="D85" t="inlineStr">
        <is>
          <t>KALMAR LÄN</t>
        </is>
      </c>
      <c r="E85" t="inlineStr">
        <is>
          <t>VÄSTERVIK</t>
        </is>
      </c>
      <c r="F85" t="inlineStr">
        <is>
          <t>Kyrkan</t>
        </is>
      </c>
      <c r="G85" t="n">
        <v>7.2</v>
      </c>
      <c r="H85" t="n">
        <v>3</v>
      </c>
      <c r="I85" t="n">
        <v>2</v>
      </c>
      <c r="J85" t="n">
        <v>2</v>
      </c>
      <c r="K85" t="n">
        <v>1</v>
      </c>
      <c r="L85" t="n">
        <v>0</v>
      </c>
      <c r="M85" t="n">
        <v>0</v>
      </c>
      <c r="N85" t="n">
        <v>0</v>
      </c>
      <c r="O85" t="n">
        <v>3</v>
      </c>
      <c r="P85" t="n">
        <v>1</v>
      </c>
      <c r="Q85" t="n">
        <v>6</v>
      </c>
      <c r="R85" s="2" t="inlineStr">
        <is>
          <t>Knärot
Talltita
Vedtrappmossa
Grönpyrola
Platt fjädermossa
Revlummer</t>
        </is>
      </c>
      <c r="S85">
        <f>HYPERLINK("https://klasma.github.io/Logging_0883/artfynd/A 60996-2021 artfynd.xlsx", "A 60996-2021")</f>
        <v/>
      </c>
      <c r="T85">
        <f>HYPERLINK("https://klasma.github.io/Logging_0883/kartor/A 60996-2021 karta.png", "A 60996-2021")</f>
        <v/>
      </c>
      <c r="U85">
        <f>HYPERLINK("https://klasma.github.io/Logging_0883/knärot/A 60996-2021 karta knärot.png", "A 60996-2021")</f>
        <v/>
      </c>
      <c r="V85">
        <f>HYPERLINK("https://klasma.github.io/Logging_0883/klagomål/A 60996-2021 FSC-klagomål.docx", "A 60996-2021")</f>
        <v/>
      </c>
      <c r="W85">
        <f>HYPERLINK("https://klasma.github.io/Logging_0883/klagomålsmail/A 60996-2021 FSC-klagomål mail.docx", "A 60996-2021")</f>
        <v/>
      </c>
      <c r="X85">
        <f>HYPERLINK("https://klasma.github.io/Logging_0883/tillsyn/A 60996-2021 tillsynsbegäran.docx", "A 60996-2021")</f>
        <v/>
      </c>
      <c r="Y85">
        <f>HYPERLINK("https://klasma.github.io/Logging_0883/tillsynsmail/A 60996-2021 tillsynsbegäran mail.docx", "A 60996-2021")</f>
        <v/>
      </c>
    </row>
    <row r="86" ht="15" customHeight="1">
      <c r="A86" t="inlineStr">
        <is>
          <t>A 71188-2021</t>
        </is>
      </c>
      <c r="B86" s="1" t="n">
        <v>44539</v>
      </c>
      <c r="C86" s="1" t="n">
        <v>45232</v>
      </c>
      <c r="D86" t="inlineStr">
        <is>
          <t>KALMAR LÄN</t>
        </is>
      </c>
      <c r="E86" t="inlineStr">
        <is>
          <t>VÄSTERVIK</t>
        </is>
      </c>
      <c r="G86" t="n">
        <v>0.6</v>
      </c>
      <c r="H86" t="n">
        <v>0</v>
      </c>
      <c r="I86" t="n">
        <v>3</v>
      </c>
      <c r="J86" t="n">
        <v>3</v>
      </c>
      <c r="K86" t="n">
        <v>0</v>
      </c>
      <c r="L86" t="n">
        <v>0</v>
      </c>
      <c r="M86" t="n">
        <v>0</v>
      </c>
      <c r="N86" t="n">
        <v>0</v>
      </c>
      <c r="O86" t="n">
        <v>3</v>
      </c>
      <c r="P86" t="n">
        <v>0</v>
      </c>
      <c r="Q86" t="n">
        <v>6</v>
      </c>
      <c r="R86" s="2" t="inlineStr">
        <is>
          <t>Blå taggsvamp
Motaggsvamp
Svartvit taggsvamp
Blomkålssvamp
Dropptaggsvamp
Grovticka</t>
        </is>
      </c>
      <c r="S86">
        <f>HYPERLINK("https://klasma.github.io/Logging_0883/artfynd/A 71188-2021 artfynd.xlsx", "A 71188-2021")</f>
        <v/>
      </c>
      <c r="T86">
        <f>HYPERLINK("https://klasma.github.io/Logging_0883/kartor/A 71188-2021 karta.png", "A 71188-2021")</f>
        <v/>
      </c>
      <c r="V86">
        <f>HYPERLINK("https://klasma.github.io/Logging_0883/klagomål/A 71188-2021 FSC-klagomål.docx", "A 71188-2021")</f>
        <v/>
      </c>
      <c r="W86">
        <f>HYPERLINK("https://klasma.github.io/Logging_0883/klagomålsmail/A 71188-2021 FSC-klagomål mail.docx", "A 71188-2021")</f>
        <v/>
      </c>
      <c r="X86">
        <f>HYPERLINK("https://klasma.github.io/Logging_0883/tillsyn/A 71188-2021 tillsynsbegäran.docx", "A 71188-2021")</f>
        <v/>
      </c>
      <c r="Y86">
        <f>HYPERLINK("https://klasma.github.io/Logging_0883/tillsynsmail/A 71188-2021 tillsynsbegäran mail.docx", "A 71188-2021")</f>
        <v/>
      </c>
    </row>
    <row r="87" ht="15" customHeight="1">
      <c r="A87" t="inlineStr">
        <is>
          <t>A 74213-2021</t>
        </is>
      </c>
      <c r="B87" s="1" t="n">
        <v>44558</v>
      </c>
      <c r="C87" s="1" t="n">
        <v>45232</v>
      </c>
      <c r="D87" t="inlineStr">
        <is>
          <t>KALMAR LÄN</t>
        </is>
      </c>
      <c r="E87" t="inlineStr">
        <is>
          <t>KALMAR</t>
        </is>
      </c>
      <c r="G87" t="n">
        <v>1.9</v>
      </c>
      <c r="H87" t="n">
        <v>3</v>
      </c>
      <c r="I87" t="n">
        <v>3</v>
      </c>
      <c r="J87" t="n">
        <v>2</v>
      </c>
      <c r="K87" t="n">
        <v>1</v>
      </c>
      <c r="L87" t="n">
        <v>0</v>
      </c>
      <c r="M87" t="n">
        <v>0</v>
      </c>
      <c r="N87" t="n">
        <v>0</v>
      </c>
      <c r="O87" t="n">
        <v>3</v>
      </c>
      <c r="P87" t="n">
        <v>1</v>
      </c>
      <c r="Q87" t="n">
        <v>6</v>
      </c>
      <c r="R87" s="2" t="inlineStr">
        <is>
          <t>Knärot
Spillkråka
Talltita
Blåmossa
Brandticka
Kattfotslav</t>
        </is>
      </c>
      <c r="S87">
        <f>HYPERLINK("https://klasma.github.io/Logging_0880/artfynd/A 74213-2021 artfynd.xlsx", "A 74213-2021")</f>
        <v/>
      </c>
      <c r="T87">
        <f>HYPERLINK("https://klasma.github.io/Logging_0880/kartor/A 74213-2021 karta.png", "A 74213-2021")</f>
        <v/>
      </c>
      <c r="U87">
        <f>HYPERLINK("https://klasma.github.io/Logging_0880/knärot/A 74213-2021 karta knärot.png", "A 74213-2021")</f>
        <v/>
      </c>
      <c r="V87">
        <f>HYPERLINK("https://klasma.github.io/Logging_0880/klagomål/A 74213-2021 FSC-klagomål.docx", "A 74213-2021")</f>
        <v/>
      </c>
      <c r="W87">
        <f>HYPERLINK("https://klasma.github.io/Logging_0880/klagomålsmail/A 74213-2021 FSC-klagomål mail.docx", "A 74213-2021")</f>
        <v/>
      </c>
      <c r="X87">
        <f>HYPERLINK("https://klasma.github.io/Logging_0880/tillsyn/A 74213-2021 tillsynsbegäran.docx", "A 74213-2021")</f>
        <v/>
      </c>
      <c r="Y87">
        <f>HYPERLINK("https://klasma.github.io/Logging_0880/tillsynsmail/A 74213-2021 tillsynsbegäran mail.docx", "A 74213-2021")</f>
        <v/>
      </c>
    </row>
    <row r="88" ht="15" customHeight="1">
      <c r="A88" t="inlineStr">
        <is>
          <t>A 74479-2021</t>
        </is>
      </c>
      <c r="B88" s="1" t="n">
        <v>44559</v>
      </c>
      <c r="C88" s="1" t="n">
        <v>45232</v>
      </c>
      <c r="D88" t="inlineStr">
        <is>
          <t>KALMAR LÄN</t>
        </is>
      </c>
      <c r="E88" t="inlineStr">
        <is>
          <t>HÖGSBY</t>
        </is>
      </c>
      <c r="G88" t="n">
        <v>9.6</v>
      </c>
      <c r="H88" t="n">
        <v>3</v>
      </c>
      <c r="I88" t="n">
        <v>3</v>
      </c>
      <c r="J88" t="n">
        <v>2</v>
      </c>
      <c r="K88" t="n">
        <v>1</v>
      </c>
      <c r="L88" t="n">
        <v>0</v>
      </c>
      <c r="M88" t="n">
        <v>0</v>
      </c>
      <c r="N88" t="n">
        <v>0</v>
      </c>
      <c r="O88" t="n">
        <v>3</v>
      </c>
      <c r="P88" t="n">
        <v>1</v>
      </c>
      <c r="Q88" t="n">
        <v>6</v>
      </c>
      <c r="R88" s="2" t="inlineStr">
        <is>
          <t>Knärot
Spillkråka
Talltita
Grönpyrola
Thomsons trägnagare
Västlig hakmossa</t>
        </is>
      </c>
      <c r="S88">
        <f>HYPERLINK("https://klasma.github.io/Logging_0821/artfynd/A 74479-2021 artfynd.xlsx", "A 74479-2021")</f>
        <v/>
      </c>
      <c r="T88">
        <f>HYPERLINK("https://klasma.github.io/Logging_0821/kartor/A 74479-2021 karta.png", "A 74479-2021")</f>
        <v/>
      </c>
      <c r="U88">
        <f>HYPERLINK("https://klasma.github.io/Logging_0821/knärot/A 74479-2021 karta knärot.png", "A 74479-2021")</f>
        <v/>
      </c>
      <c r="V88">
        <f>HYPERLINK("https://klasma.github.io/Logging_0821/klagomål/A 74479-2021 FSC-klagomål.docx", "A 74479-2021")</f>
        <v/>
      </c>
      <c r="W88">
        <f>HYPERLINK("https://klasma.github.io/Logging_0821/klagomålsmail/A 74479-2021 FSC-klagomål mail.docx", "A 74479-2021")</f>
        <v/>
      </c>
      <c r="X88">
        <f>HYPERLINK("https://klasma.github.io/Logging_0821/tillsyn/A 74479-2021 tillsynsbegäran.docx", "A 74479-2021")</f>
        <v/>
      </c>
      <c r="Y88">
        <f>HYPERLINK("https://klasma.github.io/Logging_0821/tillsynsmail/A 74479-2021 tillsynsbegäran mail.docx", "A 74479-2021")</f>
        <v/>
      </c>
    </row>
    <row r="89" ht="15" customHeight="1">
      <c r="A89" t="inlineStr">
        <is>
          <t>A 7031-2022</t>
        </is>
      </c>
      <c r="B89" s="1" t="n">
        <v>44603</v>
      </c>
      <c r="C89" s="1" t="n">
        <v>45232</v>
      </c>
      <c r="D89" t="inlineStr">
        <is>
          <t>KALMAR LÄN</t>
        </is>
      </c>
      <c r="E89" t="inlineStr">
        <is>
          <t>HÖGSBY</t>
        </is>
      </c>
      <c r="G89" t="n">
        <v>3.8</v>
      </c>
      <c r="H89" t="n">
        <v>3</v>
      </c>
      <c r="I89" t="n">
        <v>1</v>
      </c>
      <c r="J89" t="n">
        <v>1</v>
      </c>
      <c r="K89" t="n">
        <v>1</v>
      </c>
      <c r="L89" t="n">
        <v>3</v>
      </c>
      <c r="M89" t="n">
        <v>0</v>
      </c>
      <c r="N89" t="n">
        <v>0</v>
      </c>
      <c r="O89" t="n">
        <v>5</v>
      </c>
      <c r="P89" t="n">
        <v>4</v>
      </c>
      <c r="Q89" t="n">
        <v>6</v>
      </c>
      <c r="R89" s="2" t="inlineStr">
        <is>
          <t>Mosippa
Mycosphaerella chimaphilae
Ryl
Knärot
Talltita
Dropptaggsvamp</t>
        </is>
      </c>
      <c r="S89">
        <f>HYPERLINK("https://klasma.github.io/Logging_0821/artfynd/A 7031-2022 artfynd.xlsx", "A 7031-2022")</f>
        <v/>
      </c>
      <c r="T89">
        <f>HYPERLINK("https://klasma.github.io/Logging_0821/kartor/A 7031-2022 karta.png", "A 7031-2022")</f>
        <v/>
      </c>
      <c r="U89">
        <f>HYPERLINK("https://klasma.github.io/Logging_0821/knärot/A 7031-2022 karta knärot.png", "A 7031-2022")</f>
        <v/>
      </c>
      <c r="V89">
        <f>HYPERLINK("https://klasma.github.io/Logging_0821/klagomål/A 7031-2022 FSC-klagomål.docx", "A 7031-2022")</f>
        <v/>
      </c>
      <c r="W89">
        <f>HYPERLINK("https://klasma.github.io/Logging_0821/klagomålsmail/A 7031-2022 FSC-klagomål mail.docx", "A 7031-2022")</f>
        <v/>
      </c>
      <c r="X89">
        <f>HYPERLINK("https://klasma.github.io/Logging_0821/tillsyn/A 7031-2022 tillsynsbegäran.docx", "A 7031-2022")</f>
        <v/>
      </c>
      <c r="Y89">
        <f>HYPERLINK("https://klasma.github.io/Logging_0821/tillsynsmail/A 7031-2022 tillsynsbegäran mail.docx", "A 7031-2022")</f>
        <v/>
      </c>
    </row>
    <row r="90" ht="15" customHeight="1">
      <c r="A90" t="inlineStr">
        <is>
          <t>A 7218-2022</t>
        </is>
      </c>
      <c r="B90" s="1" t="n">
        <v>44606</v>
      </c>
      <c r="C90" s="1" t="n">
        <v>45232</v>
      </c>
      <c r="D90" t="inlineStr">
        <is>
          <t>KALMAR LÄN</t>
        </is>
      </c>
      <c r="E90" t="inlineStr">
        <is>
          <t>NYBRO</t>
        </is>
      </c>
      <c r="G90" t="n">
        <v>5.1</v>
      </c>
      <c r="H90" t="n">
        <v>0</v>
      </c>
      <c r="I90" t="n">
        <v>3</v>
      </c>
      <c r="J90" t="n">
        <v>3</v>
      </c>
      <c r="K90" t="n">
        <v>0</v>
      </c>
      <c r="L90" t="n">
        <v>0</v>
      </c>
      <c r="M90" t="n">
        <v>0</v>
      </c>
      <c r="N90" t="n">
        <v>0</v>
      </c>
      <c r="O90" t="n">
        <v>3</v>
      </c>
      <c r="P90" t="n">
        <v>0</v>
      </c>
      <c r="Q90" t="n">
        <v>6</v>
      </c>
      <c r="R90" s="2" t="inlineStr">
        <is>
          <t>Gransotdyna
Ullticka
Vedtrappmossa
Blåmossa
Brandticka
Vanlig flatbagge</t>
        </is>
      </c>
      <c r="S90">
        <f>HYPERLINK("https://klasma.github.io/Logging_0881/artfynd/A 7218-2022 artfynd.xlsx", "A 7218-2022")</f>
        <v/>
      </c>
      <c r="T90">
        <f>HYPERLINK("https://klasma.github.io/Logging_0881/kartor/A 7218-2022 karta.png", "A 7218-2022")</f>
        <v/>
      </c>
      <c r="V90">
        <f>HYPERLINK("https://klasma.github.io/Logging_0881/klagomål/A 7218-2022 FSC-klagomål.docx", "A 7218-2022")</f>
        <v/>
      </c>
      <c r="W90">
        <f>HYPERLINK("https://klasma.github.io/Logging_0881/klagomålsmail/A 7218-2022 FSC-klagomål mail.docx", "A 7218-2022")</f>
        <v/>
      </c>
      <c r="X90">
        <f>HYPERLINK("https://klasma.github.io/Logging_0881/tillsyn/A 7218-2022 tillsynsbegäran.docx", "A 7218-2022")</f>
        <v/>
      </c>
      <c r="Y90">
        <f>HYPERLINK("https://klasma.github.io/Logging_0881/tillsynsmail/A 7218-2022 tillsynsbegäran mail.docx", "A 7218-2022")</f>
        <v/>
      </c>
    </row>
    <row r="91" ht="15" customHeight="1">
      <c r="A91" t="inlineStr">
        <is>
          <t>A 24778-2022</t>
        </is>
      </c>
      <c r="B91" s="1" t="n">
        <v>44728</v>
      </c>
      <c r="C91" s="1" t="n">
        <v>45232</v>
      </c>
      <c r="D91" t="inlineStr">
        <is>
          <t>KALMAR LÄN</t>
        </is>
      </c>
      <c r="E91" t="inlineStr">
        <is>
          <t>MÖRBYLÅNGA</t>
        </is>
      </c>
      <c r="G91" t="n">
        <v>1</v>
      </c>
      <c r="H91" t="n">
        <v>0</v>
      </c>
      <c r="I91" t="n">
        <v>2</v>
      </c>
      <c r="J91" t="n">
        <v>3</v>
      </c>
      <c r="K91" t="n">
        <v>0</v>
      </c>
      <c r="L91" t="n">
        <v>1</v>
      </c>
      <c r="M91" t="n">
        <v>0</v>
      </c>
      <c r="N91" t="n">
        <v>0</v>
      </c>
      <c r="O91" t="n">
        <v>4</v>
      </c>
      <c r="P91" t="n">
        <v>1</v>
      </c>
      <c r="Q91" t="n">
        <v>6</v>
      </c>
      <c r="R91" s="2" t="inlineStr">
        <is>
          <t>Tofsäxing
Flentimotej
Poppeltofsskivling
Slåtterfibbla
Kalktallört
Murgröna</t>
        </is>
      </c>
      <c r="S91">
        <f>HYPERLINK("https://klasma.github.io/Logging_0840/artfynd/A 24778-2022 artfynd.xlsx", "A 24778-2022")</f>
        <v/>
      </c>
      <c r="T91">
        <f>HYPERLINK("https://klasma.github.io/Logging_0840/kartor/A 24778-2022 karta.png", "A 24778-2022")</f>
        <v/>
      </c>
      <c r="V91">
        <f>HYPERLINK("https://klasma.github.io/Logging_0840/klagomål/A 24778-2022 FSC-klagomål.docx", "A 24778-2022")</f>
        <v/>
      </c>
      <c r="W91">
        <f>HYPERLINK("https://klasma.github.io/Logging_0840/klagomålsmail/A 24778-2022 FSC-klagomål mail.docx", "A 24778-2022")</f>
        <v/>
      </c>
      <c r="X91">
        <f>HYPERLINK("https://klasma.github.io/Logging_0840/tillsyn/A 24778-2022 tillsynsbegäran.docx", "A 24778-2022")</f>
        <v/>
      </c>
      <c r="Y91">
        <f>HYPERLINK("https://klasma.github.io/Logging_0840/tillsynsmail/A 24778-2022 tillsynsbegäran mail.docx", "A 24778-2022")</f>
        <v/>
      </c>
    </row>
    <row r="92" ht="15" customHeight="1">
      <c r="A92" t="inlineStr">
        <is>
          <t>A 32178-2022</t>
        </is>
      </c>
      <c r="B92" s="1" t="n">
        <v>44781</v>
      </c>
      <c r="C92" s="1" t="n">
        <v>45232</v>
      </c>
      <c r="D92" t="inlineStr">
        <is>
          <t>KALMAR LÄN</t>
        </is>
      </c>
      <c r="E92" t="inlineStr">
        <is>
          <t>BORGHOLM</t>
        </is>
      </c>
      <c r="F92" t="inlineStr">
        <is>
          <t>Sveaskog</t>
        </is>
      </c>
      <c r="G92" t="n">
        <v>3.8</v>
      </c>
      <c r="H92" t="n">
        <v>1</v>
      </c>
      <c r="I92" t="n">
        <v>2</v>
      </c>
      <c r="J92" t="n">
        <v>2</v>
      </c>
      <c r="K92" t="n">
        <v>0</v>
      </c>
      <c r="L92" t="n">
        <v>0</v>
      </c>
      <c r="M92" t="n">
        <v>2</v>
      </c>
      <c r="N92" t="n">
        <v>0</v>
      </c>
      <c r="O92" t="n">
        <v>4</v>
      </c>
      <c r="P92" t="n">
        <v>2</v>
      </c>
      <c r="Q92" t="n">
        <v>6</v>
      </c>
      <c r="R92" s="2" t="inlineStr">
        <is>
          <t>Järnek
Skogsalm
Fyrflikig jordstjärna
Grönsångare
Kalktallört
Kamjordstjärna</t>
        </is>
      </c>
      <c r="S92">
        <f>HYPERLINK("https://klasma.github.io/Logging_0885/artfynd/A 32178-2022 artfynd.xlsx", "A 32178-2022")</f>
        <v/>
      </c>
      <c r="T92">
        <f>HYPERLINK("https://klasma.github.io/Logging_0885/kartor/A 32178-2022 karta.png", "A 32178-2022")</f>
        <v/>
      </c>
      <c r="V92">
        <f>HYPERLINK("https://klasma.github.io/Logging_0885/klagomål/A 32178-2022 FSC-klagomål.docx", "A 32178-2022")</f>
        <v/>
      </c>
      <c r="W92">
        <f>HYPERLINK("https://klasma.github.io/Logging_0885/klagomålsmail/A 32178-2022 FSC-klagomål mail.docx", "A 32178-2022")</f>
        <v/>
      </c>
      <c r="X92">
        <f>HYPERLINK("https://klasma.github.io/Logging_0885/tillsyn/A 32178-2022 tillsynsbegäran.docx", "A 32178-2022")</f>
        <v/>
      </c>
      <c r="Y92">
        <f>HYPERLINK("https://klasma.github.io/Logging_0885/tillsynsmail/A 32178-2022 tillsynsbegäran mail.docx", "A 32178-2022")</f>
        <v/>
      </c>
    </row>
    <row r="93" ht="15" customHeight="1">
      <c r="A93" t="inlineStr">
        <is>
          <t>A 38039-2022</t>
        </is>
      </c>
      <c r="B93" s="1" t="n">
        <v>44811</v>
      </c>
      <c r="C93" s="1" t="n">
        <v>45232</v>
      </c>
      <c r="D93" t="inlineStr">
        <is>
          <t>KALMAR LÄN</t>
        </is>
      </c>
      <c r="E93" t="inlineStr">
        <is>
          <t>MÖRBYLÅNGA</t>
        </is>
      </c>
      <c r="G93" t="n">
        <v>7.4</v>
      </c>
      <c r="H93" t="n">
        <v>2</v>
      </c>
      <c r="I93" t="n">
        <v>1</v>
      </c>
      <c r="J93" t="n">
        <v>2</v>
      </c>
      <c r="K93" t="n">
        <v>0</v>
      </c>
      <c r="L93" t="n">
        <v>1</v>
      </c>
      <c r="M93" t="n">
        <v>0</v>
      </c>
      <c r="N93" t="n">
        <v>0</v>
      </c>
      <c r="O93" t="n">
        <v>3</v>
      </c>
      <c r="P93" t="n">
        <v>1</v>
      </c>
      <c r="Q93" t="n">
        <v>6</v>
      </c>
      <c r="R93" s="2" t="inlineStr">
        <is>
          <t>Ask
Backtimjan
Solvända
Murgröna
Alvarmalört
Gullviva</t>
        </is>
      </c>
      <c r="S93">
        <f>HYPERLINK("https://klasma.github.io/Logging_0840/artfynd/A 38039-2022 artfynd.xlsx", "A 38039-2022")</f>
        <v/>
      </c>
      <c r="T93">
        <f>HYPERLINK("https://klasma.github.io/Logging_0840/kartor/A 38039-2022 karta.png", "A 38039-2022")</f>
        <v/>
      </c>
      <c r="V93">
        <f>HYPERLINK("https://klasma.github.io/Logging_0840/klagomål/A 38039-2022 FSC-klagomål.docx", "A 38039-2022")</f>
        <v/>
      </c>
      <c r="W93">
        <f>HYPERLINK("https://klasma.github.io/Logging_0840/klagomålsmail/A 38039-2022 FSC-klagomål mail.docx", "A 38039-2022")</f>
        <v/>
      </c>
      <c r="X93">
        <f>HYPERLINK("https://klasma.github.io/Logging_0840/tillsyn/A 38039-2022 tillsynsbegäran.docx", "A 38039-2022")</f>
        <v/>
      </c>
      <c r="Y93">
        <f>HYPERLINK("https://klasma.github.io/Logging_0840/tillsynsmail/A 38039-2022 tillsynsbegäran mail.docx", "A 38039-2022")</f>
        <v/>
      </c>
    </row>
    <row r="94" ht="15" customHeight="1">
      <c r="A94" t="inlineStr">
        <is>
          <t>A 49484-2022</t>
        </is>
      </c>
      <c r="B94" s="1" t="n">
        <v>44861</v>
      </c>
      <c r="C94" s="1" t="n">
        <v>45232</v>
      </c>
      <c r="D94" t="inlineStr">
        <is>
          <t>KALMAR LÄN</t>
        </is>
      </c>
      <c r="E94" t="inlineStr">
        <is>
          <t>HÖGSBY</t>
        </is>
      </c>
      <c r="G94" t="n">
        <v>2.2</v>
      </c>
      <c r="H94" t="n">
        <v>4</v>
      </c>
      <c r="I94" t="n">
        <v>0</v>
      </c>
      <c r="J94" t="n">
        <v>3</v>
      </c>
      <c r="K94" t="n">
        <v>1</v>
      </c>
      <c r="L94" t="n">
        <v>1</v>
      </c>
      <c r="M94" t="n">
        <v>1</v>
      </c>
      <c r="N94" t="n">
        <v>0</v>
      </c>
      <c r="O94" t="n">
        <v>6</v>
      </c>
      <c r="P94" t="n">
        <v>3</v>
      </c>
      <c r="Q94" t="n">
        <v>6</v>
      </c>
      <c r="R94" s="2" t="inlineStr">
        <is>
          <t>Saffransticka
Sommargylling
Trubbknäppare
Bokvedvivel
Havsörn
Ärtsångare</t>
        </is>
      </c>
      <c r="S94">
        <f>HYPERLINK("https://klasma.github.io/Logging_0821/artfynd/A 49484-2022 artfynd.xlsx", "A 49484-2022")</f>
        <v/>
      </c>
      <c r="T94">
        <f>HYPERLINK("https://klasma.github.io/Logging_0821/kartor/A 49484-2022 karta.png", "A 49484-2022")</f>
        <v/>
      </c>
      <c r="V94">
        <f>HYPERLINK("https://klasma.github.io/Logging_0821/klagomål/A 49484-2022 FSC-klagomål.docx", "A 49484-2022")</f>
        <v/>
      </c>
      <c r="W94">
        <f>HYPERLINK("https://klasma.github.io/Logging_0821/klagomålsmail/A 49484-2022 FSC-klagomål mail.docx", "A 49484-2022")</f>
        <v/>
      </c>
      <c r="X94">
        <f>HYPERLINK("https://klasma.github.io/Logging_0821/tillsyn/A 49484-2022 tillsynsbegäran.docx", "A 49484-2022")</f>
        <v/>
      </c>
      <c r="Y94">
        <f>HYPERLINK("https://klasma.github.io/Logging_0821/tillsynsmail/A 49484-2022 tillsynsbegäran mail.docx", "A 49484-2022")</f>
        <v/>
      </c>
    </row>
    <row r="95" ht="15" customHeight="1">
      <c r="A95" t="inlineStr">
        <is>
          <t>A 53162-2022</t>
        </is>
      </c>
      <c r="B95" s="1" t="n">
        <v>44873</v>
      </c>
      <c r="C95" s="1" t="n">
        <v>45232</v>
      </c>
      <c r="D95" t="inlineStr">
        <is>
          <t>KALMAR LÄN</t>
        </is>
      </c>
      <c r="E95" t="inlineStr">
        <is>
          <t>MÖNSTERÅS</t>
        </is>
      </c>
      <c r="F95" t="inlineStr">
        <is>
          <t>Kyrkan</t>
        </is>
      </c>
      <c r="G95" t="n">
        <v>7.1</v>
      </c>
      <c r="H95" t="n">
        <v>2</v>
      </c>
      <c r="I95" t="n">
        <v>2</v>
      </c>
      <c r="J95" t="n">
        <v>3</v>
      </c>
      <c r="K95" t="n">
        <v>0</v>
      </c>
      <c r="L95" t="n">
        <v>0</v>
      </c>
      <c r="M95" t="n">
        <v>0</v>
      </c>
      <c r="N95" t="n">
        <v>0</v>
      </c>
      <c r="O95" t="n">
        <v>3</v>
      </c>
      <c r="P95" t="n">
        <v>0</v>
      </c>
      <c r="Q95" t="n">
        <v>6</v>
      </c>
      <c r="R95" s="2" t="inlineStr">
        <is>
          <t>Ekticka
Talltita
Ullticka
Kornknutmossa
Vedticka
Blåsippa</t>
        </is>
      </c>
      <c r="S95">
        <f>HYPERLINK("https://klasma.github.io/Logging_0861/artfynd/A 53162-2022 artfynd.xlsx", "A 53162-2022")</f>
        <v/>
      </c>
      <c r="T95">
        <f>HYPERLINK("https://klasma.github.io/Logging_0861/kartor/A 53162-2022 karta.png", "A 53162-2022")</f>
        <v/>
      </c>
      <c r="V95">
        <f>HYPERLINK("https://klasma.github.io/Logging_0861/klagomål/A 53162-2022 FSC-klagomål.docx", "A 53162-2022")</f>
        <v/>
      </c>
      <c r="W95">
        <f>HYPERLINK("https://klasma.github.io/Logging_0861/klagomålsmail/A 53162-2022 FSC-klagomål mail.docx", "A 53162-2022")</f>
        <v/>
      </c>
      <c r="X95">
        <f>HYPERLINK("https://klasma.github.io/Logging_0861/tillsyn/A 53162-2022 tillsynsbegäran.docx", "A 53162-2022")</f>
        <v/>
      </c>
      <c r="Y95">
        <f>HYPERLINK("https://klasma.github.io/Logging_0861/tillsynsmail/A 53162-2022 tillsynsbegäran mail.docx", "A 53162-2022")</f>
        <v/>
      </c>
    </row>
    <row r="96" ht="15" customHeight="1">
      <c r="A96" t="inlineStr">
        <is>
          <t>A 974-2023</t>
        </is>
      </c>
      <c r="B96" s="1" t="n">
        <v>44935</v>
      </c>
      <c r="C96" s="1" t="n">
        <v>45232</v>
      </c>
      <c r="D96" t="inlineStr">
        <is>
          <t>KALMAR LÄN</t>
        </is>
      </c>
      <c r="E96" t="inlineStr">
        <is>
          <t>VÄSTERVIK</t>
        </is>
      </c>
      <c r="G96" t="n">
        <v>7.2</v>
      </c>
      <c r="H96" t="n">
        <v>1</v>
      </c>
      <c r="I96" t="n">
        <v>5</v>
      </c>
      <c r="J96" t="n">
        <v>0</v>
      </c>
      <c r="K96" t="n">
        <v>1</v>
      </c>
      <c r="L96" t="n">
        <v>0</v>
      </c>
      <c r="M96" t="n">
        <v>0</v>
      </c>
      <c r="N96" t="n">
        <v>0</v>
      </c>
      <c r="O96" t="n">
        <v>1</v>
      </c>
      <c r="P96" t="n">
        <v>1</v>
      </c>
      <c r="Q96" t="n">
        <v>6</v>
      </c>
      <c r="R96" s="2" t="inlineStr">
        <is>
          <t>Läderbagge
Blanksvart trämyra
Fällmossa
Guldlockmossa
Gulpudrad spiklav
Myskmadra</t>
        </is>
      </c>
      <c r="S96">
        <f>HYPERLINK("https://klasma.github.io/Logging_0883/artfynd/A 974-2023 artfynd.xlsx", "A 974-2023")</f>
        <v/>
      </c>
      <c r="T96">
        <f>HYPERLINK("https://klasma.github.io/Logging_0883/kartor/A 974-2023 karta.png", "A 974-2023")</f>
        <v/>
      </c>
      <c r="V96">
        <f>HYPERLINK("https://klasma.github.io/Logging_0883/klagomål/A 974-2023 FSC-klagomål.docx", "A 974-2023")</f>
        <v/>
      </c>
      <c r="W96">
        <f>HYPERLINK("https://klasma.github.io/Logging_0883/klagomålsmail/A 974-2023 FSC-klagomål mail.docx", "A 974-2023")</f>
        <v/>
      </c>
      <c r="X96">
        <f>HYPERLINK("https://klasma.github.io/Logging_0883/tillsyn/A 974-2023 tillsynsbegäran.docx", "A 974-2023")</f>
        <v/>
      </c>
      <c r="Y96">
        <f>HYPERLINK("https://klasma.github.io/Logging_0883/tillsynsmail/A 974-2023 tillsynsbegäran mail.docx", "A 974-2023")</f>
        <v/>
      </c>
    </row>
    <row r="97" ht="15" customHeight="1">
      <c r="A97" t="inlineStr">
        <is>
          <t>A 1960-2023</t>
        </is>
      </c>
      <c r="B97" s="1" t="n">
        <v>44939</v>
      </c>
      <c r="C97" s="1" t="n">
        <v>45232</v>
      </c>
      <c r="D97" t="inlineStr">
        <is>
          <t>KALMAR LÄN</t>
        </is>
      </c>
      <c r="E97" t="inlineStr">
        <is>
          <t>VIMMERBY</t>
        </is>
      </c>
      <c r="G97" t="n">
        <v>4.2</v>
      </c>
      <c r="H97" t="n">
        <v>1</v>
      </c>
      <c r="I97" t="n">
        <v>2</v>
      </c>
      <c r="J97" t="n">
        <v>3</v>
      </c>
      <c r="K97" t="n">
        <v>0</v>
      </c>
      <c r="L97" t="n">
        <v>0</v>
      </c>
      <c r="M97" t="n">
        <v>0</v>
      </c>
      <c r="N97" t="n">
        <v>0</v>
      </c>
      <c r="O97" t="n">
        <v>3</v>
      </c>
      <c r="P97" t="n">
        <v>0</v>
      </c>
      <c r="Q97" t="n">
        <v>6</v>
      </c>
      <c r="R97" s="2" t="inlineStr">
        <is>
          <t>Tallticka
Ullticka
Vedskivlav
Dropptaggsvamp
Guldlockmossa
Blåsippa</t>
        </is>
      </c>
      <c r="S97">
        <f>HYPERLINK("https://klasma.github.io/Logging_0884/artfynd/A 1960-2023 artfynd.xlsx", "A 1960-2023")</f>
        <v/>
      </c>
      <c r="T97">
        <f>HYPERLINK("https://klasma.github.io/Logging_0884/kartor/A 1960-2023 karta.png", "A 1960-2023")</f>
        <v/>
      </c>
      <c r="V97">
        <f>HYPERLINK("https://klasma.github.io/Logging_0884/klagomål/A 1960-2023 FSC-klagomål.docx", "A 1960-2023")</f>
        <v/>
      </c>
      <c r="W97">
        <f>HYPERLINK("https://klasma.github.io/Logging_0884/klagomålsmail/A 1960-2023 FSC-klagomål mail.docx", "A 1960-2023")</f>
        <v/>
      </c>
      <c r="X97">
        <f>HYPERLINK("https://klasma.github.io/Logging_0884/tillsyn/A 1960-2023 tillsynsbegäran.docx", "A 1960-2023")</f>
        <v/>
      </c>
      <c r="Y97">
        <f>HYPERLINK("https://klasma.github.io/Logging_0884/tillsynsmail/A 1960-2023 tillsynsbegäran mail.docx", "A 1960-2023")</f>
        <v/>
      </c>
    </row>
    <row r="98" ht="15" customHeight="1">
      <c r="A98" t="inlineStr">
        <is>
          <t>A 5139-2023</t>
        </is>
      </c>
      <c r="B98" s="1" t="n">
        <v>44958</v>
      </c>
      <c r="C98" s="1" t="n">
        <v>45232</v>
      </c>
      <c r="D98" t="inlineStr">
        <is>
          <t>KALMAR LÄN</t>
        </is>
      </c>
      <c r="E98" t="inlineStr">
        <is>
          <t>KALMAR</t>
        </is>
      </c>
      <c r="G98" t="n">
        <v>14.8</v>
      </c>
      <c r="H98" t="n">
        <v>6</v>
      </c>
      <c r="I98" t="n">
        <v>0</v>
      </c>
      <c r="J98" t="n">
        <v>3</v>
      </c>
      <c r="K98" t="n">
        <v>0</v>
      </c>
      <c r="L98" t="n">
        <v>0</v>
      </c>
      <c r="M98" t="n">
        <v>0</v>
      </c>
      <c r="N98" t="n">
        <v>0</v>
      </c>
      <c r="O98" t="n">
        <v>3</v>
      </c>
      <c r="P98" t="n">
        <v>0</v>
      </c>
      <c r="Q98" t="n">
        <v>6</v>
      </c>
      <c r="R98" s="2" t="inlineStr">
        <is>
          <t>Barbastell
Brunlångöra
Nordfladdermus
Dvärgpipistrell
Gråskimlig fladdermus
Större brunfladdermus</t>
        </is>
      </c>
      <c r="S98">
        <f>HYPERLINK("https://klasma.github.io/Logging_0880/artfynd/A 5139-2023 artfynd.xlsx", "A 5139-2023")</f>
        <v/>
      </c>
      <c r="T98">
        <f>HYPERLINK("https://klasma.github.io/Logging_0880/kartor/A 5139-2023 karta.png", "A 5139-2023")</f>
        <v/>
      </c>
      <c r="V98">
        <f>HYPERLINK("https://klasma.github.io/Logging_0880/klagomål/A 5139-2023 FSC-klagomål.docx", "A 5139-2023")</f>
        <v/>
      </c>
      <c r="W98">
        <f>HYPERLINK("https://klasma.github.io/Logging_0880/klagomålsmail/A 5139-2023 FSC-klagomål mail.docx", "A 5139-2023")</f>
        <v/>
      </c>
      <c r="X98">
        <f>HYPERLINK("https://klasma.github.io/Logging_0880/tillsyn/A 5139-2023 tillsynsbegäran.docx", "A 5139-2023")</f>
        <v/>
      </c>
      <c r="Y98">
        <f>HYPERLINK("https://klasma.github.io/Logging_0880/tillsynsmail/A 5139-2023 tillsynsbegäran mail.docx", "A 5139-2023")</f>
        <v/>
      </c>
    </row>
    <row r="99" ht="15" customHeight="1">
      <c r="A99" t="inlineStr">
        <is>
          <t>A 11740-2023</t>
        </is>
      </c>
      <c r="B99" s="1" t="n">
        <v>44994</v>
      </c>
      <c r="C99" s="1" t="n">
        <v>45232</v>
      </c>
      <c r="D99" t="inlineStr">
        <is>
          <t>KALMAR LÄN</t>
        </is>
      </c>
      <c r="E99" t="inlineStr">
        <is>
          <t>VÄSTERVIK</t>
        </is>
      </c>
      <c r="F99" t="inlineStr">
        <is>
          <t>Sveaskog</t>
        </is>
      </c>
      <c r="G99" t="n">
        <v>2.9</v>
      </c>
      <c r="H99" t="n">
        <v>1</v>
      </c>
      <c r="I99" t="n">
        <v>1</v>
      </c>
      <c r="J99" t="n">
        <v>4</v>
      </c>
      <c r="K99" t="n">
        <v>0</v>
      </c>
      <c r="L99" t="n">
        <v>0</v>
      </c>
      <c r="M99" t="n">
        <v>0</v>
      </c>
      <c r="N99" t="n">
        <v>0</v>
      </c>
      <c r="O99" t="n">
        <v>4</v>
      </c>
      <c r="P99" t="n">
        <v>0</v>
      </c>
      <c r="Q99" t="n">
        <v>6</v>
      </c>
      <c r="R99" s="2" t="inlineStr">
        <is>
          <t>Mindre bastardsvärmare
Skogsklocka
Smalsprötad bastardsvärmare
Tallticka
Fällmossa
Blåsippa</t>
        </is>
      </c>
      <c r="S99">
        <f>HYPERLINK("https://klasma.github.io/Logging_0883/artfynd/A 11740-2023 artfynd.xlsx", "A 11740-2023")</f>
        <v/>
      </c>
      <c r="T99">
        <f>HYPERLINK("https://klasma.github.io/Logging_0883/kartor/A 11740-2023 karta.png", "A 11740-2023")</f>
        <v/>
      </c>
      <c r="V99">
        <f>HYPERLINK("https://klasma.github.io/Logging_0883/klagomål/A 11740-2023 FSC-klagomål.docx", "A 11740-2023")</f>
        <v/>
      </c>
      <c r="W99">
        <f>HYPERLINK("https://klasma.github.io/Logging_0883/klagomålsmail/A 11740-2023 FSC-klagomål mail.docx", "A 11740-2023")</f>
        <v/>
      </c>
      <c r="X99">
        <f>HYPERLINK("https://klasma.github.io/Logging_0883/tillsyn/A 11740-2023 tillsynsbegäran.docx", "A 11740-2023")</f>
        <v/>
      </c>
      <c r="Y99">
        <f>HYPERLINK("https://klasma.github.io/Logging_0883/tillsynsmail/A 11740-2023 tillsynsbegäran mail.docx", "A 11740-2023")</f>
        <v/>
      </c>
    </row>
    <row r="100" ht="15" customHeight="1">
      <c r="A100" t="inlineStr">
        <is>
          <t>A 27636-2023</t>
        </is>
      </c>
      <c r="B100" s="1" t="n">
        <v>45097</v>
      </c>
      <c r="C100" s="1" t="n">
        <v>45232</v>
      </c>
      <c r="D100" t="inlineStr">
        <is>
          <t>KALMAR LÄN</t>
        </is>
      </c>
      <c r="E100" t="inlineStr">
        <is>
          <t>MÖRBYLÅNGA</t>
        </is>
      </c>
      <c r="G100" t="n">
        <v>7.4</v>
      </c>
      <c r="H100" t="n">
        <v>2</v>
      </c>
      <c r="I100" t="n">
        <v>1</v>
      </c>
      <c r="J100" t="n">
        <v>2</v>
      </c>
      <c r="K100" t="n">
        <v>0</v>
      </c>
      <c r="L100" t="n">
        <v>1</v>
      </c>
      <c r="M100" t="n">
        <v>0</v>
      </c>
      <c r="N100" t="n">
        <v>0</v>
      </c>
      <c r="O100" t="n">
        <v>3</v>
      </c>
      <c r="P100" t="n">
        <v>1</v>
      </c>
      <c r="Q100" t="n">
        <v>6</v>
      </c>
      <c r="R100" s="2" t="inlineStr">
        <is>
          <t>Ask
Backtimjan
Solvända
Murgröna
Alvarmalört
Gullviva</t>
        </is>
      </c>
      <c r="S100">
        <f>HYPERLINK("https://klasma.github.io/Logging_0840/artfynd/A 27636-2023 artfynd.xlsx", "A 27636-2023")</f>
        <v/>
      </c>
      <c r="T100">
        <f>HYPERLINK("https://klasma.github.io/Logging_0840/kartor/A 27636-2023 karta.png", "A 27636-2023")</f>
        <v/>
      </c>
      <c r="V100">
        <f>HYPERLINK("https://klasma.github.io/Logging_0840/klagomål/A 27636-2023 FSC-klagomål.docx", "A 27636-2023")</f>
        <v/>
      </c>
      <c r="W100">
        <f>HYPERLINK("https://klasma.github.io/Logging_0840/klagomålsmail/A 27636-2023 FSC-klagomål mail.docx", "A 27636-2023")</f>
        <v/>
      </c>
      <c r="X100">
        <f>HYPERLINK("https://klasma.github.io/Logging_0840/tillsyn/A 27636-2023 tillsynsbegäran.docx", "A 27636-2023")</f>
        <v/>
      </c>
      <c r="Y100">
        <f>HYPERLINK("https://klasma.github.io/Logging_0840/tillsynsmail/A 27636-2023 tillsynsbegäran mail.docx", "A 27636-2023")</f>
        <v/>
      </c>
    </row>
    <row r="101" ht="15" customHeight="1">
      <c r="A101" t="inlineStr">
        <is>
          <t>A 39231-2018</t>
        </is>
      </c>
      <c r="B101" s="1" t="n">
        <v>43339</v>
      </c>
      <c r="C101" s="1" t="n">
        <v>45232</v>
      </c>
      <c r="D101" t="inlineStr">
        <is>
          <t>KALMAR LÄN</t>
        </is>
      </c>
      <c r="E101" t="inlineStr">
        <is>
          <t>NYBRO</t>
        </is>
      </c>
      <c r="G101" t="n">
        <v>14.9</v>
      </c>
      <c r="H101" t="n">
        <v>1</v>
      </c>
      <c r="I101" t="n">
        <v>4</v>
      </c>
      <c r="J101" t="n">
        <v>0</v>
      </c>
      <c r="K101" t="n">
        <v>0</v>
      </c>
      <c r="L101" t="n">
        <v>0</v>
      </c>
      <c r="M101" t="n">
        <v>0</v>
      </c>
      <c r="N101" t="n">
        <v>0</v>
      </c>
      <c r="O101" t="n">
        <v>0</v>
      </c>
      <c r="P101" t="n">
        <v>0</v>
      </c>
      <c r="Q101" t="n">
        <v>5</v>
      </c>
      <c r="R101" s="2" t="inlineStr">
        <is>
          <t>Fjällig taggsvamp s.str.
Skarp dropptaggsvamp
Svart trolldruva
Tjockfotad fingersvamp
Blåsippa</t>
        </is>
      </c>
      <c r="S101">
        <f>HYPERLINK("https://klasma.github.io/Logging_0881/artfynd/A 39231-2018 artfynd.xlsx", "A 39231-2018")</f>
        <v/>
      </c>
      <c r="T101">
        <f>HYPERLINK("https://klasma.github.io/Logging_0881/kartor/A 39231-2018 karta.png", "A 39231-2018")</f>
        <v/>
      </c>
      <c r="V101">
        <f>HYPERLINK("https://klasma.github.io/Logging_0881/klagomål/A 39231-2018 FSC-klagomål.docx", "A 39231-2018")</f>
        <v/>
      </c>
      <c r="W101">
        <f>HYPERLINK("https://klasma.github.io/Logging_0881/klagomålsmail/A 39231-2018 FSC-klagomål mail.docx", "A 39231-2018")</f>
        <v/>
      </c>
      <c r="X101">
        <f>HYPERLINK("https://klasma.github.io/Logging_0881/tillsyn/A 39231-2018 tillsynsbegäran.docx", "A 39231-2018")</f>
        <v/>
      </c>
      <c r="Y101">
        <f>HYPERLINK("https://klasma.github.io/Logging_0881/tillsynsmail/A 39231-2018 tillsynsbegäran mail.docx", "A 39231-2018")</f>
        <v/>
      </c>
    </row>
    <row r="102" ht="15" customHeight="1">
      <c r="A102" t="inlineStr">
        <is>
          <t>A 63553-2018</t>
        </is>
      </c>
      <c r="B102" s="1" t="n">
        <v>43427</v>
      </c>
      <c r="C102" s="1" t="n">
        <v>45232</v>
      </c>
      <c r="D102" t="inlineStr">
        <is>
          <t>KALMAR LÄN</t>
        </is>
      </c>
      <c r="E102" t="inlineStr">
        <is>
          <t>VÄSTERVIK</t>
        </is>
      </c>
      <c r="F102" t="inlineStr">
        <is>
          <t>Övriga Aktiebolag</t>
        </is>
      </c>
      <c r="G102" t="n">
        <v>6.9</v>
      </c>
      <c r="H102" t="n">
        <v>1</v>
      </c>
      <c r="I102" t="n">
        <v>2</v>
      </c>
      <c r="J102" t="n">
        <v>2</v>
      </c>
      <c r="K102" t="n">
        <v>0</v>
      </c>
      <c r="L102" t="n">
        <v>0</v>
      </c>
      <c r="M102" t="n">
        <v>0</v>
      </c>
      <c r="N102" t="n">
        <v>0</v>
      </c>
      <c r="O102" t="n">
        <v>2</v>
      </c>
      <c r="P102" t="n">
        <v>0</v>
      </c>
      <c r="Q102" t="n">
        <v>5</v>
      </c>
      <c r="R102" s="2" t="inlineStr">
        <is>
          <t>Ekticka
Lunglav
Blomskägglav
Ekskinn
Blåsippa</t>
        </is>
      </c>
      <c r="S102">
        <f>HYPERLINK("https://klasma.github.io/Logging_0883/artfynd/A 63553-2018 artfynd.xlsx", "A 63553-2018")</f>
        <v/>
      </c>
      <c r="T102">
        <f>HYPERLINK("https://klasma.github.io/Logging_0883/kartor/A 63553-2018 karta.png", "A 63553-2018")</f>
        <v/>
      </c>
      <c r="V102">
        <f>HYPERLINK("https://klasma.github.io/Logging_0883/klagomål/A 63553-2018 FSC-klagomål.docx", "A 63553-2018")</f>
        <v/>
      </c>
      <c r="W102">
        <f>HYPERLINK("https://klasma.github.io/Logging_0883/klagomålsmail/A 63553-2018 FSC-klagomål mail.docx", "A 63553-2018")</f>
        <v/>
      </c>
      <c r="X102">
        <f>HYPERLINK("https://klasma.github.io/Logging_0883/tillsyn/A 63553-2018 tillsynsbegäran.docx", "A 63553-2018")</f>
        <v/>
      </c>
      <c r="Y102">
        <f>HYPERLINK("https://klasma.github.io/Logging_0883/tillsynsmail/A 63553-2018 tillsynsbegäran mail.docx", "A 63553-2018")</f>
        <v/>
      </c>
    </row>
    <row r="103" ht="15" customHeight="1">
      <c r="A103" t="inlineStr">
        <is>
          <t>A 68401-2018</t>
        </is>
      </c>
      <c r="B103" s="1" t="n">
        <v>43438</v>
      </c>
      <c r="C103" s="1" t="n">
        <v>45232</v>
      </c>
      <c r="D103" t="inlineStr">
        <is>
          <t>KALMAR LÄN</t>
        </is>
      </c>
      <c r="E103" t="inlineStr">
        <is>
          <t>HULTSFRED</t>
        </is>
      </c>
      <c r="G103" t="n">
        <v>0.5</v>
      </c>
      <c r="H103" t="n">
        <v>2</v>
      </c>
      <c r="I103" t="n">
        <v>2</v>
      </c>
      <c r="J103" t="n">
        <v>0</v>
      </c>
      <c r="K103" t="n">
        <v>0</v>
      </c>
      <c r="L103" t="n">
        <v>1</v>
      </c>
      <c r="M103" t="n">
        <v>0</v>
      </c>
      <c r="N103" t="n">
        <v>0</v>
      </c>
      <c r="O103" t="n">
        <v>1</v>
      </c>
      <c r="P103" t="n">
        <v>1</v>
      </c>
      <c r="Q103" t="n">
        <v>5</v>
      </c>
      <c r="R103" s="2" t="inlineStr">
        <is>
          <t>Ask
Svart trolldruva
Tibast
Blåsippa
Gullviva</t>
        </is>
      </c>
      <c r="S103">
        <f>HYPERLINK("https://klasma.github.io/Logging_0860/artfynd/A 68401-2018 artfynd.xlsx", "A 68401-2018")</f>
        <v/>
      </c>
      <c r="T103">
        <f>HYPERLINK("https://klasma.github.io/Logging_0860/kartor/A 68401-2018 karta.png", "A 68401-2018")</f>
        <v/>
      </c>
      <c r="V103">
        <f>HYPERLINK("https://klasma.github.io/Logging_0860/klagomål/A 68401-2018 FSC-klagomål.docx", "A 68401-2018")</f>
        <v/>
      </c>
      <c r="W103">
        <f>HYPERLINK("https://klasma.github.io/Logging_0860/klagomålsmail/A 68401-2018 FSC-klagomål mail.docx", "A 68401-2018")</f>
        <v/>
      </c>
      <c r="X103">
        <f>HYPERLINK("https://klasma.github.io/Logging_0860/tillsyn/A 68401-2018 tillsynsbegäran.docx", "A 68401-2018")</f>
        <v/>
      </c>
      <c r="Y103">
        <f>HYPERLINK("https://klasma.github.io/Logging_0860/tillsynsmail/A 68401-2018 tillsynsbegäran mail.docx", "A 68401-2018")</f>
        <v/>
      </c>
    </row>
    <row r="104" ht="15" customHeight="1">
      <c r="A104" t="inlineStr">
        <is>
          <t>A 70338-2018</t>
        </is>
      </c>
      <c r="B104" s="1" t="n">
        <v>43446</v>
      </c>
      <c r="C104" s="1" t="n">
        <v>45232</v>
      </c>
      <c r="D104" t="inlineStr">
        <is>
          <t>KALMAR LÄN</t>
        </is>
      </c>
      <c r="E104" t="inlineStr">
        <is>
          <t>MÖNSTERÅS</t>
        </is>
      </c>
      <c r="F104" t="inlineStr">
        <is>
          <t>Övriga Aktiebolag</t>
        </is>
      </c>
      <c r="G104" t="n">
        <v>7</v>
      </c>
      <c r="H104" t="n">
        <v>1</v>
      </c>
      <c r="I104" t="n">
        <v>0</v>
      </c>
      <c r="J104" t="n">
        <v>3</v>
      </c>
      <c r="K104" t="n">
        <v>1</v>
      </c>
      <c r="L104" t="n">
        <v>1</v>
      </c>
      <c r="M104" t="n">
        <v>0</v>
      </c>
      <c r="N104" t="n">
        <v>0</v>
      </c>
      <c r="O104" t="n">
        <v>5</v>
      </c>
      <c r="P104" t="n">
        <v>2</v>
      </c>
      <c r="Q104" t="n">
        <v>5</v>
      </c>
      <c r="R104" s="2" t="inlineStr">
        <is>
          <t>Ask
Lungrot
Mörk dunört
Rödvingetrast
Sminkrot</t>
        </is>
      </c>
      <c r="S104">
        <f>HYPERLINK("https://klasma.github.io/Logging_0861/artfynd/A 70338-2018 artfynd.xlsx", "A 70338-2018")</f>
        <v/>
      </c>
      <c r="T104">
        <f>HYPERLINK("https://klasma.github.io/Logging_0861/kartor/A 70338-2018 karta.png", "A 70338-2018")</f>
        <v/>
      </c>
      <c r="V104">
        <f>HYPERLINK("https://klasma.github.io/Logging_0861/klagomål/A 70338-2018 FSC-klagomål.docx", "A 70338-2018")</f>
        <v/>
      </c>
      <c r="W104">
        <f>HYPERLINK("https://klasma.github.io/Logging_0861/klagomålsmail/A 70338-2018 FSC-klagomål mail.docx", "A 70338-2018")</f>
        <v/>
      </c>
      <c r="X104">
        <f>HYPERLINK("https://klasma.github.io/Logging_0861/tillsyn/A 70338-2018 tillsynsbegäran.docx", "A 70338-2018")</f>
        <v/>
      </c>
      <c r="Y104">
        <f>HYPERLINK("https://klasma.github.io/Logging_0861/tillsynsmail/A 70338-2018 tillsynsbegäran mail.docx", "A 70338-2018")</f>
        <v/>
      </c>
    </row>
    <row r="105" ht="15" customHeight="1">
      <c r="A105" t="inlineStr">
        <is>
          <t>A 9408-2019</t>
        </is>
      </c>
      <c r="B105" s="1" t="n">
        <v>43507</v>
      </c>
      <c r="C105" s="1" t="n">
        <v>45232</v>
      </c>
      <c r="D105" t="inlineStr">
        <is>
          <t>KALMAR LÄN</t>
        </is>
      </c>
      <c r="E105" t="inlineStr">
        <is>
          <t>HULTSFRED</t>
        </is>
      </c>
      <c r="G105" t="n">
        <v>5.6</v>
      </c>
      <c r="H105" t="n">
        <v>1</v>
      </c>
      <c r="I105" t="n">
        <v>1</v>
      </c>
      <c r="J105" t="n">
        <v>4</v>
      </c>
      <c r="K105" t="n">
        <v>0</v>
      </c>
      <c r="L105" t="n">
        <v>0</v>
      </c>
      <c r="M105" t="n">
        <v>0</v>
      </c>
      <c r="N105" t="n">
        <v>0</v>
      </c>
      <c r="O105" t="n">
        <v>4</v>
      </c>
      <c r="P105" t="n">
        <v>0</v>
      </c>
      <c r="Q105" t="n">
        <v>5</v>
      </c>
      <c r="R105" s="2" t="inlineStr">
        <is>
          <t>Hornuggla
Tallticka
Ullticka
Vedskivlav
Grovticka</t>
        </is>
      </c>
      <c r="S105">
        <f>HYPERLINK("https://klasma.github.io/Logging_0860/artfynd/A 9408-2019 artfynd.xlsx", "A 9408-2019")</f>
        <v/>
      </c>
      <c r="T105">
        <f>HYPERLINK("https://klasma.github.io/Logging_0860/kartor/A 9408-2019 karta.png", "A 9408-2019")</f>
        <v/>
      </c>
      <c r="V105">
        <f>HYPERLINK("https://klasma.github.io/Logging_0860/klagomål/A 9408-2019 FSC-klagomål.docx", "A 9408-2019")</f>
        <v/>
      </c>
      <c r="W105">
        <f>HYPERLINK("https://klasma.github.io/Logging_0860/klagomålsmail/A 9408-2019 FSC-klagomål mail.docx", "A 9408-2019")</f>
        <v/>
      </c>
      <c r="X105">
        <f>HYPERLINK("https://klasma.github.io/Logging_0860/tillsyn/A 9408-2019 tillsynsbegäran.docx", "A 9408-2019")</f>
        <v/>
      </c>
      <c r="Y105">
        <f>HYPERLINK("https://klasma.github.io/Logging_0860/tillsynsmail/A 9408-2019 tillsynsbegäran mail.docx", "A 9408-2019")</f>
        <v/>
      </c>
    </row>
    <row r="106" ht="15" customHeight="1">
      <c r="A106" t="inlineStr">
        <is>
          <t>A 17826-2019</t>
        </is>
      </c>
      <c r="B106" s="1" t="n">
        <v>43556</v>
      </c>
      <c r="C106" s="1" t="n">
        <v>45232</v>
      </c>
      <c r="D106" t="inlineStr">
        <is>
          <t>KALMAR LÄN</t>
        </is>
      </c>
      <c r="E106" t="inlineStr">
        <is>
          <t>NYBRO</t>
        </is>
      </c>
      <c r="G106" t="n">
        <v>4.5</v>
      </c>
      <c r="H106" t="n">
        <v>1</v>
      </c>
      <c r="I106" t="n">
        <v>4</v>
      </c>
      <c r="J106" t="n">
        <v>0</v>
      </c>
      <c r="K106" t="n">
        <v>0</v>
      </c>
      <c r="L106" t="n">
        <v>0</v>
      </c>
      <c r="M106" t="n">
        <v>0</v>
      </c>
      <c r="N106" t="n">
        <v>0</v>
      </c>
      <c r="O106" t="n">
        <v>0</v>
      </c>
      <c r="P106" t="n">
        <v>0</v>
      </c>
      <c r="Q106" t="n">
        <v>5</v>
      </c>
      <c r="R106" s="2" t="inlineStr">
        <is>
          <t>Blomskägglav
Bårdlav
Ekskinn
Fällmossa
Blåsippa</t>
        </is>
      </c>
      <c r="S106">
        <f>HYPERLINK("https://klasma.github.io/Logging_0881/artfynd/A 17826-2019 artfynd.xlsx", "A 17826-2019")</f>
        <v/>
      </c>
      <c r="T106">
        <f>HYPERLINK("https://klasma.github.io/Logging_0881/kartor/A 17826-2019 karta.png", "A 17826-2019")</f>
        <v/>
      </c>
      <c r="V106">
        <f>HYPERLINK("https://klasma.github.io/Logging_0881/klagomål/A 17826-2019 FSC-klagomål.docx", "A 17826-2019")</f>
        <v/>
      </c>
      <c r="W106">
        <f>HYPERLINK("https://klasma.github.io/Logging_0881/klagomålsmail/A 17826-2019 FSC-klagomål mail.docx", "A 17826-2019")</f>
        <v/>
      </c>
      <c r="X106">
        <f>HYPERLINK("https://klasma.github.io/Logging_0881/tillsyn/A 17826-2019 tillsynsbegäran.docx", "A 17826-2019")</f>
        <v/>
      </c>
      <c r="Y106">
        <f>HYPERLINK("https://klasma.github.io/Logging_0881/tillsynsmail/A 17826-2019 tillsynsbegäran mail.docx", "A 17826-2019")</f>
        <v/>
      </c>
    </row>
    <row r="107" ht="15" customHeight="1">
      <c r="A107" t="inlineStr">
        <is>
          <t>A 20823-2019</t>
        </is>
      </c>
      <c r="B107" s="1" t="n">
        <v>43573</v>
      </c>
      <c r="C107" s="1" t="n">
        <v>45232</v>
      </c>
      <c r="D107" t="inlineStr">
        <is>
          <t>KALMAR LÄN</t>
        </is>
      </c>
      <c r="E107" t="inlineStr">
        <is>
          <t>HÖGSBY</t>
        </is>
      </c>
      <c r="G107" t="n">
        <v>6.3</v>
      </c>
      <c r="H107" t="n">
        <v>1</v>
      </c>
      <c r="I107" t="n">
        <v>4</v>
      </c>
      <c r="J107" t="n">
        <v>0</v>
      </c>
      <c r="K107" t="n">
        <v>1</v>
      </c>
      <c r="L107" t="n">
        <v>0</v>
      </c>
      <c r="M107" t="n">
        <v>0</v>
      </c>
      <c r="N107" t="n">
        <v>0</v>
      </c>
      <c r="O107" t="n">
        <v>1</v>
      </c>
      <c r="P107" t="n">
        <v>1</v>
      </c>
      <c r="Q107" t="n">
        <v>5</v>
      </c>
      <c r="R107" s="2" t="inlineStr">
        <is>
          <t>Knärot
Blåmossa
Fjällig taggsvamp s.str.
Skarp dropptaggsvamp
Tjockfotad fingersvamp</t>
        </is>
      </c>
      <c r="S107">
        <f>HYPERLINK("https://klasma.github.io/Logging_0821/artfynd/A 20823-2019 artfynd.xlsx", "A 20823-2019")</f>
        <v/>
      </c>
      <c r="T107">
        <f>HYPERLINK("https://klasma.github.io/Logging_0821/kartor/A 20823-2019 karta.png", "A 20823-2019")</f>
        <v/>
      </c>
      <c r="U107">
        <f>HYPERLINK("https://klasma.github.io/Logging_0821/knärot/A 20823-2019 karta knärot.png", "A 20823-2019")</f>
        <v/>
      </c>
      <c r="V107">
        <f>HYPERLINK("https://klasma.github.io/Logging_0821/klagomål/A 20823-2019 FSC-klagomål.docx", "A 20823-2019")</f>
        <v/>
      </c>
      <c r="W107">
        <f>HYPERLINK("https://klasma.github.io/Logging_0821/klagomålsmail/A 20823-2019 FSC-klagomål mail.docx", "A 20823-2019")</f>
        <v/>
      </c>
      <c r="X107">
        <f>HYPERLINK("https://klasma.github.io/Logging_0821/tillsyn/A 20823-2019 tillsynsbegäran.docx", "A 20823-2019")</f>
        <v/>
      </c>
      <c r="Y107">
        <f>HYPERLINK("https://klasma.github.io/Logging_0821/tillsynsmail/A 20823-2019 tillsynsbegäran mail.docx", "A 20823-2019")</f>
        <v/>
      </c>
    </row>
    <row r="108" ht="15" customHeight="1">
      <c r="A108" t="inlineStr">
        <is>
          <t>A 36145-2019</t>
        </is>
      </c>
      <c r="B108" s="1" t="n">
        <v>43668</v>
      </c>
      <c r="C108" s="1" t="n">
        <v>45232</v>
      </c>
      <c r="D108" t="inlineStr">
        <is>
          <t>KALMAR LÄN</t>
        </is>
      </c>
      <c r="E108" t="inlineStr">
        <is>
          <t>HÖGSBY</t>
        </is>
      </c>
      <c r="G108" t="n">
        <v>0.5</v>
      </c>
      <c r="H108" t="n">
        <v>1</v>
      </c>
      <c r="I108" t="n">
        <v>3</v>
      </c>
      <c r="J108" t="n">
        <v>0</v>
      </c>
      <c r="K108" t="n">
        <v>1</v>
      </c>
      <c r="L108" t="n">
        <v>0</v>
      </c>
      <c r="M108" t="n">
        <v>0</v>
      </c>
      <c r="N108" t="n">
        <v>0</v>
      </c>
      <c r="O108" t="n">
        <v>1</v>
      </c>
      <c r="P108" t="n">
        <v>1</v>
      </c>
      <c r="Q108" t="n">
        <v>5</v>
      </c>
      <c r="R108" s="2" t="inlineStr">
        <is>
          <t>Grangråticka
Fjällig taggsvamp s.str.
Kamjordstjärna
Skarp dropptaggsvamp
Blåsippa</t>
        </is>
      </c>
      <c r="S108">
        <f>HYPERLINK("https://klasma.github.io/Logging_0821/artfynd/A 36145-2019 artfynd.xlsx", "A 36145-2019")</f>
        <v/>
      </c>
      <c r="T108">
        <f>HYPERLINK("https://klasma.github.io/Logging_0821/kartor/A 36145-2019 karta.png", "A 36145-2019")</f>
        <v/>
      </c>
      <c r="V108">
        <f>HYPERLINK("https://klasma.github.io/Logging_0821/klagomål/A 36145-2019 FSC-klagomål.docx", "A 36145-2019")</f>
        <v/>
      </c>
      <c r="W108">
        <f>HYPERLINK("https://klasma.github.io/Logging_0821/klagomålsmail/A 36145-2019 FSC-klagomål mail.docx", "A 36145-2019")</f>
        <v/>
      </c>
      <c r="X108">
        <f>HYPERLINK("https://klasma.github.io/Logging_0821/tillsyn/A 36145-2019 tillsynsbegäran.docx", "A 36145-2019")</f>
        <v/>
      </c>
      <c r="Y108">
        <f>HYPERLINK("https://klasma.github.io/Logging_0821/tillsynsmail/A 36145-2019 tillsynsbegäran mail.docx", "A 36145-2019")</f>
        <v/>
      </c>
    </row>
    <row r="109" ht="15" customHeight="1">
      <c r="A109" t="inlineStr">
        <is>
          <t>A 55589-2019</t>
        </is>
      </c>
      <c r="B109" s="1" t="n">
        <v>43760</v>
      </c>
      <c r="C109" s="1" t="n">
        <v>45232</v>
      </c>
      <c r="D109" t="inlineStr">
        <is>
          <t>KALMAR LÄN</t>
        </is>
      </c>
      <c r="E109" t="inlineStr">
        <is>
          <t>MÖRBYLÅNGA</t>
        </is>
      </c>
      <c r="G109" t="n">
        <v>1.3</v>
      </c>
      <c r="H109" t="n">
        <v>4</v>
      </c>
      <c r="I109" t="n">
        <v>0</v>
      </c>
      <c r="J109" t="n">
        <v>3</v>
      </c>
      <c r="K109" t="n">
        <v>1</v>
      </c>
      <c r="L109" t="n">
        <v>1</v>
      </c>
      <c r="M109" t="n">
        <v>0</v>
      </c>
      <c r="N109" t="n">
        <v>0</v>
      </c>
      <c r="O109" t="n">
        <v>5</v>
      </c>
      <c r="P109" t="n">
        <v>2</v>
      </c>
      <c r="Q109" t="n">
        <v>5</v>
      </c>
      <c r="R109" s="2" t="inlineStr">
        <is>
          <t>Ask
Stare
Gulsparv
Svartvit flugsnappare
Ärtsångare</t>
        </is>
      </c>
      <c r="S109">
        <f>HYPERLINK("https://klasma.github.io/Logging_0840/artfynd/A 55589-2019 artfynd.xlsx", "A 55589-2019")</f>
        <v/>
      </c>
      <c r="T109">
        <f>HYPERLINK("https://klasma.github.io/Logging_0840/kartor/A 55589-2019 karta.png", "A 55589-2019")</f>
        <v/>
      </c>
      <c r="V109">
        <f>HYPERLINK("https://klasma.github.io/Logging_0840/klagomål/A 55589-2019 FSC-klagomål.docx", "A 55589-2019")</f>
        <v/>
      </c>
      <c r="W109">
        <f>HYPERLINK("https://klasma.github.io/Logging_0840/klagomålsmail/A 55589-2019 FSC-klagomål mail.docx", "A 55589-2019")</f>
        <v/>
      </c>
      <c r="X109">
        <f>HYPERLINK("https://klasma.github.io/Logging_0840/tillsyn/A 55589-2019 tillsynsbegäran.docx", "A 55589-2019")</f>
        <v/>
      </c>
      <c r="Y109">
        <f>HYPERLINK("https://klasma.github.io/Logging_0840/tillsynsmail/A 55589-2019 tillsynsbegäran mail.docx", "A 55589-2019")</f>
        <v/>
      </c>
    </row>
    <row r="110" ht="15" customHeight="1">
      <c r="A110" t="inlineStr">
        <is>
          <t>A 2085-2020</t>
        </is>
      </c>
      <c r="B110" s="1" t="n">
        <v>43845</v>
      </c>
      <c r="C110" s="1" t="n">
        <v>45232</v>
      </c>
      <c r="D110" t="inlineStr">
        <is>
          <t>KALMAR LÄN</t>
        </is>
      </c>
      <c r="E110" t="inlineStr">
        <is>
          <t>HULTSFRED</t>
        </is>
      </c>
      <c r="F110" t="inlineStr">
        <is>
          <t>Övriga Aktiebolag</t>
        </is>
      </c>
      <c r="G110" t="n">
        <v>3.7</v>
      </c>
      <c r="H110" t="n">
        <v>3</v>
      </c>
      <c r="I110" t="n">
        <v>2</v>
      </c>
      <c r="J110" t="n">
        <v>1</v>
      </c>
      <c r="K110" t="n">
        <v>1</v>
      </c>
      <c r="L110" t="n">
        <v>0</v>
      </c>
      <c r="M110" t="n">
        <v>0</v>
      </c>
      <c r="N110" t="n">
        <v>0</v>
      </c>
      <c r="O110" t="n">
        <v>2</v>
      </c>
      <c r="P110" t="n">
        <v>1</v>
      </c>
      <c r="Q110" t="n">
        <v>5</v>
      </c>
      <c r="R110" s="2" t="inlineStr">
        <is>
          <t>Knärot
Vedtrappmossa
Flagellkvastmossa
Grön sköldmossa
Blåsippa</t>
        </is>
      </c>
      <c r="S110">
        <f>HYPERLINK("https://klasma.github.io/Logging_0860/artfynd/A 2085-2020 artfynd.xlsx", "A 2085-2020")</f>
        <v/>
      </c>
      <c r="T110">
        <f>HYPERLINK("https://klasma.github.io/Logging_0860/kartor/A 2085-2020 karta.png", "A 2085-2020")</f>
        <v/>
      </c>
      <c r="U110">
        <f>HYPERLINK("https://klasma.github.io/Logging_0860/knärot/A 2085-2020 karta knärot.png", "A 2085-2020")</f>
        <v/>
      </c>
      <c r="V110">
        <f>HYPERLINK("https://klasma.github.io/Logging_0860/klagomål/A 2085-2020 FSC-klagomål.docx", "A 2085-2020")</f>
        <v/>
      </c>
      <c r="W110">
        <f>HYPERLINK("https://klasma.github.io/Logging_0860/klagomålsmail/A 2085-2020 FSC-klagomål mail.docx", "A 2085-2020")</f>
        <v/>
      </c>
      <c r="X110">
        <f>HYPERLINK("https://klasma.github.io/Logging_0860/tillsyn/A 2085-2020 tillsynsbegäran.docx", "A 2085-2020")</f>
        <v/>
      </c>
      <c r="Y110">
        <f>HYPERLINK("https://klasma.github.io/Logging_0860/tillsynsmail/A 2085-2020 tillsynsbegäran mail.docx", "A 2085-2020")</f>
        <v/>
      </c>
    </row>
    <row r="111" ht="15" customHeight="1">
      <c r="A111" t="inlineStr">
        <is>
          <t>A 16102-2020</t>
        </is>
      </c>
      <c r="B111" s="1" t="n">
        <v>43916</v>
      </c>
      <c r="C111" s="1" t="n">
        <v>45232</v>
      </c>
      <c r="D111" t="inlineStr">
        <is>
          <t>KALMAR LÄN</t>
        </is>
      </c>
      <c r="E111" t="inlineStr">
        <is>
          <t>HULTSFRED</t>
        </is>
      </c>
      <c r="G111" t="n">
        <v>3.8</v>
      </c>
      <c r="H111" t="n">
        <v>2</v>
      </c>
      <c r="I111" t="n">
        <v>2</v>
      </c>
      <c r="J111" t="n">
        <v>1</v>
      </c>
      <c r="K111" t="n">
        <v>0</v>
      </c>
      <c r="L111" t="n">
        <v>0</v>
      </c>
      <c r="M111" t="n">
        <v>0</v>
      </c>
      <c r="N111" t="n">
        <v>0</v>
      </c>
      <c r="O111" t="n">
        <v>1</v>
      </c>
      <c r="P111" t="n">
        <v>0</v>
      </c>
      <c r="Q111" t="n">
        <v>5</v>
      </c>
      <c r="R111" s="2" t="inlineStr">
        <is>
          <t>Vedtrappmossa
Blåmossa
Tibast
Blåsippa
Revlummer</t>
        </is>
      </c>
      <c r="S111">
        <f>HYPERLINK("https://klasma.github.io/Logging_0860/artfynd/A 16102-2020 artfynd.xlsx", "A 16102-2020")</f>
        <v/>
      </c>
      <c r="T111">
        <f>HYPERLINK("https://klasma.github.io/Logging_0860/kartor/A 16102-2020 karta.png", "A 16102-2020")</f>
        <v/>
      </c>
      <c r="V111">
        <f>HYPERLINK("https://klasma.github.io/Logging_0860/klagomål/A 16102-2020 FSC-klagomål.docx", "A 16102-2020")</f>
        <v/>
      </c>
      <c r="W111">
        <f>HYPERLINK("https://klasma.github.io/Logging_0860/klagomålsmail/A 16102-2020 FSC-klagomål mail.docx", "A 16102-2020")</f>
        <v/>
      </c>
      <c r="X111">
        <f>HYPERLINK("https://klasma.github.io/Logging_0860/tillsyn/A 16102-2020 tillsynsbegäran.docx", "A 16102-2020")</f>
        <v/>
      </c>
      <c r="Y111">
        <f>HYPERLINK("https://klasma.github.io/Logging_0860/tillsynsmail/A 16102-2020 tillsynsbegäran mail.docx", "A 16102-2020")</f>
        <v/>
      </c>
    </row>
    <row r="112" ht="15" customHeight="1">
      <c r="A112" t="inlineStr">
        <is>
          <t>A 26222-2020</t>
        </is>
      </c>
      <c r="B112" s="1" t="n">
        <v>43986</v>
      </c>
      <c r="C112" s="1" t="n">
        <v>45232</v>
      </c>
      <c r="D112" t="inlineStr">
        <is>
          <t>KALMAR LÄN</t>
        </is>
      </c>
      <c r="E112" t="inlineStr">
        <is>
          <t>HULTSFRED</t>
        </is>
      </c>
      <c r="F112" t="inlineStr">
        <is>
          <t>Kyrkan</t>
        </is>
      </c>
      <c r="G112" t="n">
        <v>2.1</v>
      </c>
      <c r="H112" t="n">
        <v>3</v>
      </c>
      <c r="I112" t="n">
        <v>1</v>
      </c>
      <c r="J112" t="n">
        <v>1</v>
      </c>
      <c r="K112" t="n">
        <v>0</v>
      </c>
      <c r="L112" t="n">
        <v>0</v>
      </c>
      <c r="M112" t="n">
        <v>0</v>
      </c>
      <c r="N112" t="n">
        <v>0</v>
      </c>
      <c r="O112" t="n">
        <v>1</v>
      </c>
      <c r="P112" t="n">
        <v>0</v>
      </c>
      <c r="Q112" t="n">
        <v>5</v>
      </c>
      <c r="R112" s="2" t="inlineStr">
        <is>
          <t>Spindelört
Underviol
Grönvit nattviol
Blåsippa
Revlummer</t>
        </is>
      </c>
      <c r="S112">
        <f>HYPERLINK("https://klasma.github.io/Logging_0860/artfynd/A 26222-2020 artfynd.xlsx", "A 26222-2020")</f>
        <v/>
      </c>
      <c r="T112">
        <f>HYPERLINK("https://klasma.github.io/Logging_0860/kartor/A 26222-2020 karta.png", "A 26222-2020")</f>
        <v/>
      </c>
      <c r="V112">
        <f>HYPERLINK("https://klasma.github.io/Logging_0860/klagomål/A 26222-2020 FSC-klagomål.docx", "A 26222-2020")</f>
        <v/>
      </c>
      <c r="W112">
        <f>HYPERLINK("https://klasma.github.io/Logging_0860/klagomålsmail/A 26222-2020 FSC-klagomål mail.docx", "A 26222-2020")</f>
        <v/>
      </c>
      <c r="X112">
        <f>HYPERLINK("https://klasma.github.io/Logging_0860/tillsyn/A 26222-2020 tillsynsbegäran.docx", "A 26222-2020")</f>
        <v/>
      </c>
      <c r="Y112">
        <f>HYPERLINK("https://klasma.github.io/Logging_0860/tillsynsmail/A 26222-2020 tillsynsbegäran mail.docx", "A 26222-2020")</f>
        <v/>
      </c>
    </row>
    <row r="113" ht="15" customHeight="1">
      <c r="A113" t="inlineStr">
        <is>
          <t>A 55371-2020</t>
        </is>
      </c>
      <c r="B113" s="1" t="n">
        <v>44130</v>
      </c>
      <c r="C113" s="1" t="n">
        <v>45232</v>
      </c>
      <c r="D113" t="inlineStr">
        <is>
          <t>KALMAR LÄN</t>
        </is>
      </c>
      <c r="E113" t="inlineStr">
        <is>
          <t>MÖNSTERÅS</t>
        </is>
      </c>
      <c r="F113" t="inlineStr">
        <is>
          <t>Övriga Aktiebolag</t>
        </is>
      </c>
      <c r="G113" t="n">
        <v>12.7</v>
      </c>
      <c r="H113" t="n">
        <v>4</v>
      </c>
      <c r="I113" t="n">
        <v>1</v>
      </c>
      <c r="J113" t="n">
        <v>3</v>
      </c>
      <c r="K113" t="n">
        <v>0</v>
      </c>
      <c r="L113" t="n">
        <v>0</v>
      </c>
      <c r="M113" t="n">
        <v>0</v>
      </c>
      <c r="N113" t="n">
        <v>0</v>
      </c>
      <c r="O113" t="n">
        <v>3</v>
      </c>
      <c r="P113" t="n">
        <v>0</v>
      </c>
      <c r="Q113" t="n">
        <v>5</v>
      </c>
      <c r="R113" s="2" t="inlineStr">
        <is>
          <t>Havsörn
Kungsörn
Spillkråka
Blomskägglav
Revlummer</t>
        </is>
      </c>
      <c r="S113">
        <f>HYPERLINK("https://klasma.github.io/Logging_0861/artfynd/A 55371-2020 artfynd.xlsx", "A 55371-2020")</f>
        <v/>
      </c>
      <c r="T113">
        <f>HYPERLINK("https://klasma.github.io/Logging_0861/kartor/A 55371-2020 karta.png", "A 55371-2020")</f>
        <v/>
      </c>
      <c r="V113">
        <f>HYPERLINK("https://klasma.github.io/Logging_0861/klagomål/A 55371-2020 FSC-klagomål.docx", "A 55371-2020")</f>
        <v/>
      </c>
      <c r="W113">
        <f>HYPERLINK("https://klasma.github.io/Logging_0861/klagomålsmail/A 55371-2020 FSC-klagomål mail.docx", "A 55371-2020")</f>
        <v/>
      </c>
      <c r="X113">
        <f>HYPERLINK("https://klasma.github.io/Logging_0861/tillsyn/A 55371-2020 tillsynsbegäran.docx", "A 55371-2020")</f>
        <v/>
      </c>
      <c r="Y113">
        <f>HYPERLINK("https://klasma.github.io/Logging_0861/tillsynsmail/A 55371-2020 tillsynsbegäran mail.docx", "A 55371-2020")</f>
        <v/>
      </c>
    </row>
    <row r="114" ht="15" customHeight="1">
      <c r="A114" t="inlineStr">
        <is>
          <t>A 4881-2021</t>
        </is>
      </c>
      <c r="B114" s="1" t="n">
        <v>44225</v>
      </c>
      <c r="C114" s="1" t="n">
        <v>45232</v>
      </c>
      <c r="D114" t="inlineStr">
        <is>
          <t>KALMAR LÄN</t>
        </is>
      </c>
      <c r="E114" t="inlineStr">
        <is>
          <t>BORGHOLM</t>
        </is>
      </c>
      <c r="G114" t="n">
        <v>5.3</v>
      </c>
      <c r="H114" t="n">
        <v>2</v>
      </c>
      <c r="I114" t="n">
        <v>3</v>
      </c>
      <c r="J114" t="n">
        <v>0</v>
      </c>
      <c r="K114" t="n">
        <v>1</v>
      </c>
      <c r="L114" t="n">
        <v>0</v>
      </c>
      <c r="M114" t="n">
        <v>0</v>
      </c>
      <c r="N114" t="n">
        <v>0</v>
      </c>
      <c r="O114" t="n">
        <v>1</v>
      </c>
      <c r="P114" t="n">
        <v>1</v>
      </c>
      <c r="Q114" t="n">
        <v>5</v>
      </c>
      <c r="R114" s="2" t="inlineStr">
        <is>
          <t>Olivfjällskivling
Droppklibbskivling
Murgröna
Skogsknipprot
Blåsippa</t>
        </is>
      </c>
      <c r="S114">
        <f>HYPERLINK("https://klasma.github.io/Logging_0885/artfynd/A 4881-2021 artfynd.xlsx", "A 4881-2021")</f>
        <v/>
      </c>
      <c r="T114">
        <f>HYPERLINK("https://klasma.github.io/Logging_0885/kartor/A 4881-2021 karta.png", "A 4881-2021")</f>
        <v/>
      </c>
      <c r="V114">
        <f>HYPERLINK("https://klasma.github.io/Logging_0885/klagomål/A 4881-2021 FSC-klagomål.docx", "A 4881-2021")</f>
        <v/>
      </c>
      <c r="W114">
        <f>HYPERLINK("https://klasma.github.io/Logging_0885/klagomålsmail/A 4881-2021 FSC-klagomål mail.docx", "A 4881-2021")</f>
        <v/>
      </c>
      <c r="X114">
        <f>HYPERLINK("https://klasma.github.io/Logging_0885/tillsyn/A 4881-2021 tillsynsbegäran.docx", "A 4881-2021")</f>
        <v/>
      </c>
      <c r="Y114">
        <f>HYPERLINK("https://klasma.github.io/Logging_0885/tillsynsmail/A 4881-2021 tillsynsbegäran mail.docx", "A 4881-2021")</f>
        <v/>
      </c>
    </row>
    <row r="115" ht="15" customHeight="1">
      <c r="A115" t="inlineStr">
        <is>
          <t>A 11931-2021</t>
        </is>
      </c>
      <c r="B115" s="1" t="n">
        <v>44265</v>
      </c>
      <c r="C115" s="1" t="n">
        <v>45232</v>
      </c>
      <c r="D115" t="inlineStr">
        <is>
          <t>KALMAR LÄN</t>
        </is>
      </c>
      <c r="E115" t="inlineStr">
        <is>
          <t>NYBRO</t>
        </is>
      </c>
      <c r="G115" t="n">
        <v>7.2</v>
      </c>
      <c r="H115" t="n">
        <v>1</v>
      </c>
      <c r="I115" t="n">
        <v>2</v>
      </c>
      <c r="J115" t="n">
        <v>2</v>
      </c>
      <c r="K115" t="n">
        <v>0</v>
      </c>
      <c r="L115" t="n">
        <v>0</v>
      </c>
      <c r="M115" t="n">
        <v>0</v>
      </c>
      <c r="N115" t="n">
        <v>0</v>
      </c>
      <c r="O115" t="n">
        <v>2</v>
      </c>
      <c r="P115" t="n">
        <v>0</v>
      </c>
      <c r="Q115" t="n">
        <v>5</v>
      </c>
      <c r="R115" s="2" t="inlineStr">
        <is>
          <t>Gransotdyna
Vedtrappmossa
Kornknutmossa
Tibast
Blåsippa</t>
        </is>
      </c>
      <c r="S115">
        <f>HYPERLINK("https://klasma.github.io/Logging_0881/artfynd/A 11931-2021 artfynd.xlsx", "A 11931-2021")</f>
        <v/>
      </c>
      <c r="T115">
        <f>HYPERLINK("https://klasma.github.io/Logging_0881/kartor/A 11931-2021 karta.png", "A 11931-2021")</f>
        <v/>
      </c>
      <c r="V115">
        <f>HYPERLINK("https://klasma.github.io/Logging_0881/klagomål/A 11931-2021 FSC-klagomål.docx", "A 11931-2021")</f>
        <v/>
      </c>
      <c r="W115">
        <f>HYPERLINK("https://klasma.github.io/Logging_0881/klagomålsmail/A 11931-2021 FSC-klagomål mail.docx", "A 11931-2021")</f>
        <v/>
      </c>
      <c r="X115">
        <f>HYPERLINK("https://klasma.github.io/Logging_0881/tillsyn/A 11931-2021 tillsynsbegäran.docx", "A 11931-2021")</f>
        <v/>
      </c>
      <c r="Y115">
        <f>HYPERLINK("https://klasma.github.io/Logging_0881/tillsynsmail/A 11931-2021 tillsynsbegäran mail.docx", "A 11931-2021")</f>
        <v/>
      </c>
    </row>
    <row r="116" ht="15" customHeight="1">
      <c r="A116" t="inlineStr">
        <is>
          <t>A 31837-2021</t>
        </is>
      </c>
      <c r="B116" s="1" t="n">
        <v>44370</v>
      </c>
      <c r="C116" s="1" t="n">
        <v>45232</v>
      </c>
      <c r="D116" t="inlineStr">
        <is>
          <t>KALMAR LÄN</t>
        </is>
      </c>
      <c r="E116" t="inlineStr">
        <is>
          <t>BORGHOLM</t>
        </is>
      </c>
      <c r="F116" t="inlineStr">
        <is>
          <t>Sveaskog</t>
        </is>
      </c>
      <c r="G116" t="n">
        <v>1.7</v>
      </c>
      <c r="H116" t="n">
        <v>2</v>
      </c>
      <c r="I116" t="n">
        <v>4</v>
      </c>
      <c r="J116" t="n">
        <v>0</v>
      </c>
      <c r="K116" t="n">
        <v>0</v>
      </c>
      <c r="L116" t="n">
        <v>0</v>
      </c>
      <c r="M116" t="n">
        <v>0</v>
      </c>
      <c r="N116" t="n">
        <v>0</v>
      </c>
      <c r="O116" t="n">
        <v>0</v>
      </c>
      <c r="P116" t="n">
        <v>0</v>
      </c>
      <c r="Q116" t="n">
        <v>5</v>
      </c>
      <c r="R116" s="2" t="inlineStr">
        <is>
          <t>Kragjordstjärna
Skogsknipprot
Strävlosta
Sårläka
Blåsippa</t>
        </is>
      </c>
      <c r="S116">
        <f>HYPERLINK("https://klasma.github.io/Logging_0885/artfynd/A 31837-2021 artfynd.xlsx", "A 31837-2021")</f>
        <v/>
      </c>
      <c r="T116">
        <f>HYPERLINK("https://klasma.github.io/Logging_0885/kartor/A 31837-2021 karta.png", "A 31837-2021")</f>
        <v/>
      </c>
      <c r="V116">
        <f>HYPERLINK("https://klasma.github.io/Logging_0885/klagomål/A 31837-2021 FSC-klagomål.docx", "A 31837-2021")</f>
        <v/>
      </c>
      <c r="W116">
        <f>HYPERLINK("https://klasma.github.io/Logging_0885/klagomålsmail/A 31837-2021 FSC-klagomål mail.docx", "A 31837-2021")</f>
        <v/>
      </c>
      <c r="X116">
        <f>HYPERLINK("https://klasma.github.io/Logging_0885/tillsyn/A 31837-2021 tillsynsbegäran.docx", "A 31837-2021")</f>
        <v/>
      </c>
      <c r="Y116">
        <f>HYPERLINK("https://klasma.github.io/Logging_0885/tillsynsmail/A 31837-2021 tillsynsbegäran mail.docx", "A 31837-2021")</f>
        <v/>
      </c>
    </row>
    <row r="117" ht="15" customHeight="1">
      <c r="A117" t="inlineStr">
        <is>
          <t>A 63779-2021</t>
        </is>
      </c>
      <c r="B117" s="1" t="n">
        <v>44508</v>
      </c>
      <c r="C117" s="1" t="n">
        <v>45232</v>
      </c>
      <c r="D117" t="inlineStr">
        <is>
          <t>KALMAR LÄN</t>
        </is>
      </c>
      <c r="E117" t="inlineStr">
        <is>
          <t>MÖRBYLÅNGA</t>
        </is>
      </c>
      <c r="G117" t="n">
        <v>5.1</v>
      </c>
      <c r="H117" t="n">
        <v>2</v>
      </c>
      <c r="I117" t="n">
        <v>2</v>
      </c>
      <c r="J117" t="n">
        <v>2</v>
      </c>
      <c r="K117" t="n">
        <v>0</v>
      </c>
      <c r="L117" t="n">
        <v>0</v>
      </c>
      <c r="M117" t="n">
        <v>1</v>
      </c>
      <c r="N117" t="n">
        <v>0</v>
      </c>
      <c r="O117" t="n">
        <v>3</v>
      </c>
      <c r="P117" t="n">
        <v>1</v>
      </c>
      <c r="Q117" t="n">
        <v>5</v>
      </c>
      <c r="R117" s="2" t="inlineStr">
        <is>
          <t>Skogsalm
Entita
Havsörn
Kragjordstjärna
Scharlakansskål</t>
        </is>
      </c>
      <c r="S117">
        <f>HYPERLINK("https://klasma.github.io/Logging_0840/artfynd/A 63779-2021 artfynd.xlsx", "A 63779-2021")</f>
        <v/>
      </c>
      <c r="T117">
        <f>HYPERLINK("https://klasma.github.io/Logging_0840/kartor/A 63779-2021 karta.png", "A 63779-2021")</f>
        <v/>
      </c>
      <c r="V117">
        <f>HYPERLINK("https://klasma.github.io/Logging_0840/klagomål/A 63779-2021 FSC-klagomål.docx", "A 63779-2021")</f>
        <v/>
      </c>
      <c r="W117">
        <f>HYPERLINK("https://klasma.github.io/Logging_0840/klagomålsmail/A 63779-2021 FSC-klagomål mail.docx", "A 63779-2021")</f>
        <v/>
      </c>
      <c r="X117">
        <f>HYPERLINK("https://klasma.github.io/Logging_0840/tillsyn/A 63779-2021 tillsynsbegäran.docx", "A 63779-2021")</f>
        <v/>
      </c>
      <c r="Y117">
        <f>HYPERLINK("https://klasma.github.io/Logging_0840/tillsynsmail/A 63779-2021 tillsynsbegäran mail.docx", "A 63779-2021")</f>
        <v/>
      </c>
    </row>
    <row r="118" ht="15" customHeight="1">
      <c r="A118" t="inlineStr">
        <is>
          <t>A 7701-2022</t>
        </is>
      </c>
      <c r="B118" s="1" t="n">
        <v>44607</v>
      </c>
      <c r="C118" s="1" t="n">
        <v>45232</v>
      </c>
      <c r="D118" t="inlineStr">
        <is>
          <t>KALMAR LÄN</t>
        </is>
      </c>
      <c r="E118" t="inlineStr">
        <is>
          <t>HÖGSBY</t>
        </is>
      </c>
      <c r="G118" t="n">
        <v>3.4</v>
      </c>
      <c r="H118" t="n">
        <v>0</v>
      </c>
      <c r="I118" t="n">
        <v>4</v>
      </c>
      <c r="J118" t="n">
        <v>0</v>
      </c>
      <c r="K118" t="n">
        <v>1</v>
      </c>
      <c r="L118" t="n">
        <v>0</v>
      </c>
      <c r="M118" t="n">
        <v>0</v>
      </c>
      <c r="N118" t="n">
        <v>0</v>
      </c>
      <c r="O118" t="n">
        <v>1</v>
      </c>
      <c r="P118" t="n">
        <v>1</v>
      </c>
      <c r="Q118" t="n">
        <v>5</v>
      </c>
      <c r="R118" s="2" t="inlineStr">
        <is>
          <t>Kopparspindling
Fjällig taggsvamp s.str.
Skarp dropptaggsvamp
Småvaxskivling
Svavelriska</t>
        </is>
      </c>
      <c r="S118">
        <f>HYPERLINK("https://klasma.github.io/Logging_0821/artfynd/A 7701-2022 artfynd.xlsx", "A 7701-2022")</f>
        <v/>
      </c>
      <c r="T118">
        <f>HYPERLINK("https://klasma.github.io/Logging_0821/kartor/A 7701-2022 karta.png", "A 7701-2022")</f>
        <v/>
      </c>
      <c r="V118">
        <f>HYPERLINK("https://klasma.github.io/Logging_0821/klagomål/A 7701-2022 FSC-klagomål.docx", "A 7701-2022")</f>
        <v/>
      </c>
      <c r="W118">
        <f>HYPERLINK("https://klasma.github.io/Logging_0821/klagomålsmail/A 7701-2022 FSC-klagomål mail.docx", "A 7701-2022")</f>
        <v/>
      </c>
      <c r="X118">
        <f>HYPERLINK("https://klasma.github.io/Logging_0821/tillsyn/A 7701-2022 tillsynsbegäran.docx", "A 7701-2022")</f>
        <v/>
      </c>
      <c r="Y118">
        <f>HYPERLINK("https://klasma.github.io/Logging_0821/tillsynsmail/A 7701-2022 tillsynsbegäran mail.docx", "A 7701-2022")</f>
        <v/>
      </c>
    </row>
    <row r="119" ht="15" customHeight="1">
      <c r="A119" t="inlineStr">
        <is>
          <t>A 34948-2022</t>
        </is>
      </c>
      <c r="B119" s="1" t="n">
        <v>44796</v>
      </c>
      <c r="C119" s="1" t="n">
        <v>45232</v>
      </c>
      <c r="D119" t="inlineStr">
        <is>
          <t>KALMAR LÄN</t>
        </is>
      </c>
      <c r="E119" t="inlineStr">
        <is>
          <t>BORGHOLM</t>
        </is>
      </c>
      <c r="F119" t="inlineStr">
        <is>
          <t>Sveaskog</t>
        </is>
      </c>
      <c r="G119" t="n">
        <v>2.8</v>
      </c>
      <c r="H119" t="n">
        <v>1</v>
      </c>
      <c r="I119" t="n">
        <v>1</v>
      </c>
      <c r="J119" t="n">
        <v>2</v>
      </c>
      <c r="K119" t="n">
        <v>0</v>
      </c>
      <c r="L119" t="n">
        <v>1</v>
      </c>
      <c r="M119" t="n">
        <v>0</v>
      </c>
      <c r="N119" t="n">
        <v>0</v>
      </c>
      <c r="O119" t="n">
        <v>3</v>
      </c>
      <c r="P119" t="n">
        <v>1</v>
      </c>
      <c r="Q119" t="n">
        <v>5</v>
      </c>
      <c r="R119" s="2" t="inlineStr">
        <is>
          <t>Brödmusseron
Juvelspindling
Persiljespindling
Fransig jordstjärna
Blåsippa</t>
        </is>
      </c>
      <c r="S119">
        <f>HYPERLINK("https://klasma.github.io/Logging_0885/artfynd/A 34948-2022 artfynd.xlsx", "A 34948-2022")</f>
        <v/>
      </c>
      <c r="T119">
        <f>HYPERLINK("https://klasma.github.io/Logging_0885/kartor/A 34948-2022 karta.png", "A 34948-2022")</f>
        <v/>
      </c>
      <c r="V119">
        <f>HYPERLINK("https://klasma.github.io/Logging_0885/klagomål/A 34948-2022 FSC-klagomål.docx", "A 34948-2022")</f>
        <v/>
      </c>
      <c r="W119">
        <f>HYPERLINK("https://klasma.github.io/Logging_0885/klagomålsmail/A 34948-2022 FSC-klagomål mail.docx", "A 34948-2022")</f>
        <v/>
      </c>
      <c r="X119">
        <f>HYPERLINK("https://klasma.github.io/Logging_0885/tillsyn/A 34948-2022 tillsynsbegäran.docx", "A 34948-2022")</f>
        <v/>
      </c>
      <c r="Y119">
        <f>HYPERLINK("https://klasma.github.io/Logging_0885/tillsynsmail/A 34948-2022 tillsynsbegäran mail.docx", "A 34948-2022")</f>
        <v/>
      </c>
    </row>
    <row r="120" ht="15" customHeight="1">
      <c r="A120" t="inlineStr">
        <is>
          <t>A 60730-2022</t>
        </is>
      </c>
      <c r="B120" s="1" t="n">
        <v>44913</v>
      </c>
      <c r="C120" s="1" t="n">
        <v>45232</v>
      </c>
      <c r="D120" t="inlineStr">
        <is>
          <t>KALMAR LÄN</t>
        </is>
      </c>
      <c r="E120" t="inlineStr">
        <is>
          <t>EMMABODA</t>
        </is>
      </c>
      <c r="G120" t="n">
        <v>4.6</v>
      </c>
      <c r="H120" t="n">
        <v>1</v>
      </c>
      <c r="I120" t="n">
        <v>3</v>
      </c>
      <c r="J120" t="n">
        <v>1</v>
      </c>
      <c r="K120" t="n">
        <v>0</v>
      </c>
      <c r="L120" t="n">
        <v>0</v>
      </c>
      <c r="M120" t="n">
        <v>0</v>
      </c>
      <c r="N120" t="n">
        <v>0</v>
      </c>
      <c r="O120" t="n">
        <v>1</v>
      </c>
      <c r="P120" t="n">
        <v>0</v>
      </c>
      <c r="Q120" t="n">
        <v>5</v>
      </c>
      <c r="R120" s="2" t="inlineStr">
        <is>
          <t>Gropticka
Blåmossa
Grovticka
Kornknutmossa
Vanlig padda</t>
        </is>
      </c>
      <c r="S120">
        <f>HYPERLINK("https://klasma.github.io/Logging_0862/artfynd/A 60730-2022 artfynd.xlsx", "A 60730-2022")</f>
        <v/>
      </c>
      <c r="T120">
        <f>HYPERLINK("https://klasma.github.io/Logging_0862/kartor/A 60730-2022 karta.png", "A 60730-2022")</f>
        <v/>
      </c>
      <c r="V120">
        <f>HYPERLINK("https://klasma.github.io/Logging_0862/klagomål/A 60730-2022 FSC-klagomål.docx", "A 60730-2022")</f>
        <v/>
      </c>
      <c r="W120">
        <f>HYPERLINK("https://klasma.github.io/Logging_0862/klagomålsmail/A 60730-2022 FSC-klagomål mail.docx", "A 60730-2022")</f>
        <v/>
      </c>
      <c r="X120">
        <f>HYPERLINK("https://klasma.github.io/Logging_0862/tillsyn/A 60730-2022 tillsynsbegäran.docx", "A 60730-2022")</f>
        <v/>
      </c>
      <c r="Y120">
        <f>HYPERLINK("https://klasma.github.io/Logging_0862/tillsynsmail/A 60730-2022 tillsynsbegäran mail.docx", "A 60730-2022")</f>
        <v/>
      </c>
    </row>
    <row r="121" ht="15" customHeight="1">
      <c r="A121" t="inlineStr">
        <is>
          <t>A 781-2023</t>
        </is>
      </c>
      <c r="B121" s="1" t="n">
        <v>44931</v>
      </c>
      <c r="C121" s="1" t="n">
        <v>45232</v>
      </c>
      <c r="D121" t="inlineStr">
        <is>
          <t>KALMAR LÄN</t>
        </is>
      </c>
      <c r="E121" t="inlineStr">
        <is>
          <t>VÄSTERVIK</t>
        </is>
      </c>
      <c r="F121" t="inlineStr">
        <is>
          <t>Holmen skog AB</t>
        </is>
      </c>
      <c r="G121" t="n">
        <v>4.3</v>
      </c>
      <c r="H121" t="n">
        <v>0</v>
      </c>
      <c r="I121" t="n">
        <v>3</v>
      </c>
      <c r="J121" t="n">
        <v>2</v>
      </c>
      <c r="K121" t="n">
        <v>0</v>
      </c>
      <c r="L121" t="n">
        <v>0</v>
      </c>
      <c r="M121" t="n">
        <v>0</v>
      </c>
      <c r="N121" t="n">
        <v>0</v>
      </c>
      <c r="O121" t="n">
        <v>2</v>
      </c>
      <c r="P121" t="n">
        <v>0</v>
      </c>
      <c r="Q121" t="n">
        <v>5</v>
      </c>
      <c r="R121" s="2" t="inlineStr">
        <is>
          <t>Ekticka
Oxtungssvamp
Hasselticka
Läderskål
Stor aspticka</t>
        </is>
      </c>
      <c r="S121">
        <f>HYPERLINK("https://klasma.github.io/Logging_0883/artfynd/A 781-2023 artfynd.xlsx", "A 781-2023")</f>
        <v/>
      </c>
      <c r="T121">
        <f>HYPERLINK("https://klasma.github.io/Logging_0883/kartor/A 781-2023 karta.png", "A 781-2023")</f>
        <v/>
      </c>
      <c r="V121">
        <f>HYPERLINK("https://klasma.github.io/Logging_0883/klagomål/A 781-2023 FSC-klagomål.docx", "A 781-2023")</f>
        <v/>
      </c>
      <c r="W121">
        <f>HYPERLINK("https://klasma.github.io/Logging_0883/klagomålsmail/A 781-2023 FSC-klagomål mail.docx", "A 781-2023")</f>
        <v/>
      </c>
      <c r="X121">
        <f>HYPERLINK("https://klasma.github.io/Logging_0883/tillsyn/A 781-2023 tillsynsbegäran.docx", "A 781-2023")</f>
        <v/>
      </c>
      <c r="Y121">
        <f>HYPERLINK("https://klasma.github.io/Logging_0883/tillsynsmail/A 781-2023 tillsynsbegäran mail.docx", "A 781-2023")</f>
        <v/>
      </c>
    </row>
    <row r="122" ht="15" customHeight="1">
      <c r="A122" t="inlineStr">
        <is>
          <t>A 24863-2023</t>
        </is>
      </c>
      <c r="B122" s="1" t="n">
        <v>45078</v>
      </c>
      <c r="C122" s="1" t="n">
        <v>45232</v>
      </c>
      <c r="D122" t="inlineStr">
        <is>
          <t>KALMAR LÄN</t>
        </is>
      </c>
      <c r="E122" t="inlineStr">
        <is>
          <t>VÄSTERVIK</t>
        </is>
      </c>
      <c r="G122" t="n">
        <v>14.5</v>
      </c>
      <c r="H122" t="n">
        <v>3</v>
      </c>
      <c r="I122" t="n">
        <v>1</v>
      </c>
      <c r="J122" t="n">
        <v>3</v>
      </c>
      <c r="K122" t="n">
        <v>1</v>
      </c>
      <c r="L122" t="n">
        <v>0</v>
      </c>
      <c r="M122" t="n">
        <v>0</v>
      </c>
      <c r="N122" t="n">
        <v>0</v>
      </c>
      <c r="O122" t="n">
        <v>4</v>
      </c>
      <c r="P122" t="n">
        <v>1</v>
      </c>
      <c r="Q122" t="n">
        <v>5</v>
      </c>
      <c r="R122" s="2" t="inlineStr">
        <is>
          <t>Knärot
Entita
Tallticka
Talltita
Svart trolldruva</t>
        </is>
      </c>
      <c r="S122">
        <f>HYPERLINK("https://klasma.github.io/Logging_0883/artfynd/A 24863-2023 artfynd.xlsx", "A 24863-2023")</f>
        <v/>
      </c>
      <c r="T122">
        <f>HYPERLINK("https://klasma.github.io/Logging_0883/kartor/A 24863-2023 karta.png", "A 24863-2023")</f>
        <v/>
      </c>
      <c r="U122">
        <f>HYPERLINK("https://klasma.github.io/Logging_0883/knärot/A 24863-2023 karta knärot.png", "A 24863-2023")</f>
        <v/>
      </c>
      <c r="V122">
        <f>HYPERLINK("https://klasma.github.io/Logging_0883/klagomål/A 24863-2023 FSC-klagomål.docx", "A 24863-2023")</f>
        <v/>
      </c>
      <c r="W122">
        <f>HYPERLINK("https://klasma.github.io/Logging_0883/klagomålsmail/A 24863-2023 FSC-klagomål mail.docx", "A 24863-2023")</f>
        <v/>
      </c>
      <c r="X122">
        <f>HYPERLINK("https://klasma.github.io/Logging_0883/tillsyn/A 24863-2023 tillsynsbegäran.docx", "A 24863-2023")</f>
        <v/>
      </c>
      <c r="Y122">
        <f>HYPERLINK("https://klasma.github.io/Logging_0883/tillsynsmail/A 24863-2023 tillsynsbegäran mail.docx", "A 24863-2023")</f>
        <v/>
      </c>
    </row>
    <row r="123" ht="15" customHeight="1">
      <c r="A123" t="inlineStr">
        <is>
          <t>A 39665-2018</t>
        </is>
      </c>
      <c r="B123" s="1" t="n">
        <v>43341</v>
      </c>
      <c r="C123" s="1" t="n">
        <v>45232</v>
      </c>
      <c r="D123" t="inlineStr">
        <is>
          <t>KALMAR LÄN</t>
        </is>
      </c>
      <c r="E123" t="inlineStr">
        <is>
          <t>VÄSTERVIK</t>
        </is>
      </c>
      <c r="G123" t="n">
        <v>6.4</v>
      </c>
      <c r="H123" t="n">
        <v>1</v>
      </c>
      <c r="I123" t="n">
        <v>0</v>
      </c>
      <c r="J123" t="n">
        <v>2</v>
      </c>
      <c r="K123" t="n">
        <v>0</v>
      </c>
      <c r="L123" t="n">
        <v>0</v>
      </c>
      <c r="M123" t="n">
        <v>1</v>
      </c>
      <c r="N123" t="n">
        <v>0</v>
      </c>
      <c r="O123" t="n">
        <v>3</v>
      </c>
      <c r="P123" t="n">
        <v>1</v>
      </c>
      <c r="Q123" t="n">
        <v>4</v>
      </c>
      <c r="R123" s="2" t="inlineStr">
        <is>
          <t>Skogsalm
Vippärt
Åkerkulla
Nattviol</t>
        </is>
      </c>
      <c r="S123">
        <f>HYPERLINK("https://klasma.github.io/Logging_0883/artfynd/A 39665-2018 artfynd.xlsx", "A 39665-2018")</f>
        <v/>
      </c>
      <c r="T123">
        <f>HYPERLINK("https://klasma.github.io/Logging_0883/kartor/A 39665-2018 karta.png", "A 39665-2018")</f>
        <v/>
      </c>
      <c r="V123">
        <f>HYPERLINK("https://klasma.github.io/Logging_0883/klagomål/A 39665-2018 FSC-klagomål.docx", "A 39665-2018")</f>
        <v/>
      </c>
      <c r="W123">
        <f>HYPERLINK("https://klasma.github.io/Logging_0883/klagomålsmail/A 39665-2018 FSC-klagomål mail.docx", "A 39665-2018")</f>
        <v/>
      </c>
      <c r="X123">
        <f>HYPERLINK("https://klasma.github.io/Logging_0883/tillsyn/A 39665-2018 tillsynsbegäran.docx", "A 39665-2018")</f>
        <v/>
      </c>
      <c r="Y123">
        <f>HYPERLINK("https://klasma.github.io/Logging_0883/tillsynsmail/A 39665-2018 tillsynsbegäran mail.docx", "A 39665-2018")</f>
        <v/>
      </c>
    </row>
    <row r="124" ht="15" customHeight="1">
      <c r="A124" t="inlineStr">
        <is>
          <t>A 61912-2018</t>
        </is>
      </c>
      <c r="B124" s="1" t="n">
        <v>43425</v>
      </c>
      <c r="C124" s="1" t="n">
        <v>45232</v>
      </c>
      <c r="D124" t="inlineStr">
        <is>
          <t>KALMAR LÄN</t>
        </is>
      </c>
      <c r="E124" t="inlineStr">
        <is>
          <t>TORSÅS</t>
        </is>
      </c>
      <c r="G124" t="n">
        <v>16.1</v>
      </c>
      <c r="H124" t="n">
        <v>0</v>
      </c>
      <c r="I124" t="n">
        <v>4</v>
      </c>
      <c r="J124" t="n">
        <v>0</v>
      </c>
      <c r="K124" t="n">
        <v>0</v>
      </c>
      <c r="L124" t="n">
        <v>0</v>
      </c>
      <c r="M124" t="n">
        <v>0</v>
      </c>
      <c r="N124" t="n">
        <v>0</v>
      </c>
      <c r="O124" t="n">
        <v>0</v>
      </c>
      <c r="P124" t="n">
        <v>0</v>
      </c>
      <c r="Q124" t="n">
        <v>4</v>
      </c>
      <c r="R124" s="2" t="inlineStr">
        <is>
          <t>Blåmossa
Bronshjon
Kornknutmossa
Västlig hakmossa</t>
        </is>
      </c>
      <c r="S124">
        <f>HYPERLINK("https://klasma.github.io/Logging_0834/artfynd/A 61912-2018 artfynd.xlsx", "A 61912-2018")</f>
        <v/>
      </c>
      <c r="T124">
        <f>HYPERLINK("https://klasma.github.io/Logging_0834/kartor/A 61912-2018 karta.png", "A 61912-2018")</f>
        <v/>
      </c>
      <c r="V124">
        <f>HYPERLINK("https://klasma.github.io/Logging_0834/klagomål/A 61912-2018 FSC-klagomål.docx", "A 61912-2018")</f>
        <v/>
      </c>
      <c r="W124">
        <f>HYPERLINK("https://klasma.github.io/Logging_0834/klagomålsmail/A 61912-2018 FSC-klagomål mail.docx", "A 61912-2018")</f>
        <v/>
      </c>
      <c r="X124">
        <f>HYPERLINK("https://klasma.github.io/Logging_0834/tillsyn/A 61912-2018 tillsynsbegäran.docx", "A 61912-2018")</f>
        <v/>
      </c>
      <c r="Y124">
        <f>HYPERLINK("https://klasma.github.io/Logging_0834/tillsynsmail/A 61912-2018 tillsynsbegäran mail.docx", "A 61912-2018")</f>
        <v/>
      </c>
    </row>
    <row r="125" ht="15" customHeight="1">
      <c r="A125" t="inlineStr">
        <is>
          <t>A 63237-2018</t>
        </is>
      </c>
      <c r="B125" s="1" t="n">
        <v>43426</v>
      </c>
      <c r="C125" s="1" t="n">
        <v>45232</v>
      </c>
      <c r="D125" t="inlineStr">
        <is>
          <t>KALMAR LÄN</t>
        </is>
      </c>
      <c r="E125" t="inlineStr">
        <is>
          <t>HULTSFRED</t>
        </is>
      </c>
      <c r="G125" t="n">
        <v>0.9</v>
      </c>
      <c r="H125" t="n">
        <v>4</v>
      </c>
      <c r="I125" t="n">
        <v>0</v>
      </c>
      <c r="J125" t="n">
        <v>4</v>
      </c>
      <c r="K125" t="n">
        <v>0</v>
      </c>
      <c r="L125" t="n">
        <v>0</v>
      </c>
      <c r="M125" t="n">
        <v>0</v>
      </c>
      <c r="N125" t="n">
        <v>0</v>
      </c>
      <c r="O125" t="n">
        <v>4</v>
      </c>
      <c r="P125" t="n">
        <v>0</v>
      </c>
      <c r="Q125" t="n">
        <v>4</v>
      </c>
      <c r="R125" s="2" t="inlineStr">
        <is>
          <t>Entita
Kråka
Svartvit flugsnappare
Talltita</t>
        </is>
      </c>
      <c r="S125">
        <f>HYPERLINK("https://klasma.github.io/Logging_0860/artfynd/A 63237-2018 artfynd.xlsx", "A 63237-2018")</f>
        <v/>
      </c>
      <c r="T125">
        <f>HYPERLINK("https://klasma.github.io/Logging_0860/kartor/A 63237-2018 karta.png", "A 63237-2018")</f>
        <v/>
      </c>
      <c r="V125">
        <f>HYPERLINK("https://klasma.github.io/Logging_0860/klagomål/A 63237-2018 FSC-klagomål.docx", "A 63237-2018")</f>
        <v/>
      </c>
      <c r="W125">
        <f>HYPERLINK("https://klasma.github.io/Logging_0860/klagomålsmail/A 63237-2018 FSC-klagomål mail.docx", "A 63237-2018")</f>
        <v/>
      </c>
      <c r="X125">
        <f>HYPERLINK("https://klasma.github.io/Logging_0860/tillsyn/A 63237-2018 tillsynsbegäran.docx", "A 63237-2018")</f>
        <v/>
      </c>
      <c r="Y125">
        <f>HYPERLINK("https://klasma.github.io/Logging_0860/tillsynsmail/A 63237-2018 tillsynsbegäran mail.docx", "A 63237-2018")</f>
        <v/>
      </c>
    </row>
    <row r="126" ht="15" customHeight="1">
      <c r="A126" t="inlineStr">
        <is>
          <t>A 70687-2018</t>
        </is>
      </c>
      <c r="B126" s="1" t="n">
        <v>43447</v>
      </c>
      <c r="C126" s="1" t="n">
        <v>45232</v>
      </c>
      <c r="D126" t="inlineStr">
        <is>
          <t>KALMAR LÄN</t>
        </is>
      </c>
      <c r="E126" t="inlineStr">
        <is>
          <t>HULTSFRED</t>
        </is>
      </c>
      <c r="F126" t="inlineStr">
        <is>
          <t>Övriga Aktiebolag</t>
        </is>
      </c>
      <c r="G126" t="n">
        <v>12</v>
      </c>
      <c r="H126" t="n">
        <v>3</v>
      </c>
      <c r="I126" t="n">
        <v>0</v>
      </c>
      <c r="J126" t="n">
        <v>2</v>
      </c>
      <c r="K126" t="n">
        <v>1</v>
      </c>
      <c r="L126" t="n">
        <v>0</v>
      </c>
      <c r="M126" t="n">
        <v>0</v>
      </c>
      <c r="N126" t="n">
        <v>0</v>
      </c>
      <c r="O126" t="n">
        <v>3</v>
      </c>
      <c r="P126" t="n">
        <v>1</v>
      </c>
      <c r="Q126" t="n">
        <v>4</v>
      </c>
      <c r="R126" s="2" t="inlineStr">
        <is>
          <t>Knärot
Tallticka
Ärtsångare
Blåsippa</t>
        </is>
      </c>
      <c r="S126">
        <f>HYPERLINK("https://klasma.github.io/Logging_0860/artfynd/A 70687-2018 artfynd.xlsx", "A 70687-2018")</f>
        <v/>
      </c>
      <c r="T126">
        <f>HYPERLINK("https://klasma.github.io/Logging_0860/kartor/A 70687-2018 karta.png", "A 70687-2018")</f>
        <v/>
      </c>
      <c r="U126">
        <f>HYPERLINK("https://klasma.github.io/Logging_0860/knärot/A 70687-2018 karta knärot.png", "A 70687-2018")</f>
        <v/>
      </c>
      <c r="V126">
        <f>HYPERLINK("https://klasma.github.io/Logging_0860/klagomål/A 70687-2018 FSC-klagomål.docx", "A 70687-2018")</f>
        <v/>
      </c>
      <c r="W126">
        <f>HYPERLINK("https://klasma.github.io/Logging_0860/klagomålsmail/A 70687-2018 FSC-klagomål mail.docx", "A 70687-2018")</f>
        <v/>
      </c>
      <c r="X126">
        <f>HYPERLINK("https://klasma.github.io/Logging_0860/tillsyn/A 70687-2018 tillsynsbegäran.docx", "A 70687-2018")</f>
        <v/>
      </c>
      <c r="Y126">
        <f>HYPERLINK("https://klasma.github.io/Logging_0860/tillsynsmail/A 70687-2018 tillsynsbegäran mail.docx", "A 70687-2018")</f>
        <v/>
      </c>
    </row>
    <row r="127" ht="15" customHeight="1">
      <c r="A127" t="inlineStr">
        <is>
          <t>A 11550-2019</t>
        </is>
      </c>
      <c r="B127" s="1" t="n">
        <v>43517</v>
      </c>
      <c r="C127" s="1" t="n">
        <v>45232</v>
      </c>
      <c r="D127" t="inlineStr">
        <is>
          <t>KALMAR LÄN</t>
        </is>
      </c>
      <c r="E127" t="inlineStr">
        <is>
          <t>OSKARSHAMN</t>
        </is>
      </c>
      <c r="G127" t="n">
        <v>4.5</v>
      </c>
      <c r="H127" t="n">
        <v>0</v>
      </c>
      <c r="I127" t="n">
        <v>2</v>
      </c>
      <c r="J127" t="n">
        <v>2</v>
      </c>
      <c r="K127" t="n">
        <v>0</v>
      </c>
      <c r="L127" t="n">
        <v>0</v>
      </c>
      <c r="M127" t="n">
        <v>0</v>
      </c>
      <c r="N127" t="n">
        <v>0</v>
      </c>
      <c r="O127" t="n">
        <v>2</v>
      </c>
      <c r="P127" t="n">
        <v>0</v>
      </c>
      <c r="Q127" t="n">
        <v>4</v>
      </c>
      <c r="R127" s="2" t="inlineStr">
        <is>
          <t>Kremlevaxskivling
Svartvit taggsvamp
Myskmadra
Vårärt</t>
        </is>
      </c>
      <c r="S127">
        <f>HYPERLINK("https://klasma.github.io/Logging_0882/artfynd/A 11550-2019 artfynd.xlsx", "A 11550-2019")</f>
        <v/>
      </c>
      <c r="T127">
        <f>HYPERLINK("https://klasma.github.io/Logging_0882/kartor/A 11550-2019 karta.png", "A 11550-2019")</f>
        <v/>
      </c>
      <c r="V127">
        <f>HYPERLINK("https://klasma.github.io/Logging_0882/klagomål/A 11550-2019 FSC-klagomål.docx", "A 11550-2019")</f>
        <v/>
      </c>
      <c r="W127">
        <f>HYPERLINK("https://klasma.github.io/Logging_0882/klagomålsmail/A 11550-2019 FSC-klagomål mail.docx", "A 11550-2019")</f>
        <v/>
      </c>
      <c r="X127">
        <f>HYPERLINK("https://klasma.github.io/Logging_0882/tillsyn/A 11550-2019 tillsynsbegäran.docx", "A 11550-2019")</f>
        <v/>
      </c>
      <c r="Y127">
        <f>HYPERLINK("https://klasma.github.io/Logging_0882/tillsynsmail/A 11550-2019 tillsynsbegäran mail.docx", "A 11550-2019")</f>
        <v/>
      </c>
    </row>
    <row r="128" ht="15" customHeight="1">
      <c r="A128" t="inlineStr">
        <is>
          <t>A 19978-2019</t>
        </is>
      </c>
      <c r="B128" s="1" t="n">
        <v>43566</v>
      </c>
      <c r="C128" s="1" t="n">
        <v>45232</v>
      </c>
      <c r="D128" t="inlineStr">
        <is>
          <t>KALMAR LÄN</t>
        </is>
      </c>
      <c r="E128" t="inlineStr">
        <is>
          <t>VIMMERBY</t>
        </is>
      </c>
      <c r="G128" t="n">
        <v>3.5</v>
      </c>
      <c r="H128" t="n">
        <v>2</v>
      </c>
      <c r="I128" t="n">
        <v>0</v>
      </c>
      <c r="J128" t="n">
        <v>1</v>
      </c>
      <c r="K128" t="n">
        <v>1</v>
      </c>
      <c r="L128" t="n">
        <v>0</v>
      </c>
      <c r="M128" t="n">
        <v>0</v>
      </c>
      <c r="N128" t="n">
        <v>0</v>
      </c>
      <c r="O128" t="n">
        <v>2</v>
      </c>
      <c r="P128" t="n">
        <v>1</v>
      </c>
      <c r="Q128" t="n">
        <v>4</v>
      </c>
      <c r="R128" s="2" t="inlineStr">
        <is>
          <t>Slåttergubbe
Sommarfibbla
Blåsippa
Revlummer</t>
        </is>
      </c>
      <c r="S128">
        <f>HYPERLINK("https://klasma.github.io/Logging_0884/artfynd/A 19978-2019 artfynd.xlsx", "A 19978-2019")</f>
        <v/>
      </c>
      <c r="T128">
        <f>HYPERLINK("https://klasma.github.io/Logging_0884/kartor/A 19978-2019 karta.png", "A 19978-2019")</f>
        <v/>
      </c>
      <c r="V128">
        <f>HYPERLINK("https://klasma.github.io/Logging_0884/klagomål/A 19978-2019 FSC-klagomål.docx", "A 19978-2019")</f>
        <v/>
      </c>
      <c r="W128">
        <f>HYPERLINK("https://klasma.github.io/Logging_0884/klagomålsmail/A 19978-2019 FSC-klagomål mail.docx", "A 19978-2019")</f>
        <v/>
      </c>
      <c r="X128">
        <f>HYPERLINK("https://klasma.github.io/Logging_0884/tillsyn/A 19978-2019 tillsynsbegäran.docx", "A 19978-2019")</f>
        <v/>
      </c>
      <c r="Y128">
        <f>HYPERLINK("https://klasma.github.io/Logging_0884/tillsynsmail/A 19978-2019 tillsynsbegäran mail.docx", "A 19978-2019")</f>
        <v/>
      </c>
    </row>
    <row r="129" ht="15" customHeight="1">
      <c r="A129" t="inlineStr">
        <is>
          <t>A 22939-2019</t>
        </is>
      </c>
      <c r="B129" s="1" t="n">
        <v>43591</v>
      </c>
      <c r="C129" s="1" t="n">
        <v>45232</v>
      </c>
      <c r="D129" t="inlineStr">
        <is>
          <t>KALMAR LÄN</t>
        </is>
      </c>
      <c r="E129" t="inlineStr">
        <is>
          <t>KALMAR</t>
        </is>
      </c>
      <c r="G129" t="n">
        <v>2.4</v>
      </c>
      <c r="H129" t="n">
        <v>0</v>
      </c>
      <c r="I129" t="n">
        <v>2</v>
      </c>
      <c r="J129" t="n">
        <v>2</v>
      </c>
      <c r="K129" t="n">
        <v>0</v>
      </c>
      <c r="L129" t="n">
        <v>0</v>
      </c>
      <c r="M129" t="n">
        <v>0</v>
      </c>
      <c r="N129" t="n">
        <v>0</v>
      </c>
      <c r="O129" t="n">
        <v>2</v>
      </c>
      <c r="P129" t="n">
        <v>0</v>
      </c>
      <c r="Q129" t="n">
        <v>4</v>
      </c>
      <c r="R129" s="2" t="inlineStr">
        <is>
          <t>Tallticka
Vedtrappmossa
Blomkålssvamp
Havstulpanlav</t>
        </is>
      </c>
      <c r="S129">
        <f>HYPERLINK("https://klasma.github.io/Logging_0880/artfynd/A 22939-2019 artfynd.xlsx", "A 22939-2019")</f>
        <v/>
      </c>
      <c r="T129">
        <f>HYPERLINK("https://klasma.github.io/Logging_0880/kartor/A 22939-2019 karta.png", "A 22939-2019")</f>
        <v/>
      </c>
      <c r="U129">
        <f>HYPERLINK("https://klasma.github.io/Logging_0880/knärot/A 22939-2019 karta knärot.png", "A 22939-2019")</f>
        <v/>
      </c>
      <c r="V129">
        <f>HYPERLINK("https://klasma.github.io/Logging_0880/klagomål/A 22939-2019 FSC-klagomål.docx", "A 22939-2019")</f>
        <v/>
      </c>
      <c r="W129">
        <f>HYPERLINK("https://klasma.github.io/Logging_0880/klagomålsmail/A 22939-2019 FSC-klagomål mail.docx", "A 22939-2019")</f>
        <v/>
      </c>
      <c r="X129">
        <f>HYPERLINK("https://klasma.github.io/Logging_0880/tillsyn/A 22939-2019 tillsynsbegäran.docx", "A 22939-2019")</f>
        <v/>
      </c>
      <c r="Y129">
        <f>HYPERLINK("https://klasma.github.io/Logging_0880/tillsynsmail/A 22939-2019 tillsynsbegäran mail.docx", "A 22939-2019")</f>
        <v/>
      </c>
    </row>
    <row r="130" ht="15" customHeight="1">
      <c r="A130" t="inlineStr">
        <is>
          <t>A 32058-2019</t>
        </is>
      </c>
      <c r="B130" s="1" t="n">
        <v>43643</v>
      </c>
      <c r="C130" s="1" t="n">
        <v>45232</v>
      </c>
      <c r="D130" t="inlineStr">
        <is>
          <t>KALMAR LÄN</t>
        </is>
      </c>
      <c r="E130" t="inlineStr">
        <is>
          <t>KALMAR</t>
        </is>
      </c>
      <c r="G130" t="n">
        <v>2.4</v>
      </c>
      <c r="H130" t="n">
        <v>0</v>
      </c>
      <c r="I130" t="n">
        <v>0</v>
      </c>
      <c r="J130" t="n">
        <v>2</v>
      </c>
      <c r="K130" t="n">
        <v>1</v>
      </c>
      <c r="L130" t="n">
        <v>0</v>
      </c>
      <c r="M130" t="n">
        <v>1</v>
      </c>
      <c r="N130" t="n">
        <v>0</v>
      </c>
      <c r="O130" t="n">
        <v>4</v>
      </c>
      <c r="P130" t="n">
        <v>2</v>
      </c>
      <c r="Q130" t="n">
        <v>4</v>
      </c>
      <c r="R130" s="2" t="inlineStr">
        <is>
          <t>Skogsalm
Hjärtstilla
Bolmört
Sminkrot</t>
        </is>
      </c>
      <c r="S130">
        <f>HYPERLINK("https://klasma.github.io/Logging_0880/artfynd/A 32058-2019 artfynd.xlsx", "A 32058-2019")</f>
        <v/>
      </c>
      <c r="T130">
        <f>HYPERLINK("https://klasma.github.io/Logging_0880/kartor/A 32058-2019 karta.png", "A 32058-2019")</f>
        <v/>
      </c>
      <c r="V130">
        <f>HYPERLINK("https://klasma.github.io/Logging_0880/klagomål/A 32058-2019 FSC-klagomål.docx", "A 32058-2019")</f>
        <v/>
      </c>
      <c r="W130">
        <f>HYPERLINK("https://klasma.github.io/Logging_0880/klagomålsmail/A 32058-2019 FSC-klagomål mail.docx", "A 32058-2019")</f>
        <v/>
      </c>
      <c r="X130">
        <f>HYPERLINK("https://klasma.github.io/Logging_0880/tillsyn/A 32058-2019 tillsynsbegäran.docx", "A 32058-2019")</f>
        <v/>
      </c>
      <c r="Y130">
        <f>HYPERLINK("https://klasma.github.io/Logging_0880/tillsynsmail/A 32058-2019 tillsynsbegäran mail.docx", "A 32058-2019")</f>
        <v/>
      </c>
    </row>
    <row r="131" ht="15" customHeight="1">
      <c r="A131" t="inlineStr">
        <is>
          <t>A 37646-2019</t>
        </is>
      </c>
      <c r="B131" s="1" t="n">
        <v>43682</v>
      </c>
      <c r="C131" s="1" t="n">
        <v>45232</v>
      </c>
      <c r="D131" t="inlineStr">
        <is>
          <t>KALMAR LÄN</t>
        </is>
      </c>
      <c r="E131" t="inlineStr">
        <is>
          <t>TORSÅS</t>
        </is>
      </c>
      <c r="G131" t="n">
        <v>2.5</v>
      </c>
      <c r="H131" t="n">
        <v>4</v>
      </c>
      <c r="I131" t="n">
        <v>0</v>
      </c>
      <c r="J131" t="n">
        <v>1</v>
      </c>
      <c r="K131" t="n">
        <v>0</v>
      </c>
      <c r="L131" t="n">
        <v>0</v>
      </c>
      <c r="M131" t="n">
        <v>0</v>
      </c>
      <c r="N131" t="n">
        <v>0</v>
      </c>
      <c r="O131" t="n">
        <v>1</v>
      </c>
      <c r="P131" t="n">
        <v>0</v>
      </c>
      <c r="Q131" t="n">
        <v>4</v>
      </c>
      <c r="R131" s="2" t="inlineStr">
        <is>
          <t>Nordfladdermus
Dvärgpipistrell
Större brunfladdermus
Trollpipistrell</t>
        </is>
      </c>
      <c r="S131">
        <f>HYPERLINK("https://klasma.github.io/Logging_0834/artfynd/A 37646-2019 artfynd.xlsx", "A 37646-2019")</f>
        <v/>
      </c>
      <c r="T131">
        <f>HYPERLINK("https://klasma.github.io/Logging_0834/kartor/A 37646-2019 karta.png", "A 37646-2019")</f>
        <v/>
      </c>
      <c r="V131">
        <f>HYPERLINK("https://klasma.github.io/Logging_0834/klagomål/A 37646-2019 FSC-klagomål.docx", "A 37646-2019")</f>
        <v/>
      </c>
      <c r="W131">
        <f>HYPERLINK("https://klasma.github.io/Logging_0834/klagomålsmail/A 37646-2019 FSC-klagomål mail.docx", "A 37646-2019")</f>
        <v/>
      </c>
      <c r="X131">
        <f>HYPERLINK("https://klasma.github.io/Logging_0834/tillsyn/A 37646-2019 tillsynsbegäran.docx", "A 37646-2019")</f>
        <v/>
      </c>
      <c r="Y131">
        <f>HYPERLINK("https://klasma.github.io/Logging_0834/tillsynsmail/A 37646-2019 tillsynsbegäran mail.docx", "A 37646-2019")</f>
        <v/>
      </c>
    </row>
    <row r="132" ht="15" customHeight="1">
      <c r="A132" t="inlineStr">
        <is>
          <t>A 39570-2019</t>
        </is>
      </c>
      <c r="B132" s="1" t="n">
        <v>43686</v>
      </c>
      <c r="C132" s="1" t="n">
        <v>45232</v>
      </c>
      <c r="D132" t="inlineStr">
        <is>
          <t>KALMAR LÄN</t>
        </is>
      </c>
      <c r="E132" t="inlineStr">
        <is>
          <t>KALMAR</t>
        </is>
      </c>
      <c r="G132" t="n">
        <v>14</v>
      </c>
      <c r="H132" t="n">
        <v>1</v>
      </c>
      <c r="I132" t="n">
        <v>3</v>
      </c>
      <c r="J132" t="n">
        <v>0</v>
      </c>
      <c r="K132" t="n">
        <v>0</v>
      </c>
      <c r="L132" t="n">
        <v>0</v>
      </c>
      <c r="M132" t="n">
        <v>0</v>
      </c>
      <c r="N132" t="n">
        <v>0</v>
      </c>
      <c r="O132" t="n">
        <v>0</v>
      </c>
      <c r="P132" t="n">
        <v>0</v>
      </c>
      <c r="Q132" t="n">
        <v>4</v>
      </c>
      <c r="R132" s="2" t="inlineStr">
        <is>
          <t>Blomkålssvamp
Rostfläck
Tibast
Blåsippa</t>
        </is>
      </c>
      <c r="S132">
        <f>HYPERLINK("https://klasma.github.io/Logging_0880/artfynd/A 39570-2019 artfynd.xlsx", "A 39570-2019")</f>
        <v/>
      </c>
      <c r="T132">
        <f>HYPERLINK("https://klasma.github.io/Logging_0880/kartor/A 39570-2019 karta.png", "A 39570-2019")</f>
        <v/>
      </c>
      <c r="V132">
        <f>HYPERLINK("https://klasma.github.io/Logging_0880/klagomål/A 39570-2019 FSC-klagomål.docx", "A 39570-2019")</f>
        <v/>
      </c>
      <c r="W132">
        <f>HYPERLINK("https://klasma.github.io/Logging_0880/klagomålsmail/A 39570-2019 FSC-klagomål mail.docx", "A 39570-2019")</f>
        <v/>
      </c>
      <c r="X132">
        <f>HYPERLINK("https://klasma.github.io/Logging_0880/tillsyn/A 39570-2019 tillsynsbegäran.docx", "A 39570-2019")</f>
        <v/>
      </c>
      <c r="Y132">
        <f>HYPERLINK("https://klasma.github.io/Logging_0880/tillsynsmail/A 39570-2019 tillsynsbegäran mail.docx", "A 39570-2019")</f>
        <v/>
      </c>
    </row>
    <row r="133" ht="15" customHeight="1">
      <c r="A133" t="inlineStr">
        <is>
          <t>A 43862-2019</t>
        </is>
      </c>
      <c r="B133" s="1" t="n">
        <v>43707</v>
      </c>
      <c r="C133" s="1" t="n">
        <v>45232</v>
      </c>
      <c r="D133" t="inlineStr">
        <is>
          <t>KALMAR LÄN</t>
        </is>
      </c>
      <c r="E133" t="inlineStr">
        <is>
          <t>VÄSTERVIK</t>
        </is>
      </c>
      <c r="G133" t="n">
        <v>3.8</v>
      </c>
      <c r="H133" t="n">
        <v>1</v>
      </c>
      <c r="I133" t="n">
        <v>1</v>
      </c>
      <c r="J133" t="n">
        <v>2</v>
      </c>
      <c r="K133" t="n">
        <v>1</v>
      </c>
      <c r="L133" t="n">
        <v>0</v>
      </c>
      <c r="M133" t="n">
        <v>0</v>
      </c>
      <c r="N133" t="n">
        <v>0</v>
      </c>
      <c r="O133" t="n">
        <v>3</v>
      </c>
      <c r="P133" t="n">
        <v>1</v>
      </c>
      <c r="Q133" t="n">
        <v>4</v>
      </c>
      <c r="R133" s="2" t="inlineStr">
        <is>
          <t>Knärot
Orange taggsvamp
Tallticka
Blomkålssvamp</t>
        </is>
      </c>
      <c r="S133">
        <f>HYPERLINK("https://klasma.github.io/Logging_0883/artfynd/A 43862-2019 artfynd.xlsx", "A 43862-2019")</f>
        <v/>
      </c>
      <c r="T133">
        <f>HYPERLINK("https://klasma.github.io/Logging_0883/kartor/A 43862-2019 karta.png", "A 43862-2019")</f>
        <v/>
      </c>
      <c r="U133">
        <f>HYPERLINK("https://klasma.github.io/Logging_0883/knärot/A 43862-2019 karta knärot.png", "A 43862-2019")</f>
        <v/>
      </c>
      <c r="V133">
        <f>HYPERLINK("https://klasma.github.io/Logging_0883/klagomål/A 43862-2019 FSC-klagomål.docx", "A 43862-2019")</f>
        <v/>
      </c>
      <c r="W133">
        <f>HYPERLINK("https://klasma.github.io/Logging_0883/klagomålsmail/A 43862-2019 FSC-klagomål mail.docx", "A 43862-2019")</f>
        <v/>
      </c>
      <c r="X133">
        <f>HYPERLINK("https://klasma.github.io/Logging_0883/tillsyn/A 43862-2019 tillsynsbegäran.docx", "A 43862-2019")</f>
        <v/>
      </c>
      <c r="Y133">
        <f>HYPERLINK("https://klasma.github.io/Logging_0883/tillsynsmail/A 43862-2019 tillsynsbegäran mail.docx", "A 43862-2019")</f>
        <v/>
      </c>
    </row>
    <row r="134" ht="15" customHeight="1">
      <c r="A134" t="inlineStr">
        <is>
          <t>A 62797-2019</t>
        </is>
      </c>
      <c r="B134" s="1" t="n">
        <v>43790</v>
      </c>
      <c r="C134" s="1" t="n">
        <v>45232</v>
      </c>
      <c r="D134" t="inlineStr">
        <is>
          <t>KALMAR LÄN</t>
        </is>
      </c>
      <c r="E134" t="inlineStr">
        <is>
          <t>VIMMERBY</t>
        </is>
      </c>
      <c r="G134" t="n">
        <v>1.5</v>
      </c>
      <c r="H134" t="n">
        <v>1</v>
      </c>
      <c r="I134" t="n">
        <v>2</v>
      </c>
      <c r="J134" t="n">
        <v>1</v>
      </c>
      <c r="K134" t="n">
        <v>0</v>
      </c>
      <c r="L134" t="n">
        <v>0</v>
      </c>
      <c r="M134" t="n">
        <v>0</v>
      </c>
      <c r="N134" t="n">
        <v>0</v>
      </c>
      <c r="O134" t="n">
        <v>1</v>
      </c>
      <c r="P134" t="n">
        <v>0</v>
      </c>
      <c r="Q134" t="n">
        <v>4</v>
      </c>
      <c r="R134" s="2" t="inlineStr">
        <is>
          <t>Gransotdyna
Bårdlav
Vätteros
Blåsippa</t>
        </is>
      </c>
      <c r="S134">
        <f>HYPERLINK("https://klasma.github.io/Logging_0884/artfynd/A 62797-2019 artfynd.xlsx", "A 62797-2019")</f>
        <v/>
      </c>
      <c r="T134">
        <f>HYPERLINK("https://klasma.github.io/Logging_0884/kartor/A 62797-2019 karta.png", "A 62797-2019")</f>
        <v/>
      </c>
      <c r="V134">
        <f>HYPERLINK("https://klasma.github.io/Logging_0884/klagomål/A 62797-2019 FSC-klagomål.docx", "A 62797-2019")</f>
        <v/>
      </c>
      <c r="W134">
        <f>HYPERLINK("https://klasma.github.io/Logging_0884/klagomålsmail/A 62797-2019 FSC-klagomål mail.docx", "A 62797-2019")</f>
        <v/>
      </c>
      <c r="X134">
        <f>HYPERLINK("https://klasma.github.io/Logging_0884/tillsyn/A 62797-2019 tillsynsbegäran.docx", "A 62797-2019")</f>
        <v/>
      </c>
      <c r="Y134">
        <f>HYPERLINK("https://klasma.github.io/Logging_0884/tillsynsmail/A 62797-2019 tillsynsbegäran mail.docx", "A 62797-2019")</f>
        <v/>
      </c>
    </row>
    <row r="135" ht="15" customHeight="1">
      <c r="A135" t="inlineStr">
        <is>
          <t>A 1127-2020</t>
        </is>
      </c>
      <c r="B135" s="1" t="n">
        <v>43840</v>
      </c>
      <c r="C135" s="1" t="n">
        <v>45232</v>
      </c>
      <c r="D135" t="inlineStr">
        <is>
          <t>KALMAR LÄN</t>
        </is>
      </c>
      <c r="E135" t="inlineStr">
        <is>
          <t>TORSÅS</t>
        </is>
      </c>
      <c r="G135" t="n">
        <v>5.5</v>
      </c>
      <c r="H135" t="n">
        <v>4</v>
      </c>
      <c r="I135" t="n">
        <v>0</v>
      </c>
      <c r="J135" t="n">
        <v>2</v>
      </c>
      <c r="K135" t="n">
        <v>0</v>
      </c>
      <c r="L135" t="n">
        <v>0</v>
      </c>
      <c r="M135" t="n">
        <v>0</v>
      </c>
      <c r="N135" t="n">
        <v>0</v>
      </c>
      <c r="O135" t="n">
        <v>2</v>
      </c>
      <c r="P135" t="n">
        <v>0</v>
      </c>
      <c r="Q135" t="n">
        <v>4</v>
      </c>
      <c r="R135" s="2" t="inlineStr">
        <is>
          <t>Barbastell
Nordfladdermus
Dvärgpipistrell
Större brunfladdermus</t>
        </is>
      </c>
      <c r="S135">
        <f>HYPERLINK("https://klasma.github.io/Logging_0834/artfynd/A 1127-2020 artfynd.xlsx", "A 1127-2020")</f>
        <v/>
      </c>
      <c r="T135">
        <f>HYPERLINK("https://klasma.github.io/Logging_0834/kartor/A 1127-2020 karta.png", "A 1127-2020")</f>
        <v/>
      </c>
      <c r="V135">
        <f>HYPERLINK("https://klasma.github.io/Logging_0834/klagomål/A 1127-2020 FSC-klagomål.docx", "A 1127-2020")</f>
        <v/>
      </c>
      <c r="W135">
        <f>HYPERLINK("https://klasma.github.io/Logging_0834/klagomålsmail/A 1127-2020 FSC-klagomål mail.docx", "A 1127-2020")</f>
        <v/>
      </c>
      <c r="X135">
        <f>HYPERLINK("https://klasma.github.io/Logging_0834/tillsyn/A 1127-2020 tillsynsbegäran.docx", "A 1127-2020")</f>
        <v/>
      </c>
      <c r="Y135">
        <f>HYPERLINK("https://klasma.github.io/Logging_0834/tillsynsmail/A 1127-2020 tillsynsbegäran mail.docx", "A 1127-2020")</f>
        <v/>
      </c>
    </row>
    <row r="136" ht="15" customHeight="1">
      <c r="A136" t="inlineStr">
        <is>
          <t>A 3470-2020</t>
        </is>
      </c>
      <c r="B136" s="1" t="n">
        <v>43852</v>
      </c>
      <c r="C136" s="1" t="n">
        <v>45232</v>
      </c>
      <c r="D136" t="inlineStr">
        <is>
          <t>KALMAR LÄN</t>
        </is>
      </c>
      <c r="E136" t="inlineStr">
        <is>
          <t>VÄSTERVIK</t>
        </is>
      </c>
      <c r="F136" t="inlineStr">
        <is>
          <t>Sveaskog</t>
        </is>
      </c>
      <c r="G136" t="n">
        <v>1.4</v>
      </c>
      <c r="H136" t="n">
        <v>0</v>
      </c>
      <c r="I136" t="n">
        <v>0</v>
      </c>
      <c r="J136" t="n">
        <v>4</v>
      </c>
      <c r="K136" t="n">
        <v>0</v>
      </c>
      <c r="L136" t="n">
        <v>0</v>
      </c>
      <c r="M136" t="n">
        <v>0</v>
      </c>
      <c r="N136" t="n">
        <v>0</v>
      </c>
      <c r="O136" t="n">
        <v>4</v>
      </c>
      <c r="P136" t="n">
        <v>0</v>
      </c>
      <c r="Q136" t="n">
        <v>4</v>
      </c>
      <c r="R136" s="2" t="inlineStr">
        <is>
          <t>Gammelekslav
Gul dropplav
Hjälmbrosklav
Skuggorangelav</t>
        </is>
      </c>
      <c r="S136">
        <f>HYPERLINK("https://klasma.github.io/Logging_0883/artfynd/A 3470-2020 artfynd.xlsx", "A 3470-2020")</f>
        <v/>
      </c>
      <c r="T136">
        <f>HYPERLINK("https://klasma.github.io/Logging_0883/kartor/A 3470-2020 karta.png", "A 3470-2020")</f>
        <v/>
      </c>
      <c r="V136">
        <f>HYPERLINK("https://klasma.github.io/Logging_0883/klagomål/A 3470-2020 FSC-klagomål.docx", "A 3470-2020")</f>
        <v/>
      </c>
      <c r="W136">
        <f>HYPERLINK("https://klasma.github.io/Logging_0883/klagomålsmail/A 3470-2020 FSC-klagomål mail.docx", "A 3470-2020")</f>
        <v/>
      </c>
      <c r="X136">
        <f>HYPERLINK("https://klasma.github.io/Logging_0883/tillsyn/A 3470-2020 tillsynsbegäran.docx", "A 3470-2020")</f>
        <v/>
      </c>
      <c r="Y136">
        <f>HYPERLINK("https://klasma.github.io/Logging_0883/tillsynsmail/A 3470-2020 tillsynsbegäran mail.docx", "A 3470-2020")</f>
        <v/>
      </c>
    </row>
    <row r="137" ht="15" customHeight="1">
      <c r="A137" t="inlineStr">
        <is>
          <t>A 5747-2020</t>
        </is>
      </c>
      <c r="B137" s="1" t="n">
        <v>43863</v>
      </c>
      <c r="C137" s="1" t="n">
        <v>45232</v>
      </c>
      <c r="D137" t="inlineStr">
        <is>
          <t>KALMAR LÄN</t>
        </is>
      </c>
      <c r="E137" t="inlineStr">
        <is>
          <t>OSKARSHAMN</t>
        </is>
      </c>
      <c r="F137" t="inlineStr">
        <is>
          <t>Kommuner</t>
        </is>
      </c>
      <c r="G137" t="n">
        <v>11.3</v>
      </c>
      <c r="H137" t="n">
        <v>3</v>
      </c>
      <c r="I137" t="n">
        <v>0</v>
      </c>
      <c r="J137" t="n">
        <v>4</v>
      </c>
      <c r="K137" t="n">
        <v>0</v>
      </c>
      <c r="L137" t="n">
        <v>0</v>
      </c>
      <c r="M137" t="n">
        <v>0</v>
      </c>
      <c r="N137" t="n">
        <v>0</v>
      </c>
      <c r="O137" t="n">
        <v>4</v>
      </c>
      <c r="P137" t="n">
        <v>0</v>
      </c>
      <c r="Q137" t="n">
        <v>4</v>
      </c>
      <c r="R137" s="2" t="inlineStr">
        <is>
          <t>Björktrast
Spillkråka
Tallticka
Talltita</t>
        </is>
      </c>
      <c r="S137">
        <f>HYPERLINK("https://klasma.github.io/Logging_0882/artfynd/A 5747-2020 artfynd.xlsx", "A 5747-2020")</f>
        <v/>
      </c>
      <c r="T137">
        <f>HYPERLINK("https://klasma.github.io/Logging_0882/kartor/A 5747-2020 karta.png", "A 5747-2020")</f>
        <v/>
      </c>
      <c r="V137">
        <f>HYPERLINK("https://klasma.github.io/Logging_0882/klagomål/A 5747-2020 FSC-klagomål.docx", "A 5747-2020")</f>
        <v/>
      </c>
      <c r="W137">
        <f>HYPERLINK("https://klasma.github.io/Logging_0882/klagomålsmail/A 5747-2020 FSC-klagomål mail.docx", "A 5747-2020")</f>
        <v/>
      </c>
      <c r="X137">
        <f>HYPERLINK("https://klasma.github.io/Logging_0882/tillsyn/A 5747-2020 tillsynsbegäran.docx", "A 5747-2020")</f>
        <v/>
      </c>
      <c r="Y137">
        <f>HYPERLINK("https://klasma.github.io/Logging_0882/tillsynsmail/A 5747-2020 tillsynsbegäran mail.docx", "A 5747-2020")</f>
        <v/>
      </c>
    </row>
    <row r="138" ht="15" customHeight="1">
      <c r="A138" t="inlineStr">
        <is>
          <t>A 8226-2020</t>
        </is>
      </c>
      <c r="B138" s="1" t="n">
        <v>43874</v>
      </c>
      <c r="C138" s="1" t="n">
        <v>45232</v>
      </c>
      <c r="D138" t="inlineStr">
        <is>
          <t>KALMAR LÄN</t>
        </is>
      </c>
      <c r="E138" t="inlineStr">
        <is>
          <t>HULTSFRED</t>
        </is>
      </c>
      <c r="F138" t="inlineStr">
        <is>
          <t>Övriga Aktiebolag</t>
        </is>
      </c>
      <c r="G138" t="n">
        <v>4.8</v>
      </c>
      <c r="H138" t="n">
        <v>2</v>
      </c>
      <c r="I138" t="n">
        <v>1</v>
      </c>
      <c r="J138" t="n">
        <v>1</v>
      </c>
      <c r="K138" t="n">
        <v>1</v>
      </c>
      <c r="L138" t="n">
        <v>0</v>
      </c>
      <c r="M138" t="n">
        <v>0</v>
      </c>
      <c r="N138" t="n">
        <v>0</v>
      </c>
      <c r="O138" t="n">
        <v>2</v>
      </c>
      <c r="P138" t="n">
        <v>1</v>
      </c>
      <c r="Q138" t="n">
        <v>4</v>
      </c>
      <c r="R138" s="2" t="inlineStr">
        <is>
          <t>Knärot
Vedtrappmossa
Skarp dropptaggsvamp
Blåsippa</t>
        </is>
      </c>
      <c r="S138">
        <f>HYPERLINK("https://klasma.github.io/Logging_0860/artfynd/A 8226-2020 artfynd.xlsx", "A 8226-2020")</f>
        <v/>
      </c>
      <c r="T138">
        <f>HYPERLINK("https://klasma.github.io/Logging_0860/kartor/A 8226-2020 karta.png", "A 8226-2020")</f>
        <v/>
      </c>
      <c r="U138">
        <f>HYPERLINK("https://klasma.github.io/Logging_0860/knärot/A 8226-2020 karta knärot.png", "A 8226-2020")</f>
        <v/>
      </c>
      <c r="V138">
        <f>HYPERLINK("https://klasma.github.io/Logging_0860/klagomål/A 8226-2020 FSC-klagomål.docx", "A 8226-2020")</f>
        <v/>
      </c>
      <c r="W138">
        <f>HYPERLINK("https://klasma.github.io/Logging_0860/klagomålsmail/A 8226-2020 FSC-klagomål mail.docx", "A 8226-2020")</f>
        <v/>
      </c>
      <c r="X138">
        <f>HYPERLINK("https://klasma.github.io/Logging_0860/tillsyn/A 8226-2020 tillsynsbegäran.docx", "A 8226-2020")</f>
        <v/>
      </c>
      <c r="Y138">
        <f>HYPERLINK("https://klasma.github.io/Logging_0860/tillsynsmail/A 8226-2020 tillsynsbegäran mail.docx", "A 8226-2020")</f>
        <v/>
      </c>
    </row>
    <row r="139" ht="15" customHeight="1">
      <c r="A139" t="inlineStr">
        <is>
          <t>A 15978-2020</t>
        </is>
      </c>
      <c r="B139" s="1" t="n">
        <v>43915</v>
      </c>
      <c r="C139" s="1" t="n">
        <v>45232</v>
      </c>
      <c r="D139" t="inlineStr">
        <is>
          <t>KALMAR LÄN</t>
        </is>
      </c>
      <c r="E139" t="inlineStr">
        <is>
          <t>VÄSTERVIK</t>
        </is>
      </c>
      <c r="G139" t="n">
        <v>3.8</v>
      </c>
      <c r="H139" t="n">
        <v>1</v>
      </c>
      <c r="I139" t="n">
        <v>1</v>
      </c>
      <c r="J139" t="n">
        <v>2</v>
      </c>
      <c r="K139" t="n">
        <v>1</v>
      </c>
      <c r="L139" t="n">
        <v>0</v>
      </c>
      <c r="M139" t="n">
        <v>0</v>
      </c>
      <c r="N139" t="n">
        <v>0</v>
      </c>
      <c r="O139" t="n">
        <v>3</v>
      </c>
      <c r="P139" t="n">
        <v>1</v>
      </c>
      <c r="Q139" t="n">
        <v>4</v>
      </c>
      <c r="R139" s="2" t="inlineStr">
        <is>
          <t>Knärot
Orange taggsvamp
Tallticka
Blomkålssvamp</t>
        </is>
      </c>
      <c r="S139">
        <f>HYPERLINK("https://klasma.github.io/Logging_0883/artfynd/A 15978-2020 artfynd.xlsx", "A 15978-2020")</f>
        <v/>
      </c>
      <c r="T139">
        <f>HYPERLINK("https://klasma.github.io/Logging_0883/kartor/A 15978-2020 karta.png", "A 15978-2020")</f>
        <v/>
      </c>
      <c r="U139">
        <f>HYPERLINK("https://klasma.github.io/Logging_0883/knärot/A 15978-2020 karta knärot.png", "A 15978-2020")</f>
        <v/>
      </c>
      <c r="V139">
        <f>HYPERLINK("https://klasma.github.io/Logging_0883/klagomål/A 15978-2020 FSC-klagomål.docx", "A 15978-2020")</f>
        <v/>
      </c>
      <c r="W139">
        <f>HYPERLINK("https://klasma.github.io/Logging_0883/klagomålsmail/A 15978-2020 FSC-klagomål mail.docx", "A 15978-2020")</f>
        <v/>
      </c>
      <c r="X139">
        <f>HYPERLINK("https://klasma.github.io/Logging_0883/tillsyn/A 15978-2020 tillsynsbegäran.docx", "A 15978-2020")</f>
        <v/>
      </c>
      <c r="Y139">
        <f>HYPERLINK("https://klasma.github.io/Logging_0883/tillsynsmail/A 15978-2020 tillsynsbegäran mail.docx", "A 15978-2020")</f>
        <v/>
      </c>
    </row>
    <row r="140" ht="15" customHeight="1">
      <c r="A140" t="inlineStr">
        <is>
          <t>A 24795-2020</t>
        </is>
      </c>
      <c r="B140" s="1" t="n">
        <v>43978</v>
      </c>
      <c r="C140" s="1" t="n">
        <v>45232</v>
      </c>
      <c r="D140" t="inlineStr">
        <is>
          <t>KALMAR LÄN</t>
        </is>
      </c>
      <c r="E140" t="inlineStr">
        <is>
          <t>HÖGSBY</t>
        </is>
      </c>
      <c r="G140" t="n">
        <v>0.6</v>
      </c>
      <c r="H140" t="n">
        <v>2</v>
      </c>
      <c r="I140" t="n">
        <v>1</v>
      </c>
      <c r="J140" t="n">
        <v>1</v>
      </c>
      <c r="K140" t="n">
        <v>1</v>
      </c>
      <c r="L140" t="n">
        <v>0</v>
      </c>
      <c r="M140" t="n">
        <v>0</v>
      </c>
      <c r="N140" t="n">
        <v>0</v>
      </c>
      <c r="O140" t="n">
        <v>2</v>
      </c>
      <c r="P140" t="n">
        <v>1</v>
      </c>
      <c r="Q140" t="n">
        <v>4</v>
      </c>
      <c r="R140" s="2" t="inlineStr">
        <is>
          <t>Grangråticka
Spillkråka
Skarp dropptaggsvamp
Blåsippa</t>
        </is>
      </c>
      <c r="S140">
        <f>HYPERLINK("https://klasma.github.io/Logging_0821/artfynd/A 24795-2020 artfynd.xlsx", "A 24795-2020")</f>
        <v/>
      </c>
      <c r="T140">
        <f>HYPERLINK("https://klasma.github.io/Logging_0821/kartor/A 24795-2020 karta.png", "A 24795-2020")</f>
        <v/>
      </c>
      <c r="V140">
        <f>HYPERLINK("https://klasma.github.io/Logging_0821/klagomål/A 24795-2020 FSC-klagomål.docx", "A 24795-2020")</f>
        <v/>
      </c>
      <c r="W140">
        <f>HYPERLINK("https://klasma.github.io/Logging_0821/klagomålsmail/A 24795-2020 FSC-klagomål mail.docx", "A 24795-2020")</f>
        <v/>
      </c>
      <c r="X140">
        <f>HYPERLINK("https://klasma.github.io/Logging_0821/tillsyn/A 24795-2020 tillsynsbegäran.docx", "A 24795-2020")</f>
        <v/>
      </c>
      <c r="Y140">
        <f>HYPERLINK("https://klasma.github.io/Logging_0821/tillsynsmail/A 24795-2020 tillsynsbegäran mail.docx", "A 24795-2020")</f>
        <v/>
      </c>
    </row>
    <row r="141" ht="15" customHeight="1">
      <c r="A141" t="inlineStr">
        <is>
          <t>A 31588-2020</t>
        </is>
      </c>
      <c r="B141" s="1" t="n">
        <v>44013</v>
      </c>
      <c r="C141" s="1" t="n">
        <v>45232</v>
      </c>
      <c r="D141" t="inlineStr">
        <is>
          <t>KALMAR LÄN</t>
        </is>
      </c>
      <c r="E141" t="inlineStr">
        <is>
          <t>VIMMERBY</t>
        </is>
      </c>
      <c r="G141" t="n">
        <v>7.3</v>
      </c>
      <c r="H141" t="n">
        <v>4</v>
      </c>
      <c r="I141" t="n">
        <v>0</v>
      </c>
      <c r="J141" t="n">
        <v>3</v>
      </c>
      <c r="K141" t="n">
        <v>1</v>
      </c>
      <c r="L141" t="n">
        <v>0</v>
      </c>
      <c r="M141" t="n">
        <v>0</v>
      </c>
      <c r="N141" t="n">
        <v>0</v>
      </c>
      <c r="O141" t="n">
        <v>4</v>
      </c>
      <c r="P141" t="n">
        <v>1</v>
      </c>
      <c r="Q141" t="n">
        <v>4</v>
      </c>
      <c r="R141" s="2" t="inlineStr">
        <is>
          <t>Rödstrupig piplärka
Blå kärrhök
Dubbelbeckasin
Fjällvråk</t>
        </is>
      </c>
      <c r="S141">
        <f>HYPERLINK("https://klasma.github.io/Logging_0884/artfynd/A 31588-2020 artfynd.xlsx", "A 31588-2020")</f>
        <v/>
      </c>
      <c r="T141">
        <f>HYPERLINK("https://klasma.github.io/Logging_0884/kartor/A 31588-2020 karta.png", "A 31588-2020")</f>
        <v/>
      </c>
      <c r="V141">
        <f>HYPERLINK("https://klasma.github.io/Logging_0884/klagomål/A 31588-2020 FSC-klagomål.docx", "A 31588-2020")</f>
        <v/>
      </c>
      <c r="W141">
        <f>HYPERLINK("https://klasma.github.io/Logging_0884/klagomålsmail/A 31588-2020 FSC-klagomål mail.docx", "A 31588-2020")</f>
        <v/>
      </c>
      <c r="X141">
        <f>HYPERLINK("https://klasma.github.io/Logging_0884/tillsyn/A 31588-2020 tillsynsbegäran.docx", "A 31588-2020")</f>
        <v/>
      </c>
      <c r="Y141">
        <f>HYPERLINK("https://klasma.github.io/Logging_0884/tillsynsmail/A 31588-2020 tillsynsbegäran mail.docx", "A 31588-2020")</f>
        <v/>
      </c>
    </row>
    <row r="142" ht="15" customHeight="1">
      <c r="A142" t="inlineStr">
        <is>
          <t>A 38049-2020</t>
        </is>
      </c>
      <c r="B142" s="1" t="n">
        <v>44057</v>
      </c>
      <c r="C142" s="1" t="n">
        <v>45232</v>
      </c>
      <c r="D142" t="inlineStr">
        <is>
          <t>KALMAR LÄN</t>
        </is>
      </c>
      <c r="E142" t="inlineStr">
        <is>
          <t>KALMAR</t>
        </is>
      </c>
      <c r="G142" t="n">
        <v>3.8</v>
      </c>
      <c r="H142" t="n">
        <v>1</v>
      </c>
      <c r="I142" t="n">
        <v>2</v>
      </c>
      <c r="J142" t="n">
        <v>1</v>
      </c>
      <c r="K142" t="n">
        <v>1</v>
      </c>
      <c r="L142" t="n">
        <v>0</v>
      </c>
      <c r="M142" t="n">
        <v>0</v>
      </c>
      <c r="N142" t="n">
        <v>0</v>
      </c>
      <c r="O142" t="n">
        <v>2</v>
      </c>
      <c r="P142" t="n">
        <v>1</v>
      </c>
      <c r="Q142" t="n">
        <v>4</v>
      </c>
      <c r="R142" s="2" t="inlineStr">
        <is>
          <t>Knärot
Ullticka
Blomkålssvamp
Grönpyrola</t>
        </is>
      </c>
      <c r="S142">
        <f>HYPERLINK("https://klasma.github.io/Logging_0880/artfynd/A 38049-2020 artfynd.xlsx", "A 38049-2020")</f>
        <v/>
      </c>
      <c r="T142">
        <f>HYPERLINK("https://klasma.github.io/Logging_0880/kartor/A 38049-2020 karta.png", "A 38049-2020")</f>
        <v/>
      </c>
      <c r="U142">
        <f>HYPERLINK("https://klasma.github.io/Logging_0880/knärot/A 38049-2020 karta knärot.png", "A 38049-2020")</f>
        <v/>
      </c>
      <c r="V142">
        <f>HYPERLINK("https://klasma.github.io/Logging_0880/klagomål/A 38049-2020 FSC-klagomål.docx", "A 38049-2020")</f>
        <v/>
      </c>
      <c r="W142">
        <f>HYPERLINK("https://klasma.github.io/Logging_0880/klagomålsmail/A 38049-2020 FSC-klagomål mail.docx", "A 38049-2020")</f>
        <v/>
      </c>
      <c r="X142">
        <f>HYPERLINK("https://klasma.github.io/Logging_0880/tillsyn/A 38049-2020 tillsynsbegäran.docx", "A 38049-2020")</f>
        <v/>
      </c>
      <c r="Y142">
        <f>HYPERLINK("https://klasma.github.io/Logging_0880/tillsynsmail/A 38049-2020 tillsynsbegäran mail.docx", "A 38049-2020")</f>
        <v/>
      </c>
    </row>
    <row r="143" ht="15" customHeight="1">
      <c r="A143" t="inlineStr">
        <is>
          <t>A 41561-2020</t>
        </is>
      </c>
      <c r="B143" s="1" t="n">
        <v>44074</v>
      </c>
      <c r="C143" s="1" t="n">
        <v>45232</v>
      </c>
      <c r="D143" t="inlineStr">
        <is>
          <t>KALMAR LÄN</t>
        </is>
      </c>
      <c r="E143" t="inlineStr">
        <is>
          <t>BORGHOLM</t>
        </is>
      </c>
      <c r="G143" t="n">
        <v>4.5</v>
      </c>
      <c r="H143" t="n">
        <v>0</v>
      </c>
      <c r="I143" t="n">
        <v>0</v>
      </c>
      <c r="J143" t="n">
        <v>1</v>
      </c>
      <c r="K143" t="n">
        <v>3</v>
      </c>
      <c r="L143" t="n">
        <v>0</v>
      </c>
      <c r="M143" t="n">
        <v>0</v>
      </c>
      <c r="N143" t="n">
        <v>0</v>
      </c>
      <c r="O143" t="n">
        <v>4</v>
      </c>
      <c r="P143" t="n">
        <v>3</v>
      </c>
      <c r="Q143" t="n">
        <v>4</v>
      </c>
      <c r="R143" s="2" t="inlineStr">
        <is>
          <t>Rödvingad kapuschongbagge
Storfibblebi
Vallrovfluga
Större vedgeting</t>
        </is>
      </c>
      <c r="S143">
        <f>HYPERLINK("https://klasma.github.io/Logging_0885/artfynd/A 41561-2020 artfynd.xlsx", "A 41561-2020")</f>
        <v/>
      </c>
      <c r="T143">
        <f>HYPERLINK("https://klasma.github.io/Logging_0885/kartor/A 41561-2020 karta.png", "A 41561-2020")</f>
        <v/>
      </c>
      <c r="V143">
        <f>HYPERLINK("https://klasma.github.io/Logging_0885/klagomål/A 41561-2020 FSC-klagomål.docx", "A 41561-2020")</f>
        <v/>
      </c>
      <c r="W143">
        <f>HYPERLINK("https://klasma.github.io/Logging_0885/klagomålsmail/A 41561-2020 FSC-klagomål mail.docx", "A 41561-2020")</f>
        <v/>
      </c>
      <c r="X143">
        <f>HYPERLINK("https://klasma.github.io/Logging_0885/tillsyn/A 41561-2020 tillsynsbegäran.docx", "A 41561-2020")</f>
        <v/>
      </c>
      <c r="Y143">
        <f>HYPERLINK("https://klasma.github.io/Logging_0885/tillsynsmail/A 41561-2020 tillsynsbegäran mail.docx", "A 41561-2020")</f>
        <v/>
      </c>
    </row>
    <row r="144" ht="15" customHeight="1">
      <c r="A144" t="inlineStr">
        <is>
          <t>A 42561-2020</t>
        </is>
      </c>
      <c r="B144" s="1" t="n">
        <v>44077</v>
      </c>
      <c r="C144" s="1" t="n">
        <v>45232</v>
      </c>
      <c r="D144" t="inlineStr">
        <is>
          <t>KALMAR LÄN</t>
        </is>
      </c>
      <c r="E144" t="inlineStr">
        <is>
          <t>NYBRO</t>
        </is>
      </c>
      <c r="G144" t="n">
        <v>2.2</v>
      </c>
      <c r="H144" t="n">
        <v>2</v>
      </c>
      <c r="I144" t="n">
        <v>0</v>
      </c>
      <c r="J144" t="n">
        <v>1</v>
      </c>
      <c r="K144" t="n">
        <v>1</v>
      </c>
      <c r="L144" t="n">
        <v>0</v>
      </c>
      <c r="M144" t="n">
        <v>0</v>
      </c>
      <c r="N144" t="n">
        <v>0</v>
      </c>
      <c r="O144" t="n">
        <v>2</v>
      </c>
      <c r="P144" t="n">
        <v>1</v>
      </c>
      <c r="Q144" t="n">
        <v>4</v>
      </c>
      <c r="R144" s="2" t="inlineStr">
        <is>
          <t>Slåttergubbe
Svinrot
Blåsippa
Mattlummer</t>
        </is>
      </c>
      <c r="S144">
        <f>HYPERLINK("https://klasma.github.io/Logging_0881/artfynd/A 42561-2020 artfynd.xlsx", "A 42561-2020")</f>
        <v/>
      </c>
      <c r="T144">
        <f>HYPERLINK("https://klasma.github.io/Logging_0881/kartor/A 42561-2020 karta.png", "A 42561-2020")</f>
        <v/>
      </c>
      <c r="V144">
        <f>HYPERLINK("https://klasma.github.io/Logging_0881/klagomål/A 42561-2020 FSC-klagomål.docx", "A 42561-2020")</f>
        <v/>
      </c>
      <c r="W144">
        <f>HYPERLINK("https://klasma.github.io/Logging_0881/klagomålsmail/A 42561-2020 FSC-klagomål mail.docx", "A 42561-2020")</f>
        <v/>
      </c>
      <c r="X144">
        <f>HYPERLINK("https://klasma.github.io/Logging_0881/tillsyn/A 42561-2020 tillsynsbegäran.docx", "A 42561-2020")</f>
        <v/>
      </c>
      <c r="Y144">
        <f>HYPERLINK("https://klasma.github.io/Logging_0881/tillsynsmail/A 42561-2020 tillsynsbegäran mail.docx", "A 42561-2020")</f>
        <v/>
      </c>
    </row>
    <row r="145" ht="15" customHeight="1">
      <c r="A145" t="inlineStr">
        <is>
          <t>A 51578-2020</t>
        </is>
      </c>
      <c r="B145" s="1" t="n">
        <v>44109</v>
      </c>
      <c r="C145" s="1" t="n">
        <v>45232</v>
      </c>
      <c r="D145" t="inlineStr">
        <is>
          <t>KALMAR LÄN</t>
        </is>
      </c>
      <c r="E145" t="inlineStr">
        <is>
          <t>HÖGSBY</t>
        </is>
      </c>
      <c r="G145" t="n">
        <v>12.3</v>
      </c>
      <c r="H145" t="n">
        <v>1</v>
      </c>
      <c r="I145" t="n">
        <v>2</v>
      </c>
      <c r="J145" t="n">
        <v>1</v>
      </c>
      <c r="K145" t="n">
        <v>1</v>
      </c>
      <c r="L145" t="n">
        <v>0</v>
      </c>
      <c r="M145" t="n">
        <v>0</v>
      </c>
      <c r="N145" t="n">
        <v>0</v>
      </c>
      <c r="O145" t="n">
        <v>2</v>
      </c>
      <c r="P145" t="n">
        <v>1</v>
      </c>
      <c r="Q145" t="n">
        <v>4</v>
      </c>
      <c r="R145" s="2" t="inlineStr">
        <is>
          <t>Rynkskinn
Spillkråka
Bronshjon
Vågbandad barkbock</t>
        </is>
      </c>
      <c r="S145">
        <f>HYPERLINK("https://klasma.github.io/Logging_0821/artfynd/A 51578-2020 artfynd.xlsx", "A 51578-2020")</f>
        <v/>
      </c>
      <c r="T145">
        <f>HYPERLINK("https://klasma.github.io/Logging_0821/kartor/A 51578-2020 karta.png", "A 51578-2020")</f>
        <v/>
      </c>
      <c r="V145">
        <f>HYPERLINK("https://klasma.github.io/Logging_0821/klagomål/A 51578-2020 FSC-klagomål.docx", "A 51578-2020")</f>
        <v/>
      </c>
      <c r="W145">
        <f>HYPERLINK("https://klasma.github.io/Logging_0821/klagomålsmail/A 51578-2020 FSC-klagomål mail.docx", "A 51578-2020")</f>
        <v/>
      </c>
      <c r="X145">
        <f>HYPERLINK("https://klasma.github.io/Logging_0821/tillsyn/A 51578-2020 tillsynsbegäran.docx", "A 51578-2020")</f>
        <v/>
      </c>
      <c r="Y145">
        <f>HYPERLINK("https://klasma.github.io/Logging_0821/tillsynsmail/A 51578-2020 tillsynsbegäran mail.docx", "A 51578-2020")</f>
        <v/>
      </c>
    </row>
    <row r="146" ht="15" customHeight="1">
      <c r="A146" t="inlineStr">
        <is>
          <t>A 55210-2020</t>
        </is>
      </c>
      <c r="B146" s="1" t="n">
        <v>44130</v>
      </c>
      <c r="C146" s="1" t="n">
        <v>45232</v>
      </c>
      <c r="D146" t="inlineStr">
        <is>
          <t>KALMAR LÄN</t>
        </is>
      </c>
      <c r="E146" t="inlineStr">
        <is>
          <t>BORGHOLM</t>
        </is>
      </c>
      <c r="G146" t="n">
        <v>2.2</v>
      </c>
      <c r="H146" t="n">
        <v>1</v>
      </c>
      <c r="I146" t="n">
        <v>3</v>
      </c>
      <c r="J146" t="n">
        <v>1</v>
      </c>
      <c r="K146" t="n">
        <v>0</v>
      </c>
      <c r="L146" t="n">
        <v>0</v>
      </c>
      <c r="M146" t="n">
        <v>0</v>
      </c>
      <c r="N146" t="n">
        <v>0</v>
      </c>
      <c r="O146" t="n">
        <v>1</v>
      </c>
      <c r="P146" t="n">
        <v>0</v>
      </c>
      <c r="Q146" t="n">
        <v>4</v>
      </c>
      <c r="R146" s="2" t="inlineStr">
        <is>
          <t>Loppstarr
Murgröna
Nästrot
Sårläka</t>
        </is>
      </c>
      <c r="S146">
        <f>HYPERLINK("https://klasma.github.io/Logging_0885/artfynd/A 55210-2020 artfynd.xlsx", "A 55210-2020")</f>
        <v/>
      </c>
      <c r="T146">
        <f>HYPERLINK("https://klasma.github.io/Logging_0885/kartor/A 55210-2020 karta.png", "A 55210-2020")</f>
        <v/>
      </c>
      <c r="V146">
        <f>HYPERLINK("https://klasma.github.io/Logging_0885/klagomål/A 55210-2020 FSC-klagomål.docx", "A 55210-2020")</f>
        <v/>
      </c>
      <c r="W146">
        <f>HYPERLINK("https://klasma.github.io/Logging_0885/klagomålsmail/A 55210-2020 FSC-klagomål mail.docx", "A 55210-2020")</f>
        <v/>
      </c>
      <c r="X146">
        <f>HYPERLINK("https://klasma.github.io/Logging_0885/tillsyn/A 55210-2020 tillsynsbegäran.docx", "A 55210-2020")</f>
        <v/>
      </c>
      <c r="Y146">
        <f>HYPERLINK("https://klasma.github.io/Logging_0885/tillsynsmail/A 55210-2020 tillsynsbegäran mail.docx", "A 55210-2020")</f>
        <v/>
      </c>
    </row>
    <row r="147" ht="15" customHeight="1">
      <c r="A147" t="inlineStr">
        <is>
          <t>A 61854-2020</t>
        </is>
      </c>
      <c r="B147" s="1" t="n">
        <v>44155</v>
      </c>
      <c r="C147" s="1" t="n">
        <v>45232</v>
      </c>
      <c r="D147" t="inlineStr">
        <is>
          <t>KALMAR LÄN</t>
        </is>
      </c>
      <c r="E147" t="inlineStr">
        <is>
          <t>MÖRBYLÅNGA</t>
        </is>
      </c>
      <c r="G147" t="n">
        <v>1.3</v>
      </c>
      <c r="H147" t="n">
        <v>1</v>
      </c>
      <c r="I147" t="n">
        <v>3</v>
      </c>
      <c r="J147" t="n">
        <v>0</v>
      </c>
      <c r="K147" t="n">
        <v>0</v>
      </c>
      <c r="L147" t="n">
        <v>0</v>
      </c>
      <c r="M147" t="n">
        <v>0</v>
      </c>
      <c r="N147" t="n">
        <v>0</v>
      </c>
      <c r="O147" t="n">
        <v>0</v>
      </c>
      <c r="P147" t="n">
        <v>0</v>
      </c>
      <c r="Q147" t="n">
        <v>4</v>
      </c>
      <c r="R147" s="2" t="inlineStr">
        <is>
          <t>Kalktallört
Murgröna
Scharlakansvårskål agg.
Blåsippa</t>
        </is>
      </c>
      <c r="S147">
        <f>HYPERLINK("https://klasma.github.io/Logging_0840/artfynd/A 61854-2020 artfynd.xlsx", "A 61854-2020")</f>
        <v/>
      </c>
      <c r="T147">
        <f>HYPERLINK("https://klasma.github.io/Logging_0840/kartor/A 61854-2020 karta.png", "A 61854-2020")</f>
        <v/>
      </c>
      <c r="V147">
        <f>HYPERLINK("https://klasma.github.io/Logging_0840/klagomål/A 61854-2020 FSC-klagomål.docx", "A 61854-2020")</f>
        <v/>
      </c>
      <c r="W147">
        <f>HYPERLINK("https://klasma.github.io/Logging_0840/klagomålsmail/A 61854-2020 FSC-klagomål mail.docx", "A 61854-2020")</f>
        <v/>
      </c>
      <c r="X147">
        <f>HYPERLINK("https://klasma.github.io/Logging_0840/tillsyn/A 61854-2020 tillsynsbegäran.docx", "A 61854-2020")</f>
        <v/>
      </c>
      <c r="Y147">
        <f>HYPERLINK("https://klasma.github.io/Logging_0840/tillsynsmail/A 61854-2020 tillsynsbegäran mail.docx", "A 61854-2020")</f>
        <v/>
      </c>
    </row>
    <row r="148" ht="15" customHeight="1">
      <c r="A148" t="inlineStr">
        <is>
          <t>A 10511-2021</t>
        </is>
      </c>
      <c r="B148" s="1" t="n">
        <v>44258</v>
      </c>
      <c r="C148" s="1" t="n">
        <v>45232</v>
      </c>
      <c r="D148" t="inlineStr">
        <is>
          <t>KALMAR LÄN</t>
        </is>
      </c>
      <c r="E148" t="inlineStr">
        <is>
          <t>HULTSFRED</t>
        </is>
      </c>
      <c r="G148" t="n">
        <v>4.7</v>
      </c>
      <c r="H148" t="n">
        <v>3</v>
      </c>
      <c r="I148" t="n">
        <v>1</v>
      </c>
      <c r="J148" t="n">
        <v>1</v>
      </c>
      <c r="K148" t="n">
        <v>1</v>
      </c>
      <c r="L148" t="n">
        <v>0</v>
      </c>
      <c r="M148" t="n">
        <v>0</v>
      </c>
      <c r="N148" t="n">
        <v>0</v>
      </c>
      <c r="O148" t="n">
        <v>2</v>
      </c>
      <c r="P148" t="n">
        <v>1</v>
      </c>
      <c r="Q148" t="n">
        <v>4</v>
      </c>
      <c r="R148" s="2" t="inlineStr">
        <is>
          <t>Knärot
Talltita
Grovticka
Blåsippa</t>
        </is>
      </c>
      <c r="S148">
        <f>HYPERLINK("https://klasma.github.io/Logging_0860/artfynd/A 10511-2021 artfynd.xlsx", "A 10511-2021")</f>
        <v/>
      </c>
      <c r="T148">
        <f>HYPERLINK("https://klasma.github.io/Logging_0860/kartor/A 10511-2021 karta.png", "A 10511-2021")</f>
        <v/>
      </c>
      <c r="U148">
        <f>HYPERLINK("https://klasma.github.io/Logging_0860/knärot/A 10511-2021 karta knärot.png", "A 10511-2021")</f>
        <v/>
      </c>
      <c r="V148">
        <f>HYPERLINK("https://klasma.github.io/Logging_0860/klagomål/A 10511-2021 FSC-klagomål.docx", "A 10511-2021")</f>
        <v/>
      </c>
      <c r="W148">
        <f>HYPERLINK("https://klasma.github.io/Logging_0860/klagomålsmail/A 10511-2021 FSC-klagomål mail.docx", "A 10511-2021")</f>
        <v/>
      </c>
      <c r="X148">
        <f>HYPERLINK("https://klasma.github.io/Logging_0860/tillsyn/A 10511-2021 tillsynsbegäran.docx", "A 10511-2021")</f>
        <v/>
      </c>
      <c r="Y148">
        <f>HYPERLINK("https://klasma.github.io/Logging_0860/tillsynsmail/A 10511-2021 tillsynsbegäran mail.docx", "A 10511-2021")</f>
        <v/>
      </c>
    </row>
    <row r="149" ht="15" customHeight="1">
      <c r="A149" t="inlineStr">
        <is>
          <t>A 28301-2021</t>
        </is>
      </c>
      <c r="B149" s="1" t="n">
        <v>44356</v>
      </c>
      <c r="C149" s="1" t="n">
        <v>45232</v>
      </c>
      <c r="D149" t="inlineStr">
        <is>
          <t>KALMAR LÄN</t>
        </is>
      </c>
      <c r="E149" t="inlineStr">
        <is>
          <t>OSKARSHAMN</t>
        </is>
      </c>
      <c r="G149" t="n">
        <v>3.8</v>
      </c>
      <c r="H149" t="n">
        <v>4</v>
      </c>
      <c r="I149" t="n">
        <v>0</v>
      </c>
      <c r="J149" t="n">
        <v>1</v>
      </c>
      <c r="K149" t="n">
        <v>0</v>
      </c>
      <c r="L149" t="n">
        <v>0</v>
      </c>
      <c r="M149" t="n">
        <v>0</v>
      </c>
      <c r="N149" t="n">
        <v>0</v>
      </c>
      <c r="O149" t="n">
        <v>1</v>
      </c>
      <c r="P149" t="n">
        <v>0</v>
      </c>
      <c r="Q149" t="n">
        <v>4</v>
      </c>
      <c r="R149" s="2" t="inlineStr">
        <is>
          <t>Nordfladdermus
Dvärgpipistrell
Större brunfladdermus
Vattenfladdermus</t>
        </is>
      </c>
      <c r="S149">
        <f>HYPERLINK("https://klasma.github.io/Logging_0882/artfynd/A 28301-2021 artfynd.xlsx", "A 28301-2021")</f>
        <v/>
      </c>
      <c r="T149">
        <f>HYPERLINK("https://klasma.github.io/Logging_0882/kartor/A 28301-2021 karta.png", "A 28301-2021")</f>
        <v/>
      </c>
      <c r="V149">
        <f>HYPERLINK("https://klasma.github.io/Logging_0882/klagomål/A 28301-2021 FSC-klagomål.docx", "A 28301-2021")</f>
        <v/>
      </c>
      <c r="W149">
        <f>HYPERLINK("https://klasma.github.io/Logging_0882/klagomålsmail/A 28301-2021 FSC-klagomål mail.docx", "A 28301-2021")</f>
        <v/>
      </c>
      <c r="X149">
        <f>HYPERLINK("https://klasma.github.io/Logging_0882/tillsyn/A 28301-2021 tillsynsbegäran.docx", "A 28301-2021")</f>
        <v/>
      </c>
      <c r="Y149">
        <f>HYPERLINK("https://klasma.github.io/Logging_0882/tillsynsmail/A 28301-2021 tillsynsbegäran mail.docx", "A 28301-2021")</f>
        <v/>
      </c>
    </row>
    <row r="150" ht="15" customHeight="1">
      <c r="A150" t="inlineStr">
        <is>
          <t>A 28297-2021</t>
        </is>
      </c>
      <c r="B150" s="1" t="n">
        <v>44356</v>
      </c>
      <c r="C150" s="1" t="n">
        <v>45232</v>
      </c>
      <c r="D150" t="inlineStr">
        <is>
          <t>KALMAR LÄN</t>
        </is>
      </c>
      <c r="E150" t="inlineStr">
        <is>
          <t>OSKARSHAMN</t>
        </is>
      </c>
      <c r="G150" t="n">
        <v>2</v>
      </c>
      <c r="H150" t="n">
        <v>2</v>
      </c>
      <c r="I150" t="n">
        <v>1</v>
      </c>
      <c r="J150" t="n">
        <v>3</v>
      </c>
      <c r="K150" t="n">
        <v>0</v>
      </c>
      <c r="L150" t="n">
        <v>0</v>
      </c>
      <c r="M150" t="n">
        <v>0</v>
      </c>
      <c r="N150" t="n">
        <v>0</v>
      </c>
      <c r="O150" t="n">
        <v>3</v>
      </c>
      <c r="P150" t="n">
        <v>0</v>
      </c>
      <c r="Q150" t="n">
        <v>4</v>
      </c>
      <c r="R150" s="2" t="inlineStr">
        <is>
          <t>Spillkråka
Tallticka
Talltita
Blomkålssvamp</t>
        </is>
      </c>
      <c r="S150">
        <f>HYPERLINK("https://klasma.github.io/Logging_0882/artfynd/A 28297-2021 artfynd.xlsx", "A 28297-2021")</f>
        <v/>
      </c>
      <c r="T150">
        <f>HYPERLINK("https://klasma.github.io/Logging_0882/kartor/A 28297-2021 karta.png", "A 28297-2021")</f>
        <v/>
      </c>
      <c r="V150">
        <f>HYPERLINK("https://klasma.github.io/Logging_0882/klagomål/A 28297-2021 FSC-klagomål.docx", "A 28297-2021")</f>
        <v/>
      </c>
      <c r="W150">
        <f>HYPERLINK("https://klasma.github.io/Logging_0882/klagomålsmail/A 28297-2021 FSC-klagomål mail.docx", "A 28297-2021")</f>
        <v/>
      </c>
      <c r="X150">
        <f>HYPERLINK("https://klasma.github.io/Logging_0882/tillsyn/A 28297-2021 tillsynsbegäran.docx", "A 28297-2021")</f>
        <v/>
      </c>
      <c r="Y150">
        <f>HYPERLINK("https://klasma.github.io/Logging_0882/tillsynsmail/A 28297-2021 tillsynsbegäran mail.docx", "A 28297-2021")</f>
        <v/>
      </c>
    </row>
    <row r="151" ht="15" customHeight="1">
      <c r="A151" t="inlineStr">
        <is>
          <t>A 42768-2021</t>
        </is>
      </c>
      <c r="B151" s="1" t="n">
        <v>44428</v>
      </c>
      <c r="C151" s="1" t="n">
        <v>45232</v>
      </c>
      <c r="D151" t="inlineStr">
        <is>
          <t>KALMAR LÄN</t>
        </is>
      </c>
      <c r="E151" t="inlineStr">
        <is>
          <t>NYBRO</t>
        </is>
      </c>
      <c r="G151" t="n">
        <v>3.7</v>
      </c>
      <c r="H151" t="n">
        <v>2</v>
      </c>
      <c r="I151" t="n">
        <v>1</v>
      </c>
      <c r="J151" t="n">
        <v>1</v>
      </c>
      <c r="K151" t="n">
        <v>1</v>
      </c>
      <c r="L151" t="n">
        <v>0</v>
      </c>
      <c r="M151" t="n">
        <v>0</v>
      </c>
      <c r="N151" t="n">
        <v>0</v>
      </c>
      <c r="O151" t="n">
        <v>2</v>
      </c>
      <c r="P151" t="n">
        <v>1</v>
      </c>
      <c r="Q151" t="n">
        <v>4</v>
      </c>
      <c r="R151" s="2" t="inlineStr">
        <is>
          <t>Knärot
Sommarfibbla
Grönpyrola
Mattlummer</t>
        </is>
      </c>
      <c r="S151">
        <f>HYPERLINK("https://klasma.github.io/Logging_0881/artfynd/A 42768-2021 artfynd.xlsx", "A 42768-2021")</f>
        <v/>
      </c>
      <c r="T151">
        <f>HYPERLINK("https://klasma.github.io/Logging_0881/kartor/A 42768-2021 karta.png", "A 42768-2021")</f>
        <v/>
      </c>
      <c r="U151">
        <f>HYPERLINK("https://klasma.github.io/Logging_0881/knärot/A 42768-2021 karta knärot.png", "A 42768-2021")</f>
        <v/>
      </c>
      <c r="V151">
        <f>HYPERLINK("https://klasma.github.io/Logging_0881/klagomål/A 42768-2021 FSC-klagomål.docx", "A 42768-2021")</f>
        <v/>
      </c>
      <c r="W151">
        <f>HYPERLINK("https://klasma.github.io/Logging_0881/klagomålsmail/A 42768-2021 FSC-klagomål mail.docx", "A 42768-2021")</f>
        <v/>
      </c>
      <c r="X151">
        <f>HYPERLINK("https://klasma.github.io/Logging_0881/tillsyn/A 42768-2021 tillsynsbegäran.docx", "A 42768-2021")</f>
        <v/>
      </c>
      <c r="Y151">
        <f>HYPERLINK("https://klasma.github.io/Logging_0881/tillsynsmail/A 42768-2021 tillsynsbegäran mail.docx", "A 42768-2021")</f>
        <v/>
      </c>
    </row>
    <row r="152" ht="15" customHeight="1">
      <c r="A152" t="inlineStr">
        <is>
          <t>A 50720-2021</t>
        </is>
      </c>
      <c r="B152" s="1" t="n">
        <v>44459</v>
      </c>
      <c r="C152" s="1" t="n">
        <v>45232</v>
      </c>
      <c r="D152" t="inlineStr">
        <is>
          <t>KALMAR LÄN</t>
        </is>
      </c>
      <c r="E152" t="inlineStr">
        <is>
          <t>BORGHOLM</t>
        </is>
      </c>
      <c r="G152" t="n">
        <v>1.7</v>
      </c>
      <c r="H152" t="n">
        <v>0</v>
      </c>
      <c r="I152" t="n">
        <v>1</v>
      </c>
      <c r="J152" t="n">
        <v>3</v>
      </c>
      <c r="K152" t="n">
        <v>0</v>
      </c>
      <c r="L152" t="n">
        <v>0</v>
      </c>
      <c r="M152" t="n">
        <v>0</v>
      </c>
      <c r="N152" t="n">
        <v>0</v>
      </c>
      <c r="O152" t="n">
        <v>3</v>
      </c>
      <c r="P152" t="n">
        <v>0</v>
      </c>
      <c r="Q152" t="n">
        <v>4</v>
      </c>
      <c r="R152" s="2" t="inlineStr">
        <is>
          <t>Flentimotej
Grådådra
Sminkrot
Geastrum</t>
        </is>
      </c>
      <c r="S152">
        <f>HYPERLINK("https://klasma.github.io/Logging_0885/artfynd/A 50720-2021 artfynd.xlsx", "A 50720-2021")</f>
        <v/>
      </c>
      <c r="T152">
        <f>HYPERLINK("https://klasma.github.io/Logging_0885/kartor/A 50720-2021 karta.png", "A 50720-2021")</f>
        <v/>
      </c>
      <c r="V152">
        <f>HYPERLINK("https://klasma.github.io/Logging_0885/klagomål/A 50720-2021 FSC-klagomål.docx", "A 50720-2021")</f>
        <v/>
      </c>
      <c r="W152">
        <f>HYPERLINK("https://klasma.github.io/Logging_0885/klagomålsmail/A 50720-2021 FSC-klagomål mail.docx", "A 50720-2021")</f>
        <v/>
      </c>
      <c r="X152">
        <f>HYPERLINK("https://klasma.github.io/Logging_0885/tillsyn/A 50720-2021 tillsynsbegäran.docx", "A 50720-2021")</f>
        <v/>
      </c>
      <c r="Y152">
        <f>HYPERLINK("https://klasma.github.io/Logging_0885/tillsynsmail/A 50720-2021 tillsynsbegäran mail.docx", "A 50720-2021")</f>
        <v/>
      </c>
    </row>
    <row r="153" ht="15" customHeight="1">
      <c r="A153" t="inlineStr">
        <is>
          <t>A 55135-2021</t>
        </is>
      </c>
      <c r="B153" s="1" t="n">
        <v>44474</v>
      </c>
      <c r="C153" s="1" t="n">
        <v>45232</v>
      </c>
      <c r="D153" t="inlineStr">
        <is>
          <t>KALMAR LÄN</t>
        </is>
      </c>
      <c r="E153" t="inlineStr">
        <is>
          <t>HULTSFRED</t>
        </is>
      </c>
      <c r="G153" t="n">
        <v>2.2</v>
      </c>
      <c r="H153" t="n">
        <v>1</v>
      </c>
      <c r="I153" t="n">
        <v>2</v>
      </c>
      <c r="J153" t="n">
        <v>1</v>
      </c>
      <c r="K153" t="n">
        <v>1</v>
      </c>
      <c r="L153" t="n">
        <v>0</v>
      </c>
      <c r="M153" t="n">
        <v>0</v>
      </c>
      <c r="N153" t="n">
        <v>0</v>
      </c>
      <c r="O153" t="n">
        <v>2</v>
      </c>
      <c r="P153" t="n">
        <v>1</v>
      </c>
      <c r="Q153" t="n">
        <v>4</v>
      </c>
      <c r="R153" s="2" t="inlineStr">
        <is>
          <t>Knärot
Druvfingersvamp
Grovticka
Skarp dropptaggsvamp</t>
        </is>
      </c>
      <c r="S153">
        <f>HYPERLINK("https://klasma.github.io/Logging_0860/artfynd/A 55135-2021 artfynd.xlsx", "A 55135-2021")</f>
        <v/>
      </c>
      <c r="T153">
        <f>HYPERLINK("https://klasma.github.io/Logging_0860/kartor/A 55135-2021 karta.png", "A 55135-2021")</f>
        <v/>
      </c>
      <c r="U153">
        <f>HYPERLINK("https://klasma.github.io/Logging_0860/knärot/A 55135-2021 karta knärot.png", "A 55135-2021")</f>
        <v/>
      </c>
      <c r="V153">
        <f>HYPERLINK("https://klasma.github.io/Logging_0860/klagomål/A 55135-2021 FSC-klagomål.docx", "A 55135-2021")</f>
        <v/>
      </c>
      <c r="W153">
        <f>HYPERLINK("https://klasma.github.io/Logging_0860/klagomålsmail/A 55135-2021 FSC-klagomål mail.docx", "A 55135-2021")</f>
        <v/>
      </c>
      <c r="X153">
        <f>HYPERLINK("https://klasma.github.io/Logging_0860/tillsyn/A 55135-2021 tillsynsbegäran.docx", "A 55135-2021")</f>
        <v/>
      </c>
      <c r="Y153">
        <f>HYPERLINK("https://klasma.github.io/Logging_0860/tillsynsmail/A 55135-2021 tillsynsbegäran mail.docx", "A 55135-2021")</f>
        <v/>
      </c>
    </row>
    <row r="154" ht="15" customHeight="1">
      <c r="A154" t="inlineStr">
        <is>
          <t>A 55017-2021</t>
        </is>
      </c>
      <c r="B154" s="1" t="n">
        <v>44474</v>
      </c>
      <c r="C154" s="1" t="n">
        <v>45232</v>
      </c>
      <c r="D154" t="inlineStr">
        <is>
          <t>KALMAR LÄN</t>
        </is>
      </c>
      <c r="E154" t="inlineStr">
        <is>
          <t>VÄSTERVIK</t>
        </is>
      </c>
      <c r="G154" t="n">
        <v>16.4</v>
      </c>
      <c r="H154" t="n">
        <v>1</v>
      </c>
      <c r="I154" t="n">
        <v>1</v>
      </c>
      <c r="J154" t="n">
        <v>3</v>
      </c>
      <c r="K154" t="n">
        <v>0</v>
      </c>
      <c r="L154" t="n">
        <v>0</v>
      </c>
      <c r="M154" t="n">
        <v>0</v>
      </c>
      <c r="N154" t="n">
        <v>0</v>
      </c>
      <c r="O154" t="n">
        <v>3</v>
      </c>
      <c r="P154" t="n">
        <v>0</v>
      </c>
      <c r="Q154" t="n">
        <v>4</v>
      </c>
      <c r="R154" s="2" t="inlineStr">
        <is>
          <t>Motaggsvamp
Tallticka
Talltita
Fjällig taggsvamp s.str.</t>
        </is>
      </c>
      <c r="S154">
        <f>HYPERLINK("https://klasma.github.io/Logging_0883/artfynd/A 55017-2021 artfynd.xlsx", "A 55017-2021")</f>
        <v/>
      </c>
      <c r="T154">
        <f>HYPERLINK("https://klasma.github.io/Logging_0883/kartor/A 55017-2021 karta.png", "A 55017-2021")</f>
        <v/>
      </c>
      <c r="U154">
        <f>HYPERLINK("https://klasma.github.io/Logging_0883/knärot/A 55017-2021 karta knärot.png", "A 55017-2021")</f>
        <v/>
      </c>
      <c r="V154">
        <f>HYPERLINK("https://klasma.github.io/Logging_0883/klagomål/A 55017-2021 FSC-klagomål.docx", "A 55017-2021")</f>
        <v/>
      </c>
      <c r="W154">
        <f>HYPERLINK("https://klasma.github.io/Logging_0883/klagomålsmail/A 55017-2021 FSC-klagomål mail.docx", "A 55017-2021")</f>
        <v/>
      </c>
      <c r="X154">
        <f>HYPERLINK("https://klasma.github.io/Logging_0883/tillsyn/A 55017-2021 tillsynsbegäran.docx", "A 55017-2021")</f>
        <v/>
      </c>
      <c r="Y154">
        <f>HYPERLINK("https://klasma.github.io/Logging_0883/tillsynsmail/A 55017-2021 tillsynsbegäran mail.docx", "A 55017-2021")</f>
        <v/>
      </c>
    </row>
    <row r="155" ht="15" customHeight="1">
      <c r="A155" t="inlineStr">
        <is>
          <t>A 63850-2021</t>
        </is>
      </c>
      <c r="B155" s="1" t="n">
        <v>44505</v>
      </c>
      <c r="C155" s="1" t="n">
        <v>45232</v>
      </c>
      <c r="D155" t="inlineStr">
        <is>
          <t>KALMAR LÄN</t>
        </is>
      </c>
      <c r="E155" t="inlineStr">
        <is>
          <t>VÄSTERVIK</t>
        </is>
      </c>
      <c r="G155" t="n">
        <v>2.7</v>
      </c>
      <c r="H155" t="n">
        <v>3</v>
      </c>
      <c r="I155" t="n">
        <v>1</v>
      </c>
      <c r="J155" t="n">
        <v>2</v>
      </c>
      <c r="K155" t="n">
        <v>1</v>
      </c>
      <c r="L155" t="n">
        <v>0</v>
      </c>
      <c r="M155" t="n">
        <v>0</v>
      </c>
      <c r="N155" t="n">
        <v>0</v>
      </c>
      <c r="O155" t="n">
        <v>3</v>
      </c>
      <c r="P155" t="n">
        <v>1</v>
      </c>
      <c r="Q155" t="n">
        <v>4</v>
      </c>
      <c r="R155" s="2" t="inlineStr">
        <is>
          <t>Knärot
Talltita
Ullticka
Grön sköldmossa</t>
        </is>
      </c>
      <c r="S155">
        <f>HYPERLINK("https://klasma.github.io/Logging_0883/artfynd/A 63850-2021 artfynd.xlsx", "A 63850-2021")</f>
        <v/>
      </c>
      <c r="T155">
        <f>HYPERLINK("https://klasma.github.io/Logging_0883/kartor/A 63850-2021 karta.png", "A 63850-2021")</f>
        <v/>
      </c>
      <c r="U155">
        <f>HYPERLINK("https://klasma.github.io/Logging_0883/knärot/A 63850-2021 karta knärot.png", "A 63850-2021")</f>
        <v/>
      </c>
      <c r="V155">
        <f>HYPERLINK("https://klasma.github.io/Logging_0883/klagomål/A 63850-2021 FSC-klagomål.docx", "A 63850-2021")</f>
        <v/>
      </c>
      <c r="W155">
        <f>HYPERLINK("https://klasma.github.io/Logging_0883/klagomålsmail/A 63850-2021 FSC-klagomål mail.docx", "A 63850-2021")</f>
        <v/>
      </c>
      <c r="X155">
        <f>HYPERLINK("https://klasma.github.io/Logging_0883/tillsyn/A 63850-2021 tillsynsbegäran.docx", "A 63850-2021")</f>
        <v/>
      </c>
      <c r="Y155">
        <f>HYPERLINK("https://klasma.github.io/Logging_0883/tillsynsmail/A 63850-2021 tillsynsbegäran mail.docx", "A 63850-2021")</f>
        <v/>
      </c>
    </row>
    <row r="156" ht="15" customHeight="1">
      <c r="A156" t="inlineStr">
        <is>
          <t>A 73465-2021</t>
        </is>
      </c>
      <c r="B156" s="1" t="n">
        <v>44551</v>
      </c>
      <c r="C156" s="1" t="n">
        <v>45232</v>
      </c>
      <c r="D156" t="inlineStr">
        <is>
          <t>KALMAR LÄN</t>
        </is>
      </c>
      <c r="E156" t="inlineStr">
        <is>
          <t>HULTSFRED</t>
        </is>
      </c>
      <c r="G156" t="n">
        <v>1.4</v>
      </c>
      <c r="H156" t="n">
        <v>3</v>
      </c>
      <c r="I156" t="n">
        <v>1</v>
      </c>
      <c r="J156" t="n">
        <v>0</v>
      </c>
      <c r="K156" t="n">
        <v>1</v>
      </c>
      <c r="L156" t="n">
        <v>0</v>
      </c>
      <c r="M156" t="n">
        <v>0</v>
      </c>
      <c r="N156" t="n">
        <v>0</v>
      </c>
      <c r="O156" t="n">
        <v>1</v>
      </c>
      <c r="P156" t="n">
        <v>1</v>
      </c>
      <c r="Q156" t="n">
        <v>4</v>
      </c>
      <c r="R156" s="2" t="inlineStr">
        <is>
          <t>Knärot
Dropptaggsvamp
Blåsippa
Revlummer</t>
        </is>
      </c>
      <c r="S156">
        <f>HYPERLINK("https://klasma.github.io/Logging_0860/artfynd/A 73465-2021 artfynd.xlsx", "A 73465-2021")</f>
        <v/>
      </c>
      <c r="T156">
        <f>HYPERLINK("https://klasma.github.io/Logging_0860/kartor/A 73465-2021 karta.png", "A 73465-2021")</f>
        <v/>
      </c>
      <c r="U156">
        <f>HYPERLINK("https://klasma.github.io/Logging_0860/knärot/A 73465-2021 karta knärot.png", "A 73465-2021")</f>
        <v/>
      </c>
      <c r="V156">
        <f>HYPERLINK("https://klasma.github.io/Logging_0860/klagomål/A 73465-2021 FSC-klagomål.docx", "A 73465-2021")</f>
        <v/>
      </c>
      <c r="W156">
        <f>HYPERLINK("https://klasma.github.io/Logging_0860/klagomålsmail/A 73465-2021 FSC-klagomål mail.docx", "A 73465-2021")</f>
        <v/>
      </c>
      <c r="X156">
        <f>HYPERLINK("https://klasma.github.io/Logging_0860/tillsyn/A 73465-2021 tillsynsbegäran.docx", "A 73465-2021")</f>
        <v/>
      </c>
      <c r="Y156">
        <f>HYPERLINK("https://klasma.github.io/Logging_0860/tillsynsmail/A 73465-2021 tillsynsbegäran mail.docx", "A 73465-2021")</f>
        <v/>
      </c>
    </row>
    <row r="157" ht="15" customHeight="1">
      <c r="A157" t="inlineStr">
        <is>
          <t>A 1650-2022</t>
        </is>
      </c>
      <c r="B157" s="1" t="n">
        <v>44574</v>
      </c>
      <c r="C157" s="1" t="n">
        <v>45232</v>
      </c>
      <c r="D157" t="inlineStr">
        <is>
          <t>KALMAR LÄN</t>
        </is>
      </c>
      <c r="E157" t="inlineStr">
        <is>
          <t>OSKARSHAMN</t>
        </is>
      </c>
      <c r="F157" t="inlineStr">
        <is>
          <t>Kommuner</t>
        </is>
      </c>
      <c r="G157" t="n">
        <v>4</v>
      </c>
      <c r="H157" t="n">
        <v>3</v>
      </c>
      <c r="I157" t="n">
        <v>1</v>
      </c>
      <c r="J157" t="n">
        <v>2</v>
      </c>
      <c r="K157" t="n">
        <v>1</v>
      </c>
      <c r="L157" t="n">
        <v>0</v>
      </c>
      <c r="M157" t="n">
        <v>0</v>
      </c>
      <c r="N157" t="n">
        <v>0</v>
      </c>
      <c r="O157" t="n">
        <v>3</v>
      </c>
      <c r="P157" t="n">
        <v>1</v>
      </c>
      <c r="Q157" t="n">
        <v>4</v>
      </c>
      <c r="R157" s="2" t="inlineStr">
        <is>
          <t>Knärot
Spillkråka
Talltita
Grönpyrola</t>
        </is>
      </c>
      <c r="S157">
        <f>HYPERLINK("https://klasma.github.io/Logging_0882/artfynd/A 1650-2022 artfynd.xlsx", "A 1650-2022")</f>
        <v/>
      </c>
      <c r="T157">
        <f>HYPERLINK("https://klasma.github.io/Logging_0882/kartor/A 1650-2022 karta.png", "A 1650-2022")</f>
        <v/>
      </c>
      <c r="U157">
        <f>HYPERLINK("https://klasma.github.io/Logging_0882/knärot/A 1650-2022 karta knärot.png", "A 1650-2022")</f>
        <v/>
      </c>
      <c r="V157">
        <f>HYPERLINK("https://klasma.github.io/Logging_0882/klagomål/A 1650-2022 FSC-klagomål.docx", "A 1650-2022")</f>
        <v/>
      </c>
      <c r="W157">
        <f>HYPERLINK("https://klasma.github.io/Logging_0882/klagomålsmail/A 1650-2022 FSC-klagomål mail.docx", "A 1650-2022")</f>
        <v/>
      </c>
      <c r="X157">
        <f>HYPERLINK("https://klasma.github.io/Logging_0882/tillsyn/A 1650-2022 tillsynsbegäran.docx", "A 1650-2022")</f>
        <v/>
      </c>
      <c r="Y157">
        <f>HYPERLINK("https://klasma.github.io/Logging_0882/tillsynsmail/A 1650-2022 tillsynsbegäran mail.docx", "A 1650-2022")</f>
        <v/>
      </c>
    </row>
    <row r="158" ht="15" customHeight="1">
      <c r="A158" t="inlineStr">
        <is>
          <t>A 35331-2022</t>
        </is>
      </c>
      <c r="B158" s="1" t="n">
        <v>44798</v>
      </c>
      <c r="C158" s="1" t="n">
        <v>45232</v>
      </c>
      <c r="D158" t="inlineStr">
        <is>
          <t>KALMAR LÄN</t>
        </is>
      </c>
      <c r="E158" t="inlineStr">
        <is>
          <t>VIMMERBY</t>
        </is>
      </c>
      <c r="G158" t="n">
        <v>2.4</v>
      </c>
      <c r="H158" t="n">
        <v>1</v>
      </c>
      <c r="I158" t="n">
        <v>2</v>
      </c>
      <c r="J158" t="n">
        <v>2</v>
      </c>
      <c r="K158" t="n">
        <v>0</v>
      </c>
      <c r="L158" t="n">
        <v>0</v>
      </c>
      <c r="M158" t="n">
        <v>0</v>
      </c>
      <c r="N158" t="n">
        <v>0</v>
      </c>
      <c r="O158" t="n">
        <v>2</v>
      </c>
      <c r="P158" t="n">
        <v>0</v>
      </c>
      <c r="Q158" t="n">
        <v>4</v>
      </c>
      <c r="R158" s="2" t="inlineStr">
        <is>
          <t>Tallticka
Talltita
Bårdlav
Jättesvampmal</t>
        </is>
      </c>
      <c r="S158">
        <f>HYPERLINK("https://klasma.github.io/Logging_0884/artfynd/A 35331-2022 artfynd.xlsx", "A 35331-2022")</f>
        <v/>
      </c>
      <c r="T158">
        <f>HYPERLINK("https://klasma.github.io/Logging_0884/kartor/A 35331-2022 karta.png", "A 35331-2022")</f>
        <v/>
      </c>
      <c r="V158">
        <f>HYPERLINK("https://klasma.github.io/Logging_0884/klagomål/A 35331-2022 FSC-klagomål.docx", "A 35331-2022")</f>
        <v/>
      </c>
      <c r="W158">
        <f>HYPERLINK("https://klasma.github.io/Logging_0884/klagomålsmail/A 35331-2022 FSC-klagomål mail.docx", "A 35331-2022")</f>
        <v/>
      </c>
      <c r="X158">
        <f>HYPERLINK("https://klasma.github.io/Logging_0884/tillsyn/A 35331-2022 tillsynsbegäran.docx", "A 35331-2022")</f>
        <v/>
      </c>
      <c r="Y158">
        <f>HYPERLINK("https://klasma.github.io/Logging_0884/tillsynsmail/A 35331-2022 tillsynsbegäran mail.docx", "A 35331-2022")</f>
        <v/>
      </c>
    </row>
    <row r="159" ht="15" customHeight="1">
      <c r="A159" t="inlineStr">
        <is>
          <t>A 51923-2022</t>
        </is>
      </c>
      <c r="B159" s="1" t="n">
        <v>44868</v>
      </c>
      <c r="C159" s="1" t="n">
        <v>45232</v>
      </c>
      <c r="D159" t="inlineStr">
        <is>
          <t>KALMAR LÄN</t>
        </is>
      </c>
      <c r="E159" t="inlineStr">
        <is>
          <t>VÄSTERVIK</t>
        </is>
      </c>
      <c r="G159" t="n">
        <v>6.5</v>
      </c>
      <c r="H159" t="n">
        <v>1</v>
      </c>
      <c r="I159" t="n">
        <v>3</v>
      </c>
      <c r="J159" t="n">
        <v>0</v>
      </c>
      <c r="K159" t="n">
        <v>0</v>
      </c>
      <c r="L159" t="n">
        <v>0</v>
      </c>
      <c r="M159" t="n">
        <v>0</v>
      </c>
      <c r="N159" t="n">
        <v>0</v>
      </c>
      <c r="O159" t="n">
        <v>0</v>
      </c>
      <c r="P159" t="n">
        <v>0</v>
      </c>
      <c r="Q159" t="n">
        <v>4</v>
      </c>
      <c r="R159" s="2" t="inlineStr">
        <is>
          <t>Hasselticka
Svart trolldruva
Vätteros
Blåsippa</t>
        </is>
      </c>
      <c r="S159">
        <f>HYPERLINK("https://klasma.github.io/Logging_0883/artfynd/A 51923-2022 artfynd.xlsx", "A 51923-2022")</f>
        <v/>
      </c>
      <c r="T159">
        <f>HYPERLINK("https://klasma.github.io/Logging_0883/kartor/A 51923-2022 karta.png", "A 51923-2022")</f>
        <v/>
      </c>
      <c r="V159">
        <f>HYPERLINK("https://klasma.github.io/Logging_0883/klagomål/A 51923-2022 FSC-klagomål.docx", "A 51923-2022")</f>
        <v/>
      </c>
      <c r="W159">
        <f>HYPERLINK("https://klasma.github.io/Logging_0883/klagomålsmail/A 51923-2022 FSC-klagomål mail.docx", "A 51923-2022")</f>
        <v/>
      </c>
      <c r="X159">
        <f>HYPERLINK("https://klasma.github.io/Logging_0883/tillsyn/A 51923-2022 tillsynsbegäran.docx", "A 51923-2022")</f>
        <v/>
      </c>
      <c r="Y159">
        <f>HYPERLINK("https://klasma.github.io/Logging_0883/tillsynsmail/A 51923-2022 tillsynsbegäran mail.docx", "A 51923-2022")</f>
        <v/>
      </c>
    </row>
    <row r="160" ht="15" customHeight="1">
      <c r="A160" t="inlineStr">
        <is>
          <t>A 53167-2022</t>
        </is>
      </c>
      <c r="B160" s="1" t="n">
        <v>44873</v>
      </c>
      <c r="C160" s="1" t="n">
        <v>45232</v>
      </c>
      <c r="D160" t="inlineStr">
        <is>
          <t>KALMAR LÄN</t>
        </is>
      </c>
      <c r="E160" t="inlineStr">
        <is>
          <t>MÖNSTERÅS</t>
        </is>
      </c>
      <c r="F160" t="inlineStr">
        <is>
          <t>Kyrkan</t>
        </is>
      </c>
      <c r="G160" t="n">
        <v>2</v>
      </c>
      <c r="H160" t="n">
        <v>1</v>
      </c>
      <c r="I160" t="n">
        <v>3</v>
      </c>
      <c r="J160" t="n">
        <v>1</v>
      </c>
      <c r="K160" t="n">
        <v>0</v>
      </c>
      <c r="L160" t="n">
        <v>0</v>
      </c>
      <c r="M160" t="n">
        <v>0</v>
      </c>
      <c r="N160" t="n">
        <v>0</v>
      </c>
      <c r="O160" t="n">
        <v>1</v>
      </c>
      <c r="P160" t="n">
        <v>0</v>
      </c>
      <c r="Q160" t="n">
        <v>4</v>
      </c>
      <c r="R160" s="2" t="inlineStr">
        <is>
          <t>Spillkråka
Blåmossa
Flagellkvastmossa
Vågbandad barkbock</t>
        </is>
      </c>
      <c r="S160">
        <f>HYPERLINK("https://klasma.github.io/Logging_0861/artfynd/A 53167-2022 artfynd.xlsx", "A 53167-2022")</f>
        <v/>
      </c>
      <c r="T160">
        <f>HYPERLINK("https://klasma.github.io/Logging_0861/kartor/A 53167-2022 karta.png", "A 53167-2022")</f>
        <v/>
      </c>
      <c r="V160">
        <f>HYPERLINK("https://klasma.github.io/Logging_0861/klagomål/A 53167-2022 FSC-klagomål.docx", "A 53167-2022")</f>
        <v/>
      </c>
      <c r="W160">
        <f>HYPERLINK("https://klasma.github.io/Logging_0861/klagomålsmail/A 53167-2022 FSC-klagomål mail.docx", "A 53167-2022")</f>
        <v/>
      </c>
      <c r="X160">
        <f>HYPERLINK("https://klasma.github.io/Logging_0861/tillsyn/A 53167-2022 tillsynsbegäran.docx", "A 53167-2022")</f>
        <v/>
      </c>
      <c r="Y160">
        <f>HYPERLINK("https://klasma.github.io/Logging_0861/tillsynsmail/A 53167-2022 tillsynsbegäran mail.docx", "A 53167-2022")</f>
        <v/>
      </c>
    </row>
    <row r="161" ht="15" customHeight="1">
      <c r="A161" t="inlineStr">
        <is>
          <t>A 53368-2022</t>
        </is>
      </c>
      <c r="B161" s="1" t="n">
        <v>44879</v>
      </c>
      <c r="C161" s="1" t="n">
        <v>45232</v>
      </c>
      <c r="D161" t="inlineStr">
        <is>
          <t>KALMAR LÄN</t>
        </is>
      </c>
      <c r="E161" t="inlineStr">
        <is>
          <t>NYBRO</t>
        </is>
      </c>
      <c r="G161" t="n">
        <v>2.8</v>
      </c>
      <c r="H161" t="n">
        <v>1</v>
      </c>
      <c r="I161" t="n">
        <v>3</v>
      </c>
      <c r="J161" t="n">
        <v>0</v>
      </c>
      <c r="K161" t="n">
        <v>0</v>
      </c>
      <c r="L161" t="n">
        <v>0</v>
      </c>
      <c r="M161" t="n">
        <v>0</v>
      </c>
      <c r="N161" t="n">
        <v>0</v>
      </c>
      <c r="O161" t="n">
        <v>0</v>
      </c>
      <c r="P161" t="n">
        <v>0</v>
      </c>
      <c r="Q161" t="n">
        <v>4</v>
      </c>
      <c r="R161" s="2" t="inlineStr">
        <is>
          <t>Bronshjon
Fjällig taggsvamp s.str.
Thomsons trägnagare
Blåsippa</t>
        </is>
      </c>
      <c r="S161">
        <f>HYPERLINK("https://klasma.github.io/Logging_0881/artfynd/A 53368-2022 artfynd.xlsx", "A 53368-2022")</f>
        <v/>
      </c>
      <c r="T161">
        <f>HYPERLINK("https://klasma.github.io/Logging_0881/kartor/A 53368-2022 karta.png", "A 53368-2022")</f>
        <v/>
      </c>
      <c r="V161">
        <f>HYPERLINK("https://klasma.github.io/Logging_0881/klagomål/A 53368-2022 FSC-klagomål.docx", "A 53368-2022")</f>
        <v/>
      </c>
      <c r="W161">
        <f>HYPERLINK("https://klasma.github.io/Logging_0881/klagomålsmail/A 53368-2022 FSC-klagomål mail.docx", "A 53368-2022")</f>
        <v/>
      </c>
      <c r="X161">
        <f>HYPERLINK("https://klasma.github.io/Logging_0881/tillsyn/A 53368-2022 tillsynsbegäran.docx", "A 53368-2022")</f>
        <v/>
      </c>
      <c r="Y161">
        <f>HYPERLINK("https://klasma.github.io/Logging_0881/tillsynsmail/A 53368-2022 tillsynsbegäran mail.docx", "A 53368-2022")</f>
        <v/>
      </c>
    </row>
    <row r="162" ht="15" customHeight="1">
      <c r="A162" t="inlineStr">
        <is>
          <t>A 6933-2023</t>
        </is>
      </c>
      <c r="B162" s="1" t="n">
        <v>44951</v>
      </c>
      <c r="C162" s="1" t="n">
        <v>45232</v>
      </c>
      <c r="D162" t="inlineStr">
        <is>
          <t>KALMAR LÄN</t>
        </is>
      </c>
      <c r="E162" t="inlineStr">
        <is>
          <t>KALMAR</t>
        </is>
      </c>
      <c r="G162" t="n">
        <v>9.6</v>
      </c>
      <c r="H162" t="n">
        <v>1</v>
      </c>
      <c r="I162" t="n">
        <v>1</v>
      </c>
      <c r="J162" t="n">
        <v>2</v>
      </c>
      <c r="K162" t="n">
        <v>1</v>
      </c>
      <c r="L162" t="n">
        <v>0</v>
      </c>
      <c r="M162" t="n">
        <v>0</v>
      </c>
      <c r="N162" t="n">
        <v>0</v>
      </c>
      <c r="O162" t="n">
        <v>3</v>
      </c>
      <c r="P162" t="n">
        <v>1</v>
      </c>
      <c r="Q162" t="n">
        <v>4</v>
      </c>
      <c r="R162" s="2" t="inlineStr">
        <is>
          <t>Knärot
Aspstumpbagge
Fyrflikig jordstjärna
Blåmossa</t>
        </is>
      </c>
      <c r="S162">
        <f>HYPERLINK("https://klasma.github.io/Logging_0880/artfynd/A 6933-2023 artfynd.xlsx", "A 6933-2023")</f>
        <v/>
      </c>
      <c r="T162">
        <f>HYPERLINK("https://klasma.github.io/Logging_0880/kartor/A 6933-2023 karta.png", "A 6933-2023")</f>
        <v/>
      </c>
      <c r="U162">
        <f>HYPERLINK("https://klasma.github.io/Logging_0880/knärot/A 6933-2023 karta knärot.png", "A 6933-2023")</f>
        <v/>
      </c>
      <c r="V162">
        <f>HYPERLINK("https://klasma.github.io/Logging_0880/klagomål/A 6933-2023 FSC-klagomål.docx", "A 6933-2023")</f>
        <v/>
      </c>
      <c r="W162">
        <f>HYPERLINK("https://klasma.github.io/Logging_0880/klagomålsmail/A 6933-2023 FSC-klagomål mail.docx", "A 6933-2023")</f>
        <v/>
      </c>
      <c r="X162">
        <f>HYPERLINK("https://klasma.github.io/Logging_0880/tillsyn/A 6933-2023 tillsynsbegäran.docx", "A 6933-2023")</f>
        <v/>
      </c>
      <c r="Y162">
        <f>HYPERLINK("https://klasma.github.io/Logging_0880/tillsynsmail/A 6933-2023 tillsynsbegäran mail.docx", "A 6933-2023")</f>
        <v/>
      </c>
    </row>
    <row r="163" ht="15" customHeight="1">
      <c r="A163" t="inlineStr">
        <is>
          <t>A 12870-2023</t>
        </is>
      </c>
      <c r="B163" s="1" t="n">
        <v>45001</v>
      </c>
      <c r="C163" s="1" t="n">
        <v>45232</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45232</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45232</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45232</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45232</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45232</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45232</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45232</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45232</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45232</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45232</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45232</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45232</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45232</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45232</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45232</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45232</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45232</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45232</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45232</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45232</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45232</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45232</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45232</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45232</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45232</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45232</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45232</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45232</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45232</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45232</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45232</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45232</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45232</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45232</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45232</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45232</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45232</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45232</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45232</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45232</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45232</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45232</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45232</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45232</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45232</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45232</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45232</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45232</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45232</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45232</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45232</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45232</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45232</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45232</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45232</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45232</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45232</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45232</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45232</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45232</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45232</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45232</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45232</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45232</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45232</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45232</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45232</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45232</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45232</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45232</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45232</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45232</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45232</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45232</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45232</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45232</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45232</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45232</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45232</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45232</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45232</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45232</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45232</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45232</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45232</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45232</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45232</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45232</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45232</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45232</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45232</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45232</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45232</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45232</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45232</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45232</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45232</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45232</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45232</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45232</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45232</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45232</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45232</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45232</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45232</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45232</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45232</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45232</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45232</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45232</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45232</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45232</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45232</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45232</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45232</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45232</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45232</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45232</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45232</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45232</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45232</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45232</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45232</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45232</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45232</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45232</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45232</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45232</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45232</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45232</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45232</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45232</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45232</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45232</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45232</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45232</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45232</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45232</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45232</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45232</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45232</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45232</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45232</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45232</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45232</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45232</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45232</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45232</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45232</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45232</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45232</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45232</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45232</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45232</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45232</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45232</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45232</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45232</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45232</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45232</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45232</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45232</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45232</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45232</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45232</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45232</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45232</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45232</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45232</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45232</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45232</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45232</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45232</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45232</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45232</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45232</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45232</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45232</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45232</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45232</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45232</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45232</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45232</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45232</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45232</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45232</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45232</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45232</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45232</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45232</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45232</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45232</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45232</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45232</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45232</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45232</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45232</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45232</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45232</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45232</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45232</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45232</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45232</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45232</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45232</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45232</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45232</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45232</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45232</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45232</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45232</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45232</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45232</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45232</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45232</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45232</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45232</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45232</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45232</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45232</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45232</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45232</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45232</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45232</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45232</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45232</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45232</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45232</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45232</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45232</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45232</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45232</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45232</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45232</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45232</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45232</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45232</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45232</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45232</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45232</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45232</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45232</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45232</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45232</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45232</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45232</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45232</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45232</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45232</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45232</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45232</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45232</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45232</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45232</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45232</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45232</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45232</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45232</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45232</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45232</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45232</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45232</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45232</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45232</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45232</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45232</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45232</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45232</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45232</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45232</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45232</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45232</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45232</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45232</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45232</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45232</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45232</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45232</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45232</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45232</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45232</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45232</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45232</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45232</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45232</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45232</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45232</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45232</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45232</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45232</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45232</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45232</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45232</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45232</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45232</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45232</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45232</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45232</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45232</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45232</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45232</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45232</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45232</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45232</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45232</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45232</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45232</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45232</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45232</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45232</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45232</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45232</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45232</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45232</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45232</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45232</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45232</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45232</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45232</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45232</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45232</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45232</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45232</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45232</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45232</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45232</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45232</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45232</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45232</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45232</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45232</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45232</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45232</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45232</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45232</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45232</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45232</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45232</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45232</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45232</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45232</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45232</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45232</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45232</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45232</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45232</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45232</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45232</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45232</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45232</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45232</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45232</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45232</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45232</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45232</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45232</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45232</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45232</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45232</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45232</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45232</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45232</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45232</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45232</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45232</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45232</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45232</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45232</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45232</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45232</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45232</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45232</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45232</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45232</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45232</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45232</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45232</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45232</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45232</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45232</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45232</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45232</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45232</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45232</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45232</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45232</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45232</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45232</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45232</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45232</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45232</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45232</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45232</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45232</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45232</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45232</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45232</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45232</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45232</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45232</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45232</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45232</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45232</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45232</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45232</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45232</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45232</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45232</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45232</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45232</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45232</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45232</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45232</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45232</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45232</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45232</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45232</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45232</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45232</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45232</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45232</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45232</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45232</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45232</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45232</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45232</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45232</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45232</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45232</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45232</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45232</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45232</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45232</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45232</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45232</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45232</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45232</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45232</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45232</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45232</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45232</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45232</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45232</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45232</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45232</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45232</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45232</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45232</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45232</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45232</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45232</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45232</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45232</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45232</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45232</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45232</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45232</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45232</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45232</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45232</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45232</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45232</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45232</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45232</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45232</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45232</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45232</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45232</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45232</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45232</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45232</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45232</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45232</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45232</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45232</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45232</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45232</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45232</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45232</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45232</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45232</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45232</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45232</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45232</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45232</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45232</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45232</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45232</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45232</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45232</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45232</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45232</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45232</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45232</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45232</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45232</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45232</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45232</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45232</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45232</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45232</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45232</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45232</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45232</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45232</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45232</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45232</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45232</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45232</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45232</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45232</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45232</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45232</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45232</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45232</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45232</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45232</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45232</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45232</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45232</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45232</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45232</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45232</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45232</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45232</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45232</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45232</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45232</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45232</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45232</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45232</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45232</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45232</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45232</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45232</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45232</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45232</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45232</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45232</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45232</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45232</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45232</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45232</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45232</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45232</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45232</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45232</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45232</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45232</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45232</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45232</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45232</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45232</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45232</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45232</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45232</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45232</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45232</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45232</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45232</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45232</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45232</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45232</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45232</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45232</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45232</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45232</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45232</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45232</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45232</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45232</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45232</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45232</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45232</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45232</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45232</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45232</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45232</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45232</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45232</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45232</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45232</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45232</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45232</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45232</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45232</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45232</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45232</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45232</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45232</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45232</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45232</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45232</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45232</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45232</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45232</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45232</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45232</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45232</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45232</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45232</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45232</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45232</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45232</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45232</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45232</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45232</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45232</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45232</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45232</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45232</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45232</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45232</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45232</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45232</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45232</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45232</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45232</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45232</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45232</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45232</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45232</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45232</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45232</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45232</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45232</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45232</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45232</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45232</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45232</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45232</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45232</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45232</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45232</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45232</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45232</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45232</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45232</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45232</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45232</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45232</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45232</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45232</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45232</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45232</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45232</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45232</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45232</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45232</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45232</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45232</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45232</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45232</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45232</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45232</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45232</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45232</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45232</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45232</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45232</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45232</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45232</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45232</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45232</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45232</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45232</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45232</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45232</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45232</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45232</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45232</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45232</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45232</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45232</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45232</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45232</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45232</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45232</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45232</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45232</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45232</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45232</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45232</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45232</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45232</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45232</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45232</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45232</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45232</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45232</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45232</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45232</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45232</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45232</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45232</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45232</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45232</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45232</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45232</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45232</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45232</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45232</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45232</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45232</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45232</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45232</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45232</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45232</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45232</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45232</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45232</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45232</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45232</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45232</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45232</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45232</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45232</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45232</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45232</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45232</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45232</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45232</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45232</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45232</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45232</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45232</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45232</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45232</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45232</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45232</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45232</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45232</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45232</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45232</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45232</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45232</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45232</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45232</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45232</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45232</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45232</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45232</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45232</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45232</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45232</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45232</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45232</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45232</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45232</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45232</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45232</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45232</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45232</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45232</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45232</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45232</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45232</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45232</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45232</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45232</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45232</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45232</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45232</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45232</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45232</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45232</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45232</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45232</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45232</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45232</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45232</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45232</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45232</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45232</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45232</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45232</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45232</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45232</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45232</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45232</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45232</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45232</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45232</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45232</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45232</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45232</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45232</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45232</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45232</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45232</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45232</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45232</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45232</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45232</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45232</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45232</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45232</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45232</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45232</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45232</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45232</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45232</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45232</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45232</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45232</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45232</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45232</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45232</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45232</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45232</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45232</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45232</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45232</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45232</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45232</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45232</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45232</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45232</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45232</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45232</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45232</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45232</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45232</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45232</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45232</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45232</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45232</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45232</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45232</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45232</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45232</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45232</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45232</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45232</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45232</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45232</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45232</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45232</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45232</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45232</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45232</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45232</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45232</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45232</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45232</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45232</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45232</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45232</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45232</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45232</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45232</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45232</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45232</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45232</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45232</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45232</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45232</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45232</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45232</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45232</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45232</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45232</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45232</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45232</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45232</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45232</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45232</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45232</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45232</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45232</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45232</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45232</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45232</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45232</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45232</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45232</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45232</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45232</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45232</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45232</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45232</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45232</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45232</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45232</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45232</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45232</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45232</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45232</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45232</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45232</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45232</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45232</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45232</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45232</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45232</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45232</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45232</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45232</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45232</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45232</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45232</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45232</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45232</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45232</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45232</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45232</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45232</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45232</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45232</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45232</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45232</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45232</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45232</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45232</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45232</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45232</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45232</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45232</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45232</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45232</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45232</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45232</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45232</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45232</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45232</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45232</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45232</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45232</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45232</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45232</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45232</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45232</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45232</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45232</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45232</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45232</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45232</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45232</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45232</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45232</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45232</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45232</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45232</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45232</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45232</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45232</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45232</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45232</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45232</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45232</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45232</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45232</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45232</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45232</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45232</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45232</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45232</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45232</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45232</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45232</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45232</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45232</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45232</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45232</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45232</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45232</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45232</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45232</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45232</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45232</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45232</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45232</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45232</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45232</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45232</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45232</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45232</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45232</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45232</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45232</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45232</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45232</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45232</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45232</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45232</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45232</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45232</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45232</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45232</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45232</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45232</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45232</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45232</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45232</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45232</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45232</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45232</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45232</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45232</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45232</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45232</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45232</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45232</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45232</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45232</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45232</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45232</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45232</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45232</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45232</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45232</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45232</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45232</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45232</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45232</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45232</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45232</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45232</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45232</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45232</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45232</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45232</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45232</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45232</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45232</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45232</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45232</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45232</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45232</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45232</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45232</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45232</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45232</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45232</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45232</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45232</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45232</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45232</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45232</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45232</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45232</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45232</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45232</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45232</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45232</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45232</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45232</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45232</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45232</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45232</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45232</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45232</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45232</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45232</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45232</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45232</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45232</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45232</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45232</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45232</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45232</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45232</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45232</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45232</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45232</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45232</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45232</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45232</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45232</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45232</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45232</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45232</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45232</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45232</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45232</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45232</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45232</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45232</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45232</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45232</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45232</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45232</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45232</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45232</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45232</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45232</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45232</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45232</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45232</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45232</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45232</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45232</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45232</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45232</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45232</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45232</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45232</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45232</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45232</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45232</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45232</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45232</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45232</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45232</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45232</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45232</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45232</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45232</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45232</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45232</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45232</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45232</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45232</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45232</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45232</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45232</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45232</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45232</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45232</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45232</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45232</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45232</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45232</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45232</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45232</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45232</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45232</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45232</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45232</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45232</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45232</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45232</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45232</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45232</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45232</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45232</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45232</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45232</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45232</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45232</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45232</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45232</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45232</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45232</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45232</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45232</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45232</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45232</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45232</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45232</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45232</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45232</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45232</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45232</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45232</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45232</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45232</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45232</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45232</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45232</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45232</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45232</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45232</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45232</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45232</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45232</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45232</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45232</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45232</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45232</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45232</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45232</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45232</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45232</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45232</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45232</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45232</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45232</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45232</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45232</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45232</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45232</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45232</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45232</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45232</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45232</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45232</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45232</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45232</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45232</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45232</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45232</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45232</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45232</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45232</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45232</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45232</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45232</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45232</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45232</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45232</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45232</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45232</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45232</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45232</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45232</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45232</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45232</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45232</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45232</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45232</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45232</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45232</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45232</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45232</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45232</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45232</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45232</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45232</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45232</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45232</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45232</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45232</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45232</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45232</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45232</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45232</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45232</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45232</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45232</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45232</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45232</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45232</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45232</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45232</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45232</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45232</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45232</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45232</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45232</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45232</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45232</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45232</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45232</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45232</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45232</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45232</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45232</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45232</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45232</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45232</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45232</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45232</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45232</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45232</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45232</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45232</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45232</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45232</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45232</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45232</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45232</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45232</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45232</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45232</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45232</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45232</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45232</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45232</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45232</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45232</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45232</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45232</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45232</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45232</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45232</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45232</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45232</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45232</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45232</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45232</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45232</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45232</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45232</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45232</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45232</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45232</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45232</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45232</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45232</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45232</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45232</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45232</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45232</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45232</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45232</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45232</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45232</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45232</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45232</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45232</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45232</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45232</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45232</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45232</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45232</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45232</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45232</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45232</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45232</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45232</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45232</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45232</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45232</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45232</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45232</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45232</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45232</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45232</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45232</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45232</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45232</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45232</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45232</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45232</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45232</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45232</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45232</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45232</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45232</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45232</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45232</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45232</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45232</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45232</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45232</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45232</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45232</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45232</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45232</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45232</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45232</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45232</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45232</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45232</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45232</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45232</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45232</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45232</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45232</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45232</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45232</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45232</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45232</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45232</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45232</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45232</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45232</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45232</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45232</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45232</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45232</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45232</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45232</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45232</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45232</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45232</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45232</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45232</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45232</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45232</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45232</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45232</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45232</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45232</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45232</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45232</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45232</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45232</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45232</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45232</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45232</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45232</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45232</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45232</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45232</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45232</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45232</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45232</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45232</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45232</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45232</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45232</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45232</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45232</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45232</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45232</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45232</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45232</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45232</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45232</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45232</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45232</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45232</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45232</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45232</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45232</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45232</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45232</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45232</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45232</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45232</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45232</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45232</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45232</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45232</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45232</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45232</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45232</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45232</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45232</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45232</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45232</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45232</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45232</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45232</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45232</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45232</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45232</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45232</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45232</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45232</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45232</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45232</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45232</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45232</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45232</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45232</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45232</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45232</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45232</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45232</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45232</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45232</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45232</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45232</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45232</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45232</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45232</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45232</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45232</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45232</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45232</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45232</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45232</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45232</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45232</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45232</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45232</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45232</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45232</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45232</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45232</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45232</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45232</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45232</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45232</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45232</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45232</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45232</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45232</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45232</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45232</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45232</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45232</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45232</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45232</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45232</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45232</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45232</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45232</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45232</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45232</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45232</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45232</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45232</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45232</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45232</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45232</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45232</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45232</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45232</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45232</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45232</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45232</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45232</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45232</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45232</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45232</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45232</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45232</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45232</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45232</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45232</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45232</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45232</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45232</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45232</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45232</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45232</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45232</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45232</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45232</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45232</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45232</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45232</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45232</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45232</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45232</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45232</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45232</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45232</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45232</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45232</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45232</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45232</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45232</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45232</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45232</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45232</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45232</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45232</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45232</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45232</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45232</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45232</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45232</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45232</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45232</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45232</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45232</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45232</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45232</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45232</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45232</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45232</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45232</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45232</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45232</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45232</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45232</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45232</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45232</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45232</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45232</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45232</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45232</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45232</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45232</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45232</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45232</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45232</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45232</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45232</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45232</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45232</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45232</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45232</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45232</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45232</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45232</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45232</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45232</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45232</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45232</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45232</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45232</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45232</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45232</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45232</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45232</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45232</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45232</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45232</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45232</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45232</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45232</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45232</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45232</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45232</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45232</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45232</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45232</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45232</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45232</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45232</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45232</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45232</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45232</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45232</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45232</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45232</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45232</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45232</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45232</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45232</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45232</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45232</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45232</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45232</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45232</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45232</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45232</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45232</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45232</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45232</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45232</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45232</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45232</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45232</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45232</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45232</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45232</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45232</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45232</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45232</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45232</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45232</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45232</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45232</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45232</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45232</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45232</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45232</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45232</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45232</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45232</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45232</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45232</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45232</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45232</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45232</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45232</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45232</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45232</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45232</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45232</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45232</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45232</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45232</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45232</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45232</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45232</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45232</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45232</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45232</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45232</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45232</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45232</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45232</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45232</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45232</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45232</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45232</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45232</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45232</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45232</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45232</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45232</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45232</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45232</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45232</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45232</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45232</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45232</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45232</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45232</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45232</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45232</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45232</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45232</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45232</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45232</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45232</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45232</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45232</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45232</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45232</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45232</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45232</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45232</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45232</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45232</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45232</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45232</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45232</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45232</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45232</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45232</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45232</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45232</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45232</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45232</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45232</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45232</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45232</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45232</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45232</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45232</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45232</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45232</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45232</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45232</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45232</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45232</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45232</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45232</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45232</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45232</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45232</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45232</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45232</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45232</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45232</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45232</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45232</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45232</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45232</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45232</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45232</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45232</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45232</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45232</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45232</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45232</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45232</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45232</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45232</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45232</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45232</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45232</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45232</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45232</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45232</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45232</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45232</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45232</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45232</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45232</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45232</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45232</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45232</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45232</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45232</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45232</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45232</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45232</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45232</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45232</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45232</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45232</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45232</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45232</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45232</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45232</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45232</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45232</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45232</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45232</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45232</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45232</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45232</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45232</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45232</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45232</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45232</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45232</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45232</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45232</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45232</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45232</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45232</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45232</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45232</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45232</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45232</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45232</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45232</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45232</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45232</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45232</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45232</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45232</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45232</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45232</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45232</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45232</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45232</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45232</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45232</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45232</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45232</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45232</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45232</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45232</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45232</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45232</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45232</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45232</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45232</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45232</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45232</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45232</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45232</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45232</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45232</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45232</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45232</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45232</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45232</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45232</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45232</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45232</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45232</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45232</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45232</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45232</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45232</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45232</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45232</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45232</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45232</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45232</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45232</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45232</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45232</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45232</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45232</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45232</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45232</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45232</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45232</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45232</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45232</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45232</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45232</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45232</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45232</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45232</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45232</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45232</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45232</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45232</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45232</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45232</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45232</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45232</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45232</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45232</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45232</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45232</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45232</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45232</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45232</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45232</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45232</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45232</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45232</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45232</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45232</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45232</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45232</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45232</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45232</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45232</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45232</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45232</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45232</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45232</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45232</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45232</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45232</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45232</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45232</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45232</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45232</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45232</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45232</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45232</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45232</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45232</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45232</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45232</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45232</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45232</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45232</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45232</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45232</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45232</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45232</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45232</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45232</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45232</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45232</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45232</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45232</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45232</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45232</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45232</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45232</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45232</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45232</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45232</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45232</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45232</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45232</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45232</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45232</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45232</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45232</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45232</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45232</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45232</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45232</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45232</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45232</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45232</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45232</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45232</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45232</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45232</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45232</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45232</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45232</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45232</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45232</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45232</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45232</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45232</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45232</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45232</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45232</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45232</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45232</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45232</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45232</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45232</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45232</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45232</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45232</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45232</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45232</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45232</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45232</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45232</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45232</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45232</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45232</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45232</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45232</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45232</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45232</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45232</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45232</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45232</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45232</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45232</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45232</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45232</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45232</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45232</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45232</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45232</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45232</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45232</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45232</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45232</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45232</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45232</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45232</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45232</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45232</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45232</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45232</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45232</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45232</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45232</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45232</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45232</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45232</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45232</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45232</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45232</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45232</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45232</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45232</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45232</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45232</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45232</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45232</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45232</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45232</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45232</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45232</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45232</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45232</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45232</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45232</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45232</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45232</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45232</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45232</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45232</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45232</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45232</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45232</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45232</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45232</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45232</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45232</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45232</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45232</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45232</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45232</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45232</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45232</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45232</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45232</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45232</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45232</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45232</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45232</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45232</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45232</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45232</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45232</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45232</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45232</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45232</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45232</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45232</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45232</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45232</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45232</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45232</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45232</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45232</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45232</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45232</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45232</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45232</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45232</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45232</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45232</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45232</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45232</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45232</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45232</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45232</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45232</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45232</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45232</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45232</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45232</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45232</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45232</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45232</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45232</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45232</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45232</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45232</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45232</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45232</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45232</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45232</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45232</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45232</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45232</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45232</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45232</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45232</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45232</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45232</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45232</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45232</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45232</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45232</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45232</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45232</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45232</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45232</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45232</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45232</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45232</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45232</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45232</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45232</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45232</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45232</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45232</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45232</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45232</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45232</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45232</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45232</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45232</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45232</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45232</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45232</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45232</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45232</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45232</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45232</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45232</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45232</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45232</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45232</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45232</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45232</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45232</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45232</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45232</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45232</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45232</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45232</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45232</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45232</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45232</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45232</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45232</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45232</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45232</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45232</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45232</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45232</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45232</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45232</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45232</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45232</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45232</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45232</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45232</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45232</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45232</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45232</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45232</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45232</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45232</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45232</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45232</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45232</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45232</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45232</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45232</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45232</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45232</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45232</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45232</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45232</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45232</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45232</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45232</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45232</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45232</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45232</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45232</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45232</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45232</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45232</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45232</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45232</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45232</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45232</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45232</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45232</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45232</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45232</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45232</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45232</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45232</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45232</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45232</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45232</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45232</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45232</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45232</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45232</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45232</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45232</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45232</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45232</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45232</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45232</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45232</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45232</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45232</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45232</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45232</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45232</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45232</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45232</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45232</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45232</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45232</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45232</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45232</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45232</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45232</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45232</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45232</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45232</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45232</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45232</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45232</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45232</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45232</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45232</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45232</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45232</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45232</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45232</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45232</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45232</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45232</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45232</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45232</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45232</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45232</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45232</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45232</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45232</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45232</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45232</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45232</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45232</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45232</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45232</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45232</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45232</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45232</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45232</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45232</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45232</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45232</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45232</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45232</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45232</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45232</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45232</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45232</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45232</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45232</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45232</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45232</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45232</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45232</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45232</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45232</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45232</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45232</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45232</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45232</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45232</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45232</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45232</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45232</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45232</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45232</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45232</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45232</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45232</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45232</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45232</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45232</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45232</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45232</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45232</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45232</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45232</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45232</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45232</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45232</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45232</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45232</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45232</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45232</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45232</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45232</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45232</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45232</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45232</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45232</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45232</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45232</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45232</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45232</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45232</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45232</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45232</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45232</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45232</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45232</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45232</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45232</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45232</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45232</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45232</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45232</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45232</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45232</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45232</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45232</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45232</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45232</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45232</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45232</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45232</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45232</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45232</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45232</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45232</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45232</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45232</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45232</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45232</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45232</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45232</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45232</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45232</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45232</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45232</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45232</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45232</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45232</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45232</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45232</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45232</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45232</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45232</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45232</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45232</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45232</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45232</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45232</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45232</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45232</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45232</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45232</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45232</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45232</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45232</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45232</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45232</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45232</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45232</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45232</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45232</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45232</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45232</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45232</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45232</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45232</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45232</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45232</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45232</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45232</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45232</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45232</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45232</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45232</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45232</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45232</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45232</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45232</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45232</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45232</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45232</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45232</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45232</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45232</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45232</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45232</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45232</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45232</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45232</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45232</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45232</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45232</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45232</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45232</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45232</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45232</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45232</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45232</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45232</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45232</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45232</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45232</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45232</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45232</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45232</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45232</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45232</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45232</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45232</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45232</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45232</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45232</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45232</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45232</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45232</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45232</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45232</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45232</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45232</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45232</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45232</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45232</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45232</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45232</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45232</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45232</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45232</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45232</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45232</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45232</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45232</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45232</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45232</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45232</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45232</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45232</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45232</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45232</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45232</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45232</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45232</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45232</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45232</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45232</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45232</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45232</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45232</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45232</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45232</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45232</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45232</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45232</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45232</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45232</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45232</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45232</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45232</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45232</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45232</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45232</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45232</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45232</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45232</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45232</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45232</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45232</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45232</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45232</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45232</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45232</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45232</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45232</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45232</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45232</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45232</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45232</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45232</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45232</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45232</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45232</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45232</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45232</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45232</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45232</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45232</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45232</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45232</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45232</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45232</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45232</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45232</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45232</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45232</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45232</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45232</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45232</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45232</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45232</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45232</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45232</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45232</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45232</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45232</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45232</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45232</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45232</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45232</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45232</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45232</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45232</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45232</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45232</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45232</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45232</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45232</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45232</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45232</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45232</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45232</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45232</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45232</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45232</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45232</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45232</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45232</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45232</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45232</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45232</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45232</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45232</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45232</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45232</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45232</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45232</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45232</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45232</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45232</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45232</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45232</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45232</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45232</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45232</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45232</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45232</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45232</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45232</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45232</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45232</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45232</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45232</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45232</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45232</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45232</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45232</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45232</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45232</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45232</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45232</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45232</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45232</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45232</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45232</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45232</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45232</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45232</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45232</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45232</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45232</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45232</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45232</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45232</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45232</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45232</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45232</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45232</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45232</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45232</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45232</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45232</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45232</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45232</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45232</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45232</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45232</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45232</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45232</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45232</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45232</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45232</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45232</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45232</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45232</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45232</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45232</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45232</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45232</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45232</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45232</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45232</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45232</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45232</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45232</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45232</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45232</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45232</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45232</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45232</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45232</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45232</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45232</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45232</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45232</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45232</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45232</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45232</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45232</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45232</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45232</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45232</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45232</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45232</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45232</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45232</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45232</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45232</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45232</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45232</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45232</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45232</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45232</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45232</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45232</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45232</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45232</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45232</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45232</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45232</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45232</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45232</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45232</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45232</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45232</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45232</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45232</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45232</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45232</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45232</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45232</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45232</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45232</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45232</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45232</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45232</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45232</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45232</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45232</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45232</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45232</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45232</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45232</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45232</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45232</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45232</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45232</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45232</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45232</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45232</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45232</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45232</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45232</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45232</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45232</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45232</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45232</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45232</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45232</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45232</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45232</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45232</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45232</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45232</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45232</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45232</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45232</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45232</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45232</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45232</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45232</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45232</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45232</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45232</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45232</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45232</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45232</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45232</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45232</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45232</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45232</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45232</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45232</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45232</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45232</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45232</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45232</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45232</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45232</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45232</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45232</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45232</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45232</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45232</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45232</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45232</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45232</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45232</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45232</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45232</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45232</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45232</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45232</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45232</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45232</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45232</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45232</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45232</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45232</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45232</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45232</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45232</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45232</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45232</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45232</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45232</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45232</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45232</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45232</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45232</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45232</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45232</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45232</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45232</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45232</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45232</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45232</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45232</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45232</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45232</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45232</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45232</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45232</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45232</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45232</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45232</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45232</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45232</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45232</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45232</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45232</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45232</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45232</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45232</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45232</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45232</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45232</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45232</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45232</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45232</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45232</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45232</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45232</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45232</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45232</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45232</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45232</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45232</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45232</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45232</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45232</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45232</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45232</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45232</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45232</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45232</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45232</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45232</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45232</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45232</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45232</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45232</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45232</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45232</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45232</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45232</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45232</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45232</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45232</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45232</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45232</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45232</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45232</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45232</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45232</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45232</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45232</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45232</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45232</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45232</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45232</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45232</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45232</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45232</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45232</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45232</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45232</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45232</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45232</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45232</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45232</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45232</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45232</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45232</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45232</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45232</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45232</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45232</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45232</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45232</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45232</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45232</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45232</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45232</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45232</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45232</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45232</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45232</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45232</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45232</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45232</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45232</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45232</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45232</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45232</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45232</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45232</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45232</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45232</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45232</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45232</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45232</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45232</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45232</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45232</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45232</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45232</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45232</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45232</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45232</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45232</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45232</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45232</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45232</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45232</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45232</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45232</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45232</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45232</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45232</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45232</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45232</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45232</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45232</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45232</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45232</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45232</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45232</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45232</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45232</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45232</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45232</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45232</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45232</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45232</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45232</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45232</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45232</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45232</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45232</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45232</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45232</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45232</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45232</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45232</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45232</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45232</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45232</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45232</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45232</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45232</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45232</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45232</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45232</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45232</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45232</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45232</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45232</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45232</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45232</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45232</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45232</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45232</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45232</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45232</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45232</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45232</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45232</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45232</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45232</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45232</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45232</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45232</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45232</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45232</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45232</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45232</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45232</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45232</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45232</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45232</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45232</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45232</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45232</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45232</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45232</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45232</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45232</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45232</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45232</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45232</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45232</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45232</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45232</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45232</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45232</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45232</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45232</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45232</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45232</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45232</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45232</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45232</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45232</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45232</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45232</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45232</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45232</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45232</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45232</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45232</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45232</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45232</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45232</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45232</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45232</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45232</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45232</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45232</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45232</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45232</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45232</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45232</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45232</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45232</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45232</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45232</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45232</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45232</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45232</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45232</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45232</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45232</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45232</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45232</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45232</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45232</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45232</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45232</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45232</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45232</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45232</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45232</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45232</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45232</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45232</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45232</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45232</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45232</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45232</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45232</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45232</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45232</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45232</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45232</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45232</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45232</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45232</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45232</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45232</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45232</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45232</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45232</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45232</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45232</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45232</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45232</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45232</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45232</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45232</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45232</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45232</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45232</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45232</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45232</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45232</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45232</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45232</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45232</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45232</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45232</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45232</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45232</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45232</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45232</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45232</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45232</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45232</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45232</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45232</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45232</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45232</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45232</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45232</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45232</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45232</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45232</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45232</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45232</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45232</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45232</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45232</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45232</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45232</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45232</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45232</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45232</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45232</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45232</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45232</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45232</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45232</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45232</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45232</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45232</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45232</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45232</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45232</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45232</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45232</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45232</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45232</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45232</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45232</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45232</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45232</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45232</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45232</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45232</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45232</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45232</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45232</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45232</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45232</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45232</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45232</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45232</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45232</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45232</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45232</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45232</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45232</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45232</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45232</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45232</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45232</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45232</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45232</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45232</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45232</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45232</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45232</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45232</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45232</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45232</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45232</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45232</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45232</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45232</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45232</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45232</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45232</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45232</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45232</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45232</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45232</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45232</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45232</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45232</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45232</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45232</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45232</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45232</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45232</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45232</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45232</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45232</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45232</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45232</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45232</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45232</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45232</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45232</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45232</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45232</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45232</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45232</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45232</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45232</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45232</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45232</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45232</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45232</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45232</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45232</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45232</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45232</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45232</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45232</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45232</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45232</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45232</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45232</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45232</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45232</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45232</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45232</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45232</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45232</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45232</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45232</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45232</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45232</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45232</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45232</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45232</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45232</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45232</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45232</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45232</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45232</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45232</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45232</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45232</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45232</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45232</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45232</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45232</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45232</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45232</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45232</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45232</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45232</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45232</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45232</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45232</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45232</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45232</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45232</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45232</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45232</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45232</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45232</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45232</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45232</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45232</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45232</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45232</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45232</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45232</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45232</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45232</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45232</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45232</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45232</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45232</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45232</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45232</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45232</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45232</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45232</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45232</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45232</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45232</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45232</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45232</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45232</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45232</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45232</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45232</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45232</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45232</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45232</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45232</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45232</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45232</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45232</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45232</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45232</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45232</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45232</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45232</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45232</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45232</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45232</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45232</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45232</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45232</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45232</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45232</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45232</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45232</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45232</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45232</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45232</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45232</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45232</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45232</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45232</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45232</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45232</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45232</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45232</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45232</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45232</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45232</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45232</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45232</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45232</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45232</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45232</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45232</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45232</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45232</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45232</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45232</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45232</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45232</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45232</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45232</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45232</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45232</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45232</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45232</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45232</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45232</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45232</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45232</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45232</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45232</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45232</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45232</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45232</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45232</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45232</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45232</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45232</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45232</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45232</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45232</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45232</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45232</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45232</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45232</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45232</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45232</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45232</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45232</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45232</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45232</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45232</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45232</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45232</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45232</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45232</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45232</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45232</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45232</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45232</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45232</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45232</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45232</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45232</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45232</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45232</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45232</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45232</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45232</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45232</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45232</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45232</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45232</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45232</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45232</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45232</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45232</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45232</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45232</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45232</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45232</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45232</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45232</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45232</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45232</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45232</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45232</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45232</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45232</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45232</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45232</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45232</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45232</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45232</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45232</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45232</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45232</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45232</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45232</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45232</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45232</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45232</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45232</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45232</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45232</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45232</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45232</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45232</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45232</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45232</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45232</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45232</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45232</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45232</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45232</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45232</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45232</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45232</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45232</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45232</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45232</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45232</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45232</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45232</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45232</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45232</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45232</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45232</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45232</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45232</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45232</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45232</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45232</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45232</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45232</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45232</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45232</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45232</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45232</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45232</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45232</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45232</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45232</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45232</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45232</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45232</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45232</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45232</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45232</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45232</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45232</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45232</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45232</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45232</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45232</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45232</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45232</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45232</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45232</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45232</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45232</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45232</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45232</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45232</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45232</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45232</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45232</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45232</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45232</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45232</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45232</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45232</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45232</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45232</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45232</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45232</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45232</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45232</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45232</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45232</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45232</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45232</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45232</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45232</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45232</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45232</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45232</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45232</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45232</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45232</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45232</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45232</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45232</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45232</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45232</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45232</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45232</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45232</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45232</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45232</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45232</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45232</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45232</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45232</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45232</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45232</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45232</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45232</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45232</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45232</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45232</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45232</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45232</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45232</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45232</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45232</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45232</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45232</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45232</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45232</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45232</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45232</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45232</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45232</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45232</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45232</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45232</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45232</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45232</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45232</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45232</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45232</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45232</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45232</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45232</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45232</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45232</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45232</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45232</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45232</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45232</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45232</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45232</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45232</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45232</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45232</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45232</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45232</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45232</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45232</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45232</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45232</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45232</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45232</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45232</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45232</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45232</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45232</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45232</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45232</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45232</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45232</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45232</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45232</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45232</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45232</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45232</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45232</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45232</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45232</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45232</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45232</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45232</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45232</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45232</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45232</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45232</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45232</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45232</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45232</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45232</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45232</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45232</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45232</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45232</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45232</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45232</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45232</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45232</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45232</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45232</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45232</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45232</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45232</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45232</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45232</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45232</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45232</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45232</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45232</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45232</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45232</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45232</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45232</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45232</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45232</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45232</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45232</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45232</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45232</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45232</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45232</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45232</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45232</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45232</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45232</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45232</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45232</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45232</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45232</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45232</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45232</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45232</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45232</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45232</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45232</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45232</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45232</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45232</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45232</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45232</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45232</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45232</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45232</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45232</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45232</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45232</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45232</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45232</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45232</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45232</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45232</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45232</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45232</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45232</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45232</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45232</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45232</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45232</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45232</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45232</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45232</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45232</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45232</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45232</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45232</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45232</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45232</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45232</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45232</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45232</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45232</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45232</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45232</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45232</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45232</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45232</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45232</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45232</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45232</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45232</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45232</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45232</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45232</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45232</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45232</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45232</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45232</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45232</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45232</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45232</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45232</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45232</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45232</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45232</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45232</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45232</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45232</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45232</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45232</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45232</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45232</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45232</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45232</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45232</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45232</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45232</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45232</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45232</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45232</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45232</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45232</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45232</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45232</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45232</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45232</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45232</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45232</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45232</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45232</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45232</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45232</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45232</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45232</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45232</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45232</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45232</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45232</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45232</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45232</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45232</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45232</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45232</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45232</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45232</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45232</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45232</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45232</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45232</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45232</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45232</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45232</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45232</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45232</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45232</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45232</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45232</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45232</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45232</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45232</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45232</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45232</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45232</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45232</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45232</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45232</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45232</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45232</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45232</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45232</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45232</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45232</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45232</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45232</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45232</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45232</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45232</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45232</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45232</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45232</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45232</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45232</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45232</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45232</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45232</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45232</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45232</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45232</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45232</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45232</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45232</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45232</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45232</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45232</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45232</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45232</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45232</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45232</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45232</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45232</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45232</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45232</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45232</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45232</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45232</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45232</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45232</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45232</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45232</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45232</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45232</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45232</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45232</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45232</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45232</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45232</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45232</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45232</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45232</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45232</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45232</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45232</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45232</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45232</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45232</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45232</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45232</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45232</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45232</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45232</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45232</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45232</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45232</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45232</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45232</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45232</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45232</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45232</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45232</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45232</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45232</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45232</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45232</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45232</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45232</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45232</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45232</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45232</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45232</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45232</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45232</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45232</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45232</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45232</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45232</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45232</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45232</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45232</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45232</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45232</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45232</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45232</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45232</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45232</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45232</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45232</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45232</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45232</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45232</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45232</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45232</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45232</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45232</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45232</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45232</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45232</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45232</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45232</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45232</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45232</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45232</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45232</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45232</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45232</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45232</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45232</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45232</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45232</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45232</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45232</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45232</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45232</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45232</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45232</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45232</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45232</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45232</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45232</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45232</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45232</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45232</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45232</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45232</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45232</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45232</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45232</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45232</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45232</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45232</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45232</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45232</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45232</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45232</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45232</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45232</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45232</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45232</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45232</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45232</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45232</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45232</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45232</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45232</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45232</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45232</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45232</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45232</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45232</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45232</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45232</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45232</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45232</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45232</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45232</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45232</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45232</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45232</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45232</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45232</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45232</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45232</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45232</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45232</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45232</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45232</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45232</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45232</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45232</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45232</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45232</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45232</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45232</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45232</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45232</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45232</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45232</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45232</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45232</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45232</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45232</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45232</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45232</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45232</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45232</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45232</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45232</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45232</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45232</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45232</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45232</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45232</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45232</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45232</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45232</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45232</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45232</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45232</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45232</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45232</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45232</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45232</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45232</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45232</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45232</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45232</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45232</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45232</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45232</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45232</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45232</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45232</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45232</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45232</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45232</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45232</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45232</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45232</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45232</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45232</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45232</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45232</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45232</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45232</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45232</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45232</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45232</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45232</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45232</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45232</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45232</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45232</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45232</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45232</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45232</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45232</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45232</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45232</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45232</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45232</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45232</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45232</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45232</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45232</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45232</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45232</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45232</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45232</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45232</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45232</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45232</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45232</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45232</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45232</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45232</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45232</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45232</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45232</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45232</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45232</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45232</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45232</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45232</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45232</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45232</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45232</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45232</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45232</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45232</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45232</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45232</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45232</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45232</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45232</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45232</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45232</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45232</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45232</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45232</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45232</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45232</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45232</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45232</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45232</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45232</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45232</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45232</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45232</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45232</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45232</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45232</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45232</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45232</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45232</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45232</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45232</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45232</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45232</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45232</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45232</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45232</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45232</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45232</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45232</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45232</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45232</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45232</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45232</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45232</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45232</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45232</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45232</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45232</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45232</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45232</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45232</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45232</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45232</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45232</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45232</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45232</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45232</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45232</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45232</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45232</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45232</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45232</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45232</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45232</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45232</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45232</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45232</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45232</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45232</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45232</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45232</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45232</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45232</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45232</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45232</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45232</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45232</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45232</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45232</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45232</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45232</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45232</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45232</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45232</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45232</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45232</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45232</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45232</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45232</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45232</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45232</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45232</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45232</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45232</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45232</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45232</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45232</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45232</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45232</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45232</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45232</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45232</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45232</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45232</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45232</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45232</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45232</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45232</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45232</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45232</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45232</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45232</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45232</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45232</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45232</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45232</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45232</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45232</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45232</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45232</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45232</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45232</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45232</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45232</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45232</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45232</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45232</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45232</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45232</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45232</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45232</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45232</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45232</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45232</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45232</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45232</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45232</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45232</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45232</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45232</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45232</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45232</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45232</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45232</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45232</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45232</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45232</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45232</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45232</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45232</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45232</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45232</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45232</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45232</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45232</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45232</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45232</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45232</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45232</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45232</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45232</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45232</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45232</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45232</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45232</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45232</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45232</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45232</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45232</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45232</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45232</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45232</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45232</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45232</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45232</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45232</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45232</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45232</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45232</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45232</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45232</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45232</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45232</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45232</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45232</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45232</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45232</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45232</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45232</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45232</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45232</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45232</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45232</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45232</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45232</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45232</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45232</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45232</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45232</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45232</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45232</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45232</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45232</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45232</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45232</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45232</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45232</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45232</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45232</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45232</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45232</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45232</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45232</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45232</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45232</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45232</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45232</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45232</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45232</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45232</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45232</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45232</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45232</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45232</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45232</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45232</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45232</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45232</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45232</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45232</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45232</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45232</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45232</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45232</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45232</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45232</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45232</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45232</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45232</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45232</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45232</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45232</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45232</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45232</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45232</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45232</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45232</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45232</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45232</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45232</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45232</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45232</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45232</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45232</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45232</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45232</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45232</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45232</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45232</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45232</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45232</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45232</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45232</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45232</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45232</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45232</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45232</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45232</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45232</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45232</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45232</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45232</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45232</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45232</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45232</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45232</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45232</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45232</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45232</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45232</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45232</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45232</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45232</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45232</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45232</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45232</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45232</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45232</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45232</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45232</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45232</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45232</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45232</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45232</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45232</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45232</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45232</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45232</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45232</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45232</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45232</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45232</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45232</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45232</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45232</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45232</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45232</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45232</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45232</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45232</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45232</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45232</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45232</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45232</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45232</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45232</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45232</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45232</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45232</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45232</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45232</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45232</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45232</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45232</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45232</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45232</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45232</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45232</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45232</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45232</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45232</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45232</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45232</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45232</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45232</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45232</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45232</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45232</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45232</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45232</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45232</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45232</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45232</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45232</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45232</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45232</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45232</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45232</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45232</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45232</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45232</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45232</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45232</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45232</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45232</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45232</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45232</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45232</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45232</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45232</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45232</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45232</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45232</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45232</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45232</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45232</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45232</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45232</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45232</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45232</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45232</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45232</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45232</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45232</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45232</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45232</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45232</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45232</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45232</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45232</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45232</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45232</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45232</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45232</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45232</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45232</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45232</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45232</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45232</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45232</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45232</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45232</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45232</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45232</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45232</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45232</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45232</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45232</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45232</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45232</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45232</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45232</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45232</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45232</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45232</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45232</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45232</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45232</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45232</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45232</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45232</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45232</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45232</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45232</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45232</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45232</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45232</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45232</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45232</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45232</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45232</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45232</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45232</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45232</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45232</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45232</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45232</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45232</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45232</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45232</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45232</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45232</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45232</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45232</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45232</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45232</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45232</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45232</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45232</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45232</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45232</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45232</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45232</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45232</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45232</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45232</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45232</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45232</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45232</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45232</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45232</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45232</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45232</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45232</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45232</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45232</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45232</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45232</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45232</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45232</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45232</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45232</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45232</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45232</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45232</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45232</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45232</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45232</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45232</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45232</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45232</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45232</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45232</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45232</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45232</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45232</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45232</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45232</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45232</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45232</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45232</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45232</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45232</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45232</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45232</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45232</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45232</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45232</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45232</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45232</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45232</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45232</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45232</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45232</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45232</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45232</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45232</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45232</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45232</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45232</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45232</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45232</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45232</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45232</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45232</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45232</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45232</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45232</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45232</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45232</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45232</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45232</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45232</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45232</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45232</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45232</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45232</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45232</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45232</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45232</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45232</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45232</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45232</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45232</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45232</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45232</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45232</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45232</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45232</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45232</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45232</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45232</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45232</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45232</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45232</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45232</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45232</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45232</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45232</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45232</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45232</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45232</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45232</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45232</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45232</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45232</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45232</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45232</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45232</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45232</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45232</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45232</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45232</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45232</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45232</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45232</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45232</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45232</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45232</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45232</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45232</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45232</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45232</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45232</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45232</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45232</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45232</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45232</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45232</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45232</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45232</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45232</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45232</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45232</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45232</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45232</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45232</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45232</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45232</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45232</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45232</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45232</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45232</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45232</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45232</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45232</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45232</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45232</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45232</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45232</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45232</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45232</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45232</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45232</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45232</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45232</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45232</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45232</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45232</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45232</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45232</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45232</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45232</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45232</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45232</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45232</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45232</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45232</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45232</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45232</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45232</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45232</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45232</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45232</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45232</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45232</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45232</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45232</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45232</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45232</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45232</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45232</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45232</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45232</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45232</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45232</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45232</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45232</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45232</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45232</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45232</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45232</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45232</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45232</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45232</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45232</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45232</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45232</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45232</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45232</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45232</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45232</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45232</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45232</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45232</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45232</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45232</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45232</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45232</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45232</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45232</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45232</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45232</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45232</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45232</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45232</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45232</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45232</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45232</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45232</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45232</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45232</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45232</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45232</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45232</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45232</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45232</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45232</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45232</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45232</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45232</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45232</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45232</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45232</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45232</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45232</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45232</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45232</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45232</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45232</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45232</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45232</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45232</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45232</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45232</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45232</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45232</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45232</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45232</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45232</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45232</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45232</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45232</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45232</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45232</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45232</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45232</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45232</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45232</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45232</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45232</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45232</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45232</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45232</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45232</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45232</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45232</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45232</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45232</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45232</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45232</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45232</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45232</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45232</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45232</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45232</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45232</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45232</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45232</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45232</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45232</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45232</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45232</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45232</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45232</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45232</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45232</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45232</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45232</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45232</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45232</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45232</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45232</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45232</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45232</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45232</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45232</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45232</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45232</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45232</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45232</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45232</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45232</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45232</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45232</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45232</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45232</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45232</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45232</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45232</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45232</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45232</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45232</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45232</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45232</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45232</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45232</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45232</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45232</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45232</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45232</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45232</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45232</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45232</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45232</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45232</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45232</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45232</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45232</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45232</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45232</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45232</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45232</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45232</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45232</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45232</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45232</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45232</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45232</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45232</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45232</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45232</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45232</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45232</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45232</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45232</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45232</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45232</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45232</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45232</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45232</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45232</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45232</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45232</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45232</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45232</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45232</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45232</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45232</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45232</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45232</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45232</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45232</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45232</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45232</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45232</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45232</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45232</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45232</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45232</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45232</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45232</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45232</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45232</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45232</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45232</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45232</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45232</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45232</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45232</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45232</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45232</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45232</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45232</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45232</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45232</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45232</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45232</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45232</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45232</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45232</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45232</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45232</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45232</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45232</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45232</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45232</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45232</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45232</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45232</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45232</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45232</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45232</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45232</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45232</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45232</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45232</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45232</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45232</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45232</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45232</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45232</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45232</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45232</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45232</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45232</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45232</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45232</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45232</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45232</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45232</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45232</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45232</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45232</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45232</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45232</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45232</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45232</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45232</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45232</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45232</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45232</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45232</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45232</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45232</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45232</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45232</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45232</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45232</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45232</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45232</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45232</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45232</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45232</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45232</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45232</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45232</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45232</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45232</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45232</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45232</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45232</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45232</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45232</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45232</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45232</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45232</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45232</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45232</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45232</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45232</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45232</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45232</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45232</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45232</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45232</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45232</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45232</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45232</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45232</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45232</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45232</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45232</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45232</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45232</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45232</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45232</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45232</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45232</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45232</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45232</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45232</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45232</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45232</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45232</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45232</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45232</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45232</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45232</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45232</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45232</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45232</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45232</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45232</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45232</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45232</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45232</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45232</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45232</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45232</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45232</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45232</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45232</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45232</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45232</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45232</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45232</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45232</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45232</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45232</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45232</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45232</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45232</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45232</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45232</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45232</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45232</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45232</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45232</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45232</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45232</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45232</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45232</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45232</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45232</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45232</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45232</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45232</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45232</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45232</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45232</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45232</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45232</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45232</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45232</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45232</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45232</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45232</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45232</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45232</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45232</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45232</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45232</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45232</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45232</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45232</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45232</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45232</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45232</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45232</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45232</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45232</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45232</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45232</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45232</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45232</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45232</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45232</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45232</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45232</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45232</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45232</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45232</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45232</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45232</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45232</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45232</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45232</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45232</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45232</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45232</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45232</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45232</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45232</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45232</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45232</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45232</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45232</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45232</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45232</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45232</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45232</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45232</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45232</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45232</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45232</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45232</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45232</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45232</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45232</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45232</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45232</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45232</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45232</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45232</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45232</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45232</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45232</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45232</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45232</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45232</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45232</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45232</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45232</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45232</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45232</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45232</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45232</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45232</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45232</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45232</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45232</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45232</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45232</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45232</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45232</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45232</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45232</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45232</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45232</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45232</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45232</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45232</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45232</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45232</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45232</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45232</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45232</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45232</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45232</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45232</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45232</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45232</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45232</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45232</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45232</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45232</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45232</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45232</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45232</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45232</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45232</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45232</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45232</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45232</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45232</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45232</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45232</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45232</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45232</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45232</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45232</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45232</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45232</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45232</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45232</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45232</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45232</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45232</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45232</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45232</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45232</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45232</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45232</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45232</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45232</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45232</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45232</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45232</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45232</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45232</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45232</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45232</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45232</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45232</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45232</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45232</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45232</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45232</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45232</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45232</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45232</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45232</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45232</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45232</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45232</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45232</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45232</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45232</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45232</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45232</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45232</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45232</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45232</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45232</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45232</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45232</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45232</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45232</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45232</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45232</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45232</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45232</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45232</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45232</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45232</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45232</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45232</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45232</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45232</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45232</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45232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45232</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45232</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45232</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45232</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45232</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45232</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45232</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45232</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45232</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45232</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45232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45232</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45232</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45232</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45232</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45232</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45232</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45232</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45232</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45232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45232</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45232</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45232</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45232</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45232</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45232</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45232</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45232</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45232</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45232</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45232</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45232</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45232</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45232</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45232</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45232</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45232</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45232</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45232</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45232</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45232</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45232</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45232</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45232</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45232</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45232</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45232</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45232</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45232</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45232</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45232</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45232</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45232</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45232</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45232</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45232</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45232</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45232</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45232</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45232</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45232</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45232</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45232</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45232</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45232</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45232</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45232</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45232</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45232</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45232</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45232</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45232</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45232</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45232</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45232</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45232</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45232</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45232</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45232</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45232</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45232</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45232</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45232</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45232</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45232</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45232</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45232</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45232</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45232</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45232</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45232</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45232</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45232</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45232</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45232</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45232</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45232</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45232</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45232</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45232</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45232</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45232</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45232</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45232</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45232</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45232</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45232</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45232</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45232</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45232</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45232</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45232</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45232</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45232</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45232</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45232</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45232</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45232</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45232</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45232</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45232</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45232</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45232</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45232</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45232</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45232</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45232</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45232</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45232</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45232</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45232</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45232</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45232</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45232</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45232</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45232</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45232</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45232</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45232</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45232</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45232</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45232</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45232</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45232</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45232</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45232</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45232</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45232</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45232</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45232</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45232</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45232</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45232</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45232</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45232</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45232</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45232</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45232</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45232</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45232</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45232</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45232</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45232</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45232</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45232</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45232</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45232</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45232</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45232</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45232</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45232</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45232</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45232</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45232</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45232</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45232</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45232</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45232</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45232</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45232</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45232</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45232</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45232</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45232</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45232</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45232</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45232</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45232</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45232</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45232</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45232</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45232</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45232</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45232</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45232</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45232</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45232</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45232</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45232</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45232</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45232</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45232</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45232</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45232</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45232</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45232</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45232</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45232</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45232</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45232</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45232</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45232</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45232</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45232</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45232</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45232</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45232</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45232</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45232</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45232</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45232</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45232</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45232</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45232</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45232</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45232</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45232</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45232</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45232</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45232</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45232</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45232</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45232</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45232</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45232</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45232</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45232</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45232</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45232</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45232</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45232</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45232</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45232</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45232</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45232</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45232</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45232</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45232</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45232</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45232</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45232</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45232</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45232</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45232</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45232</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45232</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45232</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45232</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45232</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45232</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45232</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45232</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45232</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45232</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45232</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45232</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45232</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45232</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45232</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45232</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45232</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45232</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45232</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45232</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45232</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45232</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45232</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45232</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45232</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45232</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45232</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45232</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45232</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45232</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45232</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45232</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45232</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45232</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45232</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45232</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45232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45232</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45232</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45232</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45232</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45232</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45232</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45232</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45232</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45232</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45232</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45232</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45232</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45232</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45232</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45232</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45232</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45232</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45232</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45232</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45232</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45232</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45232</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45232</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45232</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45232</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45232</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45232</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45232</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45232</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45232</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45232</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45232</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45232</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45232</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45232</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45232</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45232</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45232</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45232</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45232</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45232</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45232</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45232</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45232</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45232</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45232</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45232</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45232</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45232</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45232</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45232</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45232</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45232</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45232</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45232</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45232</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45232</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45232</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45232</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45232</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45232</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45232</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45232</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45232</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45232</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45232</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45232</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45232</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45232</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45232</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45232</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45232</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45232</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45232</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45232</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45232</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45232</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45232</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45232</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45232</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45232</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45232</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45232</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45232</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45232</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45232</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45232</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45232</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45232</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45232</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45232</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45232</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45232</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45232</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45232</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45232</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45232</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45232</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45232</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45232</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45232</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45232</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45232</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45232</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45232</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45232</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45232</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45232</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45232</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45232</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45232</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45232</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45232</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45232</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45232</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45232</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45232</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45232</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45232</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45232</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45232</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45232</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45232</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45232</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45232</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45232</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45232</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45232</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45232</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45232</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45232</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45232</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45232</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45232</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45232</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45232</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45232</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45232</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45232</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45232</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45232</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45232</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45232</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45232</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45232</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45232</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45232</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45232</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45232</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45232</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45232</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45232</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45232</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45232</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45232</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45232</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45232</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45232</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45232</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45232</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45232</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45232</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45232</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45232</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45232</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45232</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45232</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45232</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45232</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45232</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45232</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45232</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45232</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45232</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45232</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45232</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45232</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45232</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45232</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45232</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45232</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45232</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45232</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45232</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45232</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45232</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45232</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45232</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45232</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45232</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45232</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45232</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45232</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45232</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45232</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45232</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45232</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45232</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45232</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45232</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45232</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45232</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45232</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45232</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45232</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45232</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45232</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45232</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45232</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45232</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45232</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45232</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45232</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45232</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45232</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45232</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45232</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45232</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45232</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45232</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45232</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45232</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45232</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45232</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45232</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45232</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45232</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45232</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45232</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45232</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45232</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45232</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45232</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45232</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45232</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45232</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45232</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45232</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45232</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45232</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45232</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45232</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45232</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45232</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45232</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45232</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45232</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45232</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45232</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45232</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45232</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45232</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45232</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45232</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45232</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45232</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45232</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45232</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45232</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45232</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45232</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45232</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45232</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45232</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45232</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45232</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45232</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45232</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45232</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45232</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45232</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45232</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45232</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45232</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45232</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45232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45232</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45232</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45232</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45232</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45232</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45232</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45232</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45232</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45232</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45232</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45232</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45232</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45232</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45232</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45232</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45232</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45232</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45232</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45232</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45232</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45232</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45232</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45232</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45232</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45232</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45232</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45232</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45232</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45232</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45232</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45232</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45232</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45232</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45232</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45232</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45232</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45232</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45232</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45232</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45232</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45232</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45232</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45232</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45232</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45232</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45232</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45232</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45232</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45232</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45232</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45232</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45232</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45232</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45232</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45232</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45232</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45232</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45232</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45232</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45232</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45232</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45232</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45232</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45232</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45232</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45232</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45232</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45232</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45232</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45232</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45232</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45232</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45232</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45232</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45232</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45232</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45232</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45232</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45232</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45232</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45232</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45232</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45232</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45232</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45232</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45232</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45232</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45232</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45232</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45232</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45232</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45232</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45232</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45232</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45232</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45232</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45232</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45232</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45232</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45232</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45232</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45232</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45232</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45232</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45232</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45232</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45232</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45232</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45232</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45232</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45232</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45232</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45232</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45232</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45232</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45232</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45232</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45232</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45232</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45232</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45232</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45232</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45232</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45232</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45232</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45232</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45232</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45232</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45232</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45232</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45232</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45232</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45232</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45232</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45232</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45232</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45232</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45232</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45232</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45232</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45232</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45232</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45232</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45232</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45232</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45232</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45232</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45232</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45232</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45232</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45232</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45232</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45232</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45232</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45232</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45232</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45232</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45232</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45232</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45232</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45232</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45232</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45232</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45232</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45232</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45232</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45232</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45232</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45232</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45232</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45232</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45232</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45232</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45232</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45232</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45232</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45232</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45232</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45232</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45232</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45232</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45232</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45232</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45232</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45232</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45232</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45232</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45232</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45232</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45232</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45232</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45232</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45232</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45232</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45232</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45232</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45232</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45232</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45232</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45232</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45232</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45232</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45232</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45232</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45232</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45232</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45232</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45232</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45232</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45232</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45232</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45232</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45232</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45232</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45232</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45232</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45232</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45232</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45232</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45232</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45232</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45232</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45232</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45232</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45232</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45232</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45232</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45232</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45232</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45232</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45232</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45232</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45232</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45232</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45232</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45232</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45232</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45232</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45232</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45232</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45232</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45232</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45232</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45232</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45232</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45232</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45232</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45232</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45232</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45232</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45232</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45232</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45232</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45232</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45232</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45232</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45232</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45232</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45232</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45232</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45232</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45232</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45232</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45232</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45232</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45232</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45232</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45232</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45232</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45232</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45232</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45232</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45232</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45232</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45232</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45232</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45232</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45232</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45232</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45232</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45232</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45232</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45232</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45232</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45232</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45232</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45232</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45232</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45232</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45232</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45232</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45232</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45232</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45232</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45232</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45232</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45232</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45232</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45232</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45232</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45232</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45232</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45232</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45232</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45232</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45232</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45232</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45232</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45232</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45232</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45232</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45232</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45232</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45232</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45232</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45232</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45232</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45232</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45232</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45232</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45232</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45232</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45232</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45232</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45232</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45232</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45232</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45232</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45232</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45232</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45232</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45232</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45232</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45232</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45232</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45232</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45232</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45232</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45232</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45232</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45232</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45232</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45232</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45232</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45232</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45232</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45232</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45232</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45232</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45232</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45232</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45232</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45232</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45232</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45232</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45232</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45232</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45232</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45232</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45232</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45232</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45232</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45232</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45232</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45232</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45232</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45232</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45232</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45232</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45232</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45232</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45232</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45232</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45232</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45232</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45232</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45232</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45232</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45232</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45232</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45232</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45232</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45232</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45232</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45232</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45232</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45232</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45232</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45232</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45232</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45232</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45232</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45232</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45232</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45232</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45232</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45232</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45232</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45232</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45232</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45232</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45232</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45232</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45232</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45232</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45232</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45232</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45232</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45232</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45232</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45232</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45232</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45232</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45232</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45232</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45232</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45232</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45232</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45232</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45232</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45232</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45232</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45232</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45232</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45232</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45232</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45232</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45232</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45232</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45232</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45232</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45232</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45232</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45232</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45232</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45232</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45232</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45232</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45232</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45232</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45232</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45232</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45232</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45232</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45232</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45232</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45232</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45232</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45232</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45232</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45232</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45232</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45232</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45232</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45232</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45232</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45232</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45232</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45232</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45232</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45232</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45232</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45232</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45232</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45232</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45232</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45232</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45232</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45232</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45232</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45232</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45232</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45232</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45232</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45232</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45232</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45232</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45232</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45232</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45232</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45232</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45232</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45232</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45232</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45232</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45232</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45232</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45232</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45232</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45232</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45232</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45232</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45232</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45232</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45232</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45232</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45232</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45232</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45232</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45232</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45232</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45232</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45232</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45232</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45232</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45232</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45232</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45232</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45232</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45232</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45232</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45232</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45232</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45232</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45232</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45232</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45232</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45232</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45232</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45232</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45232</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45232</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45232</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45232</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45232</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45232</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45232</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45232</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45232</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45232</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45232</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45232</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45232</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45232</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45232</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45232</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45232</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45232</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45232</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45232</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45232</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45232</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45232</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45232</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45232</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45232</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45232</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45232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45232</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45232</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45232</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45232</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45232</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45232</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45232</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45232</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45232</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45232</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45232</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45232</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45232</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45232</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45232</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45232</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45232</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45232</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45232</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45232</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45232</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45232</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45232</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45232</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45232</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45232</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45232</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45232</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45232</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45232</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45232</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45232</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45232</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45232</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45232</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45232</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45232</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45232</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45232</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45232</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45232</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45232</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45232</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45232</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45232</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45232</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45232</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45232</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45232</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45232</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45232</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45232</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45232</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45232</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45232</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45232</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45232</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45232</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45232</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45232</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45232</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45232</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45232</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45232</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45232</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45232</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45232</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45232</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45232</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45232</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45232</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45232</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45232</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45232</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45232</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45232</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45232</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45232</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45232</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45232</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45232</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45232</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45232</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45232</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45232</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45232</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45232</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45232</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45232</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45232</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45232</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45232</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45232</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45232</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45232</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45232</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45232</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45232</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45232</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45232</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45232</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45232</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45232</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45232</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45232</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45232</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45232</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45232</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45232</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45232</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45232</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45232</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45232</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45232</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45232</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45232</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45232</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45232</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45232</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45232</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45232</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45232</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45232</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45232</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45232</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45232</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45232</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45232</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45232</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45232</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45232</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45232</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45232</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45232</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45232</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45232</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45232</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45232</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45232</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45232</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45232</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45232</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45232</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45232</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45232</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45232</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45232</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45232</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45232</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45232</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45232</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45232</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45232</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45232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45232</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45232</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45232</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45232</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45232</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45232</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45232</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45232</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45232</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45232</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45232</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45232</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45232</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45232</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45232</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45232</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45232</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45232</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45232</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45232</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45232</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45232</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45232</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45232</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45232</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45232</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45232</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45232</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45232</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45232</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45232</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45232</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45232</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45232</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45232</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45232</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45232</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45232</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45232</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45232</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45232</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45232</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45232</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45232</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45232</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45232</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45232</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45232</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45232</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45232</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45232</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45232</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45232</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45232</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45232</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45232</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45232</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45232</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45232</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45232</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45232</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45232</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45232</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45232</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45232</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45232</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45232</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45232</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45232</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45232</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45232</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45232</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45232</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45232</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45232</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45232</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45232</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45232</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45232</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45232</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45232</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45232</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45232</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45232</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45232</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45232</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45232</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45232</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45232</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45232</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45232</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45232</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45232</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45232</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45232</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45232</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45232</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45232</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45232</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45232</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45232</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45232</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45232</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45232</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45232</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45232</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45232</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45232</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45232</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45232</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45232</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45232</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45232</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45232</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45232</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45232</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45232</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45232</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45232</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45232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45232</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45232</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45232</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45232</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45232</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45232</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45232</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45232</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45232</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45232</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45232</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45232</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45232</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45232</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45232</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45232</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45232</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45232</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45232</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45232</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45232</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45232</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45232</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45232</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45232</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45232</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45232</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45232</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45232</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45232</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45232</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45232</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45232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45232</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45232</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45232</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45232</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45232</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45232</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45232</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45232</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45232</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45232</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45232</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45232</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45232</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45232</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45232</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45232</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45232</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45232</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45232</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45232</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45232</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45232</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45232</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45232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45232</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45232</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45232</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45232</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45232</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45232</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45232</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45232</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45232</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45232</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45232</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45232</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45232</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45232</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45232</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45232</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45232</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45232</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45232</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45232</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45232</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45232</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45232</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45232</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45232</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45232</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45232</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45232</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45232</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45232</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45232</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45232</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45232</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45232</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45232</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45232</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45232</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45232</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45232</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45232</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45232</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45232</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45232</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45232</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45232</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45232</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45232</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45232</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45232</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45232</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45232</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45232</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45232</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45232</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45232</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45232</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45232</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45232</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45232</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45232</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45232</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45232</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45232</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45232</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45232</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45232</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45232</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45232</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45232</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45232</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45232</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45232</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45232</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45232</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45232</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45232</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45232</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45232</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45232</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45232</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45232</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45232</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45232</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45232</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45232</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45232</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45232</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45232</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45232</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45232</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45232</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45232</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45232</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45232</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45232</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45232</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45232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45232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45232</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45232</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45232</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45232</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45232</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45232</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45232</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45232</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45232</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45232</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45232</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45232</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45232</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45232</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45232</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45232</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45232</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45232</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45232</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45232</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45232</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45232</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45232</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45232</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45232</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45232</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45232</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45232</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45232</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45232</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45232</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45232</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45232</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45232</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45232</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45232</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45232</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45232</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45232</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45232</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45232</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45232</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45232</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45232</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45232</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45232</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45232</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45232</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45232</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45232</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45232</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45232</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45232</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45232</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45232</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45232</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45232</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45232</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45232</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45232</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45232</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45232</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45232</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45232</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45232</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45232</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45232</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45232</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45232</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45232</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45232</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45232</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45232</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45232</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45232</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45232</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45232</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45232</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45232</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45232</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45232</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45232</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45232</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45232</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45232</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45232</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45232</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45232</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45232</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45232</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45232</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45232</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45232</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45232</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45232</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45232</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45232</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45232</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45232</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45232</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45232</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45232</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45232</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45232</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45232</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45232</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45232</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45232</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45232</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45232</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45232</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45232</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45232</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45232</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45232</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45232</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45232</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45232</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45232</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45232</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45232</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45232</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45232</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45232</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45232</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45232</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45232</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45232</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45232</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45232</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45232</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45232</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45232</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45232</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45232</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45232</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45232</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45232</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45232</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45232</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45232</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45232</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45232</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45232</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45232</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45232</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45232</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45232</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45232</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45232</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45232</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45232</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45232</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45232</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45232</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45232</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45232</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45232</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45232</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45232</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45232</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45232</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45232</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45232</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45232</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45232</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45232</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45232</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45232</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45232</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45232</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45232</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45232</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45232</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45232</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45232</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45232</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45232</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45232</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45232</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45232</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45232</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ht="15" customHeight="1">
      <c r="A7008" t="inlineStr">
        <is>
          <t>A 51781-2023</t>
        </is>
      </c>
      <c r="B7008" s="1" t="n">
        <v>45222</v>
      </c>
      <c r="C7008" s="1" t="n">
        <v>45232</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row r="7009" ht="15" customHeight="1">
      <c r="A7009" t="inlineStr">
        <is>
          <t>A 53220-2023</t>
        </is>
      </c>
      <c r="B7009" s="1" t="n">
        <v>45229</v>
      </c>
      <c r="C7009" s="1" t="n">
        <v>45232</v>
      </c>
      <c r="D7009" t="inlineStr">
        <is>
          <t>KALMAR LÄN</t>
        </is>
      </c>
      <c r="E7009" t="inlineStr">
        <is>
          <t>VIMMERBY</t>
        </is>
      </c>
      <c r="G7009" t="n">
        <v>1.3</v>
      </c>
      <c r="H7009" t="n">
        <v>0</v>
      </c>
      <c r="I7009" t="n">
        <v>0</v>
      </c>
      <c r="J7009" t="n">
        <v>0</v>
      </c>
      <c r="K7009" t="n">
        <v>0</v>
      </c>
      <c r="L7009" t="n">
        <v>0</v>
      </c>
      <c r="M7009" t="n">
        <v>0</v>
      </c>
      <c r="N7009" t="n">
        <v>0</v>
      </c>
      <c r="O7009" t="n">
        <v>0</v>
      </c>
      <c r="P7009" t="n">
        <v>0</v>
      </c>
      <c r="Q7009" t="n">
        <v>0</v>
      </c>
      <c r="R7009" s="2" t="inlineStr"/>
    </row>
    <row r="7010" ht="15" customHeight="1">
      <c r="A7010" t="inlineStr">
        <is>
          <t>A 53191-2023</t>
        </is>
      </c>
      <c r="B7010" s="1" t="n">
        <v>45229</v>
      </c>
      <c r="C7010" s="1" t="n">
        <v>45232</v>
      </c>
      <c r="D7010" t="inlineStr">
        <is>
          <t>KALMAR LÄN</t>
        </is>
      </c>
      <c r="E7010" t="inlineStr">
        <is>
          <t>HULTSFRED</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53283-2023</t>
        </is>
      </c>
      <c r="B7011" s="1" t="n">
        <v>45229</v>
      </c>
      <c r="C7011" s="1" t="n">
        <v>45232</v>
      </c>
      <c r="D7011" t="inlineStr">
        <is>
          <t>KALMAR LÄN</t>
        </is>
      </c>
      <c r="E7011" t="inlineStr">
        <is>
          <t>HULTSFRED</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53610-2023</t>
        </is>
      </c>
      <c r="B7012" s="1" t="n">
        <v>45230</v>
      </c>
      <c r="C7012" s="1" t="n">
        <v>45232</v>
      </c>
      <c r="D7012" t="inlineStr">
        <is>
          <t>KALMAR LÄN</t>
        </is>
      </c>
      <c r="E7012" t="inlineStr">
        <is>
          <t>KALMAR</t>
        </is>
      </c>
      <c r="G7012" t="n">
        <v>2.3</v>
      </c>
      <c r="H7012" t="n">
        <v>0</v>
      </c>
      <c r="I7012" t="n">
        <v>0</v>
      </c>
      <c r="J7012" t="n">
        <v>0</v>
      </c>
      <c r="K7012" t="n">
        <v>0</v>
      </c>
      <c r="L7012" t="n">
        <v>0</v>
      </c>
      <c r="M7012" t="n">
        <v>0</v>
      </c>
      <c r="N7012" t="n">
        <v>0</v>
      </c>
      <c r="O7012" t="n">
        <v>0</v>
      </c>
      <c r="P7012" t="n">
        <v>0</v>
      </c>
      <c r="Q7012" t="n">
        <v>0</v>
      </c>
      <c r="R7012" s="2" t="inlineStr"/>
    </row>
    <row r="7013">
      <c r="A7013" t="inlineStr">
        <is>
          <t>A 53608-2023</t>
        </is>
      </c>
      <c r="B7013" s="1" t="n">
        <v>45230</v>
      </c>
      <c r="C7013" s="1" t="n">
        <v>45232</v>
      </c>
      <c r="D7013" t="inlineStr">
        <is>
          <t>KALMAR LÄN</t>
        </is>
      </c>
      <c r="E7013" t="inlineStr">
        <is>
          <t>KALMAR</t>
        </is>
      </c>
      <c r="G7013" t="n">
        <v>2.9</v>
      </c>
      <c r="H7013" t="n">
        <v>0</v>
      </c>
      <c r="I7013" t="n">
        <v>0</v>
      </c>
      <c r="J7013" t="n">
        <v>0</v>
      </c>
      <c r="K7013" t="n">
        <v>0</v>
      </c>
      <c r="L7013" t="n">
        <v>0</v>
      </c>
      <c r="M7013" t="n">
        <v>0</v>
      </c>
      <c r="N7013" t="n">
        <v>0</v>
      </c>
      <c r="O7013" t="n">
        <v>0</v>
      </c>
      <c r="P7013" t="n">
        <v>0</v>
      </c>
      <c r="Q7013" t="n">
        <v>0</v>
      </c>
      <c r="R70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2023-11-02T07:39:23Z</dcterms:created>
  <dcterms:modified xmlns:dcterms="http://purl.org/dc/terms/" xmlns:xsi="http://www.w3.org/2001/XMLSchema-instance" xsi:type="dcterms:W3CDTF">2023-11-02T07:39:27Z</dcterms:modified>
</cp:coreProperties>
</file>