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45190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45190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45190</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45190</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45190</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45190</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45190</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45190</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45190</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45190</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45190</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45190</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45190</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56955-2022</t>
        </is>
      </c>
      <c r="B15" s="1" t="n">
        <v>44894</v>
      </c>
      <c r="C15" s="1" t="n">
        <v>45190</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 "A 56955-2022")</f>
        <v/>
      </c>
      <c r="T15">
        <f>HYPERLINK("https://klasma.github.io/Logging_HULTSFRED/kartor/A 56955-2022.png", "A 56955-2022")</f>
        <v/>
      </c>
      <c r="U15">
        <f>HYPERLINK("https://klasma.github.io/Logging_HULTSFRED/knärot/A 56955-2022.png", "A 56955-2022")</f>
        <v/>
      </c>
      <c r="V15">
        <f>HYPERLINK("https://klasma.github.io/Logging_HULTSFRED/klagomål/A 56955-2022.docx", "A 56955-2022")</f>
        <v/>
      </c>
      <c r="W15">
        <f>HYPERLINK("https://klasma.github.io/Logging_HULTSFRED/klagomålsmail/A 56955-2022.docx", "A 56955-2022")</f>
        <v/>
      </c>
      <c r="X15">
        <f>HYPERLINK("https://klasma.github.io/Logging_HULTSFRED/tillsyn/A 56955-2022.docx", "A 56955-2022")</f>
        <v/>
      </c>
      <c r="Y15">
        <f>HYPERLINK("https://klasma.github.io/Logging_HULTSFRED/tillsynsmail/A 56955-2022.docx", "A 56955-2022")</f>
        <v/>
      </c>
    </row>
    <row r="16" ht="15" customHeight="1">
      <c r="A16" t="inlineStr">
        <is>
          <t>A 58937-2022</t>
        </is>
      </c>
      <c r="B16" s="1" t="n">
        <v>44896</v>
      </c>
      <c r="C16" s="1" t="n">
        <v>45190</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 "A 58937-2022")</f>
        <v/>
      </c>
      <c r="T16">
        <f>HYPERLINK("https://klasma.github.io/Logging_VASTERVIK/kartor/A 58937-2022.png", "A 58937-2022")</f>
        <v/>
      </c>
      <c r="U16">
        <f>HYPERLINK("https://klasma.github.io/Logging_VASTERVIK/knärot/A 58937-2022.png", "A 58937-2022")</f>
        <v/>
      </c>
      <c r="V16">
        <f>HYPERLINK("https://klasma.github.io/Logging_VASTERVIK/klagomål/A 58937-2022.docx", "A 58937-2022")</f>
        <v/>
      </c>
      <c r="W16">
        <f>HYPERLINK("https://klasma.github.io/Logging_VASTERVIK/klagomålsmail/A 58937-2022.docx", "A 58937-2022")</f>
        <v/>
      </c>
      <c r="X16">
        <f>HYPERLINK("https://klasma.github.io/Logging_VASTERVIK/tillsyn/A 58937-2022.docx", "A 58937-2022")</f>
        <v/>
      </c>
      <c r="Y16">
        <f>HYPERLINK("https://klasma.github.io/Logging_VASTERVIK/tillsynsmail/A 58937-2022.docx", "A 58937-2022")</f>
        <v/>
      </c>
    </row>
    <row r="17" ht="15" customHeight="1">
      <c r="A17" t="inlineStr">
        <is>
          <t>A 44073-2019</t>
        </is>
      </c>
      <c r="B17" s="1" t="n">
        <v>43710</v>
      </c>
      <c r="C17" s="1" t="n">
        <v>45190</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 "A 44073-2019")</f>
        <v/>
      </c>
      <c r="T17">
        <f>HYPERLINK("https://klasma.github.io/Logging_OSKARSHAMN/kartor/A 44073-2019.png", "A 44073-2019")</f>
        <v/>
      </c>
      <c r="U17">
        <f>HYPERLINK("https://klasma.github.io/Logging_OSKARSHAMN/knärot/A 44073-2019.png", "A 44073-2019")</f>
        <v/>
      </c>
      <c r="V17">
        <f>HYPERLINK("https://klasma.github.io/Logging_OSKARSHAMN/klagomål/A 44073-2019.docx", "A 44073-2019")</f>
        <v/>
      </c>
      <c r="W17">
        <f>HYPERLINK("https://klasma.github.io/Logging_OSKARSHAMN/klagomålsmail/A 44073-2019.docx", "A 44073-2019")</f>
        <v/>
      </c>
      <c r="X17">
        <f>HYPERLINK("https://klasma.github.io/Logging_OSKARSHAMN/tillsyn/A 44073-2019.docx", "A 44073-2019")</f>
        <v/>
      </c>
      <c r="Y17">
        <f>HYPERLINK("https://klasma.github.io/Logging_OSKARSHAMN/tillsynsmail/A 44073-2019.docx", "A 44073-2019")</f>
        <v/>
      </c>
    </row>
    <row r="18" ht="15" customHeight="1">
      <c r="A18" t="inlineStr">
        <is>
          <t>A 54601-2022</t>
        </is>
      </c>
      <c r="B18" s="1" t="n">
        <v>44883</v>
      </c>
      <c r="C18" s="1" t="n">
        <v>45190</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 "A 54601-2022")</f>
        <v/>
      </c>
      <c r="T18">
        <f>HYPERLINK("https://klasma.github.io/Logging_VASTERVIK/kartor/A 54601-2022.png", "A 54601-2022")</f>
        <v/>
      </c>
      <c r="V18">
        <f>HYPERLINK("https://klasma.github.io/Logging_VASTERVIK/klagomål/A 54601-2022.docx", "A 54601-2022")</f>
        <v/>
      </c>
      <c r="W18">
        <f>HYPERLINK("https://klasma.github.io/Logging_VASTERVIK/klagomålsmail/A 54601-2022.docx", "A 54601-2022")</f>
        <v/>
      </c>
      <c r="X18">
        <f>HYPERLINK("https://klasma.github.io/Logging_VASTERVIK/tillsyn/A 54601-2022.docx", "A 54601-2022")</f>
        <v/>
      </c>
      <c r="Y18">
        <f>HYPERLINK("https://klasma.github.io/Logging_VASTERVIK/tillsynsmail/A 54601-2022.docx", "A 54601-2022")</f>
        <v/>
      </c>
    </row>
    <row r="19" ht="15" customHeight="1">
      <c r="A19" t="inlineStr">
        <is>
          <t>A 16212-2019</t>
        </is>
      </c>
      <c r="B19" s="1" t="n">
        <v>43544</v>
      </c>
      <c r="C19" s="1" t="n">
        <v>45190</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45190</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21924-2019</t>
        </is>
      </c>
      <c r="B21" s="1" t="n">
        <v>43584</v>
      </c>
      <c r="C21" s="1" t="n">
        <v>45190</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 "A 21924-2019")</f>
        <v/>
      </c>
      <c r="T21">
        <f>HYPERLINK("https://klasma.github.io/Logging_MONSTERAS/kartor/A 21924-2019.png", "A 21924-2019")</f>
        <v/>
      </c>
      <c r="V21">
        <f>HYPERLINK("https://klasma.github.io/Logging_MONSTERAS/klagomål/A 21924-2019.docx", "A 21924-2019")</f>
        <v/>
      </c>
      <c r="W21">
        <f>HYPERLINK("https://klasma.github.io/Logging_MONSTERAS/klagomålsmail/A 21924-2019.docx", "A 21924-2019")</f>
        <v/>
      </c>
      <c r="X21">
        <f>HYPERLINK("https://klasma.github.io/Logging_MONSTERAS/tillsyn/A 21924-2019.docx", "A 21924-2019")</f>
        <v/>
      </c>
      <c r="Y21">
        <f>HYPERLINK("https://klasma.github.io/Logging_MONSTERAS/tillsynsmail/A 21924-2019.docx", "A 21924-2019")</f>
        <v/>
      </c>
    </row>
    <row r="22" ht="15" customHeight="1">
      <c r="A22" t="inlineStr">
        <is>
          <t>A 61460-2019</t>
        </is>
      </c>
      <c r="B22" s="1" t="n">
        <v>43783</v>
      </c>
      <c r="C22" s="1" t="n">
        <v>45190</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 "A 61460-2019")</f>
        <v/>
      </c>
      <c r="T22">
        <f>HYPERLINK("https://klasma.github.io/Logging_VIMMERBY/kartor/A 61460-2019.png", "A 61460-2019")</f>
        <v/>
      </c>
      <c r="U22">
        <f>HYPERLINK("https://klasma.github.io/Logging_VIMMERBY/knärot/A 61460-2019.png", "A 61460-2019")</f>
        <v/>
      </c>
      <c r="V22">
        <f>HYPERLINK("https://klasma.github.io/Logging_VIMMERBY/klagomål/A 61460-2019.docx", "A 61460-2019")</f>
        <v/>
      </c>
      <c r="W22">
        <f>HYPERLINK("https://klasma.github.io/Logging_VIMMERBY/klagomålsmail/A 61460-2019.docx", "A 61460-2019")</f>
        <v/>
      </c>
      <c r="X22">
        <f>HYPERLINK("https://klasma.github.io/Logging_VIMMERBY/tillsyn/A 61460-2019.docx", "A 61460-2019")</f>
        <v/>
      </c>
      <c r="Y22">
        <f>HYPERLINK("https://klasma.github.io/Logging_VIMMERBY/tillsynsmail/A 61460-2019.docx", "A 61460-2019")</f>
        <v/>
      </c>
    </row>
    <row r="23" ht="15" customHeight="1">
      <c r="A23" t="inlineStr">
        <is>
          <t>A 7757-2021</t>
        </is>
      </c>
      <c r="B23" s="1" t="n">
        <v>44239</v>
      </c>
      <c r="C23" s="1" t="n">
        <v>45190</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 "A 7757-2021")</f>
        <v/>
      </c>
      <c r="T23">
        <f>HYPERLINK("https://klasma.github.io/Logging_VASTERVIK/kartor/A 7757-2021.png", "A 7757-2021")</f>
        <v/>
      </c>
      <c r="U23">
        <f>HYPERLINK("https://klasma.github.io/Logging_VASTERVIK/knärot/A 7757-2021.png", "A 7757-2021")</f>
        <v/>
      </c>
      <c r="V23">
        <f>HYPERLINK("https://klasma.github.io/Logging_VASTERVIK/klagomål/A 7757-2021.docx", "A 7757-2021")</f>
        <v/>
      </c>
      <c r="W23">
        <f>HYPERLINK("https://klasma.github.io/Logging_VASTERVIK/klagomålsmail/A 7757-2021.docx", "A 7757-2021")</f>
        <v/>
      </c>
      <c r="X23">
        <f>HYPERLINK("https://klasma.github.io/Logging_VASTERVIK/tillsyn/A 7757-2021.docx", "A 7757-2021")</f>
        <v/>
      </c>
      <c r="Y23">
        <f>HYPERLINK("https://klasma.github.io/Logging_VASTERVIK/tillsynsmail/A 7757-2021.docx", "A 7757-2021")</f>
        <v/>
      </c>
    </row>
    <row r="24" ht="15" customHeight="1">
      <c r="A24" t="inlineStr">
        <is>
          <t>A 8576-2021</t>
        </is>
      </c>
      <c r="B24" s="1" t="n">
        <v>44245</v>
      </c>
      <c r="C24" s="1" t="n">
        <v>45190</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 "A 8576-2021")</f>
        <v/>
      </c>
      <c r="T24">
        <f>HYPERLINK("https://klasma.github.io/Logging_KALMAR/kartor/A 8576-2021.png", "A 8576-2021")</f>
        <v/>
      </c>
      <c r="U24">
        <f>HYPERLINK("https://klasma.github.io/Logging_KALMAR/knärot/A 8576-2021.png", "A 8576-2021")</f>
        <v/>
      </c>
      <c r="V24">
        <f>HYPERLINK("https://klasma.github.io/Logging_KALMAR/klagomål/A 8576-2021.docx", "A 8576-2021")</f>
        <v/>
      </c>
      <c r="W24">
        <f>HYPERLINK("https://klasma.github.io/Logging_KALMAR/klagomålsmail/A 8576-2021.docx", "A 8576-2021")</f>
        <v/>
      </c>
      <c r="X24">
        <f>HYPERLINK("https://klasma.github.io/Logging_KALMAR/tillsyn/A 8576-2021.docx", "A 8576-2021")</f>
        <v/>
      </c>
      <c r="Y24">
        <f>HYPERLINK("https://klasma.github.io/Logging_KALMAR/tillsynsmail/A 8576-2021.docx", "A 8576-2021")</f>
        <v/>
      </c>
    </row>
    <row r="25" ht="15" customHeight="1">
      <c r="A25" t="inlineStr">
        <is>
          <t>A 23370-2021</t>
        </is>
      </c>
      <c r="B25" s="1" t="n">
        <v>44336</v>
      </c>
      <c r="C25" s="1" t="n">
        <v>45190</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 "A 23370-2021")</f>
        <v/>
      </c>
      <c r="T25">
        <f>HYPERLINK("https://klasma.github.io/Logging_BORGHOLM/kartor/A 23370-2021.png", "A 23370-2021")</f>
        <v/>
      </c>
      <c r="V25">
        <f>HYPERLINK("https://klasma.github.io/Logging_BORGHOLM/klagomål/A 23370-2021.docx", "A 23370-2021")</f>
        <v/>
      </c>
      <c r="W25">
        <f>HYPERLINK("https://klasma.github.io/Logging_BORGHOLM/klagomålsmail/A 23370-2021.docx", "A 23370-2021")</f>
        <v/>
      </c>
      <c r="X25">
        <f>HYPERLINK("https://klasma.github.io/Logging_BORGHOLM/tillsyn/A 23370-2021.docx", "A 23370-2021")</f>
        <v/>
      </c>
      <c r="Y25">
        <f>HYPERLINK("https://klasma.github.io/Logging_BORGHOLM/tillsynsmail/A 23370-2021.docx", "A 23370-2021")</f>
        <v/>
      </c>
    </row>
    <row r="26" ht="15" customHeight="1">
      <c r="A26" t="inlineStr">
        <is>
          <t>A 37023-2021</t>
        </is>
      </c>
      <c r="B26" s="1" t="n">
        <v>44393</v>
      </c>
      <c r="C26" s="1" t="n">
        <v>45190</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 "A 37023-2021")</f>
        <v/>
      </c>
      <c r="T26">
        <f>HYPERLINK("https://klasma.github.io/Logging_VASTERVIK/kartor/A 37023-2021.png", "A 37023-2021")</f>
        <v/>
      </c>
      <c r="U26">
        <f>HYPERLINK("https://klasma.github.io/Logging_VASTERVIK/knärot/A 37023-2021.png", "A 37023-2021")</f>
        <v/>
      </c>
      <c r="V26">
        <f>HYPERLINK("https://klasma.github.io/Logging_VASTERVIK/klagomål/A 37023-2021.docx", "A 37023-2021")</f>
        <v/>
      </c>
      <c r="W26">
        <f>HYPERLINK("https://klasma.github.io/Logging_VASTERVIK/klagomålsmail/A 37023-2021.docx", "A 37023-2021")</f>
        <v/>
      </c>
      <c r="X26">
        <f>HYPERLINK("https://klasma.github.io/Logging_VASTERVIK/tillsyn/A 37023-2021.docx", "A 37023-2021")</f>
        <v/>
      </c>
      <c r="Y26">
        <f>HYPERLINK("https://klasma.github.io/Logging_VASTERVIK/tillsynsmail/A 37023-2021.docx", "A 37023-2021")</f>
        <v/>
      </c>
    </row>
    <row r="27" ht="15" customHeight="1">
      <c r="A27" t="inlineStr">
        <is>
          <t>A 17146-2020</t>
        </is>
      </c>
      <c r="B27" s="1" t="n">
        <v>43922</v>
      </c>
      <c r="C27" s="1" t="n">
        <v>45190</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 "A 17146-2020")</f>
        <v/>
      </c>
      <c r="T27">
        <f>HYPERLINK("https://klasma.github.io/Logging_TORSAS/kartor/A 17146-2020.png", "A 17146-2020")</f>
        <v/>
      </c>
      <c r="U27">
        <f>HYPERLINK("https://klasma.github.io/Logging_TORSAS/knärot/A 17146-2020.png", "A 17146-2020")</f>
        <v/>
      </c>
      <c r="V27">
        <f>HYPERLINK("https://klasma.github.io/Logging_TORSAS/klagomål/A 17146-2020.docx", "A 17146-2020")</f>
        <v/>
      </c>
      <c r="W27">
        <f>HYPERLINK("https://klasma.github.io/Logging_TORSAS/klagomålsmail/A 17146-2020.docx", "A 17146-2020")</f>
        <v/>
      </c>
      <c r="X27">
        <f>HYPERLINK("https://klasma.github.io/Logging_TORSAS/tillsyn/A 17146-2020.docx", "A 17146-2020")</f>
        <v/>
      </c>
      <c r="Y27">
        <f>HYPERLINK("https://klasma.github.io/Logging_TORSAS/tillsynsmail/A 17146-2020.docx", "A 17146-2020")</f>
        <v/>
      </c>
    </row>
    <row r="28" ht="15" customHeight="1">
      <c r="A28" t="inlineStr">
        <is>
          <t>A 66612-2020</t>
        </is>
      </c>
      <c r="B28" s="1" t="n">
        <v>44175</v>
      </c>
      <c r="C28" s="1" t="n">
        <v>45190</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 "A 66612-2020")</f>
        <v/>
      </c>
      <c r="T28">
        <f>HYPERLINK("https://klasma.github.io/Logging_HULTSFRED/kartor/A 66612-2020.png", "A 66612-2020")</f>
        <v/>
      </c>
      <c r="U28">
        <f>HYPERLINK("https://klasma.github.io/Logging_HULTSFRED/knärot/A 66612-2020.png", "A 66612-2020")</f>
        <v/>
      </c>
      <c r="V28">
        <f>HYPERLINK("https://klasma.github.io/Logging_HULTSFRED/klagomål/A 66612-2020.docx", "A 66612-2020")</f>
        <v/>
      </c>
      <c r="W28">
        <f>HYPERLINK("https://klasma.github.io/Logging_HULTSFRED/klagomålsmail/A 66612-2020.docx", "A 66612-2020")</f>
        <v/>
      </c>
      <c r="X28">
        <f>HYPERLINK("https://klasma.github.io/Logging_HULTSFRED/tillsyn/A 66612-2020.docx", "A 66612-2020")</f>
        <v/>
      </c>
      <c r="Y28">
        <f>HYPERLINK("https://klasma.github.io/Logging_HULTSFRED/tillsynsmail/A 66612-2020.docx", "A 66612-2020")</f>
        <v/>
      </c>
    </row>
    <row r="29" ht="15" customHeight="1">
      <c r="A29" t="inlineStr">
        <is>
          <t>A 33827-2021</t>
        </is>
      </c>
      <c r="B29" s="1" t="n">
        <v>44378</v>
      </c>
      <c r="C29" s="1" t="n">
        <v>45190</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 "A 33827-2021")</f>
        <v/>
      </c>
      <c r="T29">
        <f>HYPERLINK("https://klasma.github.io/Logging_HOGSBY/kartor/A 33827-2021.png", "A 33827-2021")</f>
        <v/>
      </c>
      <c r="V29">
        <f>HYPERLINK("https://klasma.github.io/Logging_HOGSBY/klagomål/A 33827-2021.docx", "A 33827-2021")</f>
        <v/>
      </c>
      <c r="W29">
        <f>HYPERLINK("https://klasma.github.io/Logging_HOGSBY/klagomålsmail/A 33827-2021.docx", "A 33827-2021")</f>
        <v/>
      </c>
      <c r="X29">
        <f>HYPERLINK("https://klasma.github.io/Logging_HOGSBY/tillsyn/A 33827-2021.docx", "A 33827-2021")</f>
        <v/>
      </c>
      <c r="Y29">
        <f>HYPERLINK("https://klasma.github.io/Logging_HOGSBY/tillsynsmail/A 33827-2021.docx", "A 33827-2021")</f>
        <v/>
      </c>
    </row>
    <row r="30" ht="15" customHeight="1">
      <c r="A30" t="inlineStr">
        <is>
          <t>A 39600-2021</t>
        </is>
      </c>
      <c r="B30" s="1" t="n">
        <v>44413</v>
      </c>
      <c r="C30" s="1" t="n">
        <v>45190</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 "A 39600-2021")</f>
        <v/>
      </c>
      <c r="T30">
        <f>HYPERLINK("https://klasma.github.io/Logging_OSKARSHAMN/kartor/A 39600-2021.png", "A 39600-2021")</f>
        <v/>
      </c>
      <c r="U30">
        <f>HYPERLINK("https://klasma.github.io/Logging_OSKARSHAMN/knärot/A 39600-2021.png", "A 39600-2021")</f>
        <v/>
      </c>
      <c r="V30">
        <f>HYPERLINK("https://klasma.github.io/Logging_OSKARSHAMN/klagomål/A 39600-2021.docx", "A 39600-2021")</f>
        <v/>
      </c>
      <c r="W30">
        <f>HYPERLINK("https://klasma.github.io/Logging_OSKARSHAMN/klagomålsmail/A 39600-2021.docx", "A 39600-2021")</f>
        <v/>
      </c>
      <c r="X30">
        <f>HYPERLINK("https://klasma.github.io/Logging_OSKARSHAMN/tillsyn/A 39600-2021.docx", "A 39600-2021")</f>
        <v/>
      </c>
      <c r="Y30">
        <f>HYPERLINK("https://klasma.github.io/Logging_OSKARSHAMN/tillsynsmail/A 39600-2021.docx", "A 39600-2021")</f>
        <v/>
      </c>
    </row>
    <row r="31" ht="15" customHeight="1">
      <c r="A31" t="inlineStr">
        <is>
          <t>A 44969-2021</t>
        </is>
      </c>
      <c r="B31" s="1" t="n">
        <v>44438</v>
      </c>
      <c r="C31" s="1" t="n">
        <v>45190</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 "A 44969-2021")</f>
        <v/>
      </c>
      <c r="T31">
        <f>HYPERLINK("https://klasma.github.io/Logging_HOGSBY/kartor/A 44969-2021.png", "A 44969-2021")</f>
        <v/>
      </c>
      <c r="V31">
        <f>HYPERLINK("https://klasma.github.io/Logging_HOGSBY/klagomål/A 44969-2021.docx", "A 44969-2021")</f>
        <v/>
      </c>
      <c r="W31">
        <f>HYPERLINK("https://klasma.github.io/Logging_HOGSBY/klagomålsmail/A 44969-2021.docx", "A 44969-2021")</f>
        <v/>
      </c>
      <c r="X31">
        <f>HYPERLINK("https://klasma.github.io/Logging_HOGSBY/tillsyn/A 44969-2021.docx", "A 44969-2021")</f>
        <v/>
      </c>
      <c r="Y31">
        <f>HYPERLINK("https://klasma.github.io/Logging_HOGSBY/tillsynsmail/A 44969-2021.docx", "A 44969-2021")</f>
        <v/>
      </c>
    </row>
    <row r="32" ht="15" customHeight="1">
      <c r="A32" t="inlineStr">
        <is>
          <t>A 33061-2022</t>
        </is>
      </c>
      <c r="B32" s="1" t="n">
        <v>44785</v>
      </c>
      <c r="C32" s="1" t="n">
        <v>45190</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 "A 33061-2022")</f>
        <v/>
      </c>
      <c r="T32">
        <f>HYPERLINK("https://klasma.github.io/Logging_KALMAR/kartor/A 33061-2022.png", "A 33061-2022")</f>
        <v/>
      </c>
      <c r="U32">
        <f>HYPERLINK("https://klasma.github.io/Logging_KALMAR/knärot/A 33061-2022.png", "A 33061-2022")</f>
        <v/>
      </c>
      <c r="V32">
        <f>HYPERLINK("https://klasma.github.io/Logging_KALMAR/klagomål/A 33061-2022.docx", "A 33061-2022")</f>
        <v/>
      </c>
      <c r="W32">
        <f>HYPERLINK("https://klasma.github.io/Logging_KALMAR/klagomålsmail/A 33061-2022.docx", "A 33061-2022")</f>
        <v/>
      </c>
      <c r="X32">
        <f>HYPERLINK("https://klasma.github.io/Logging_KALMAR/tillsyn/A 33061-2022.docx", "A 33061-2022")</f>
        <v/>
      </c>
      <c r="Y32">
        <f>HYPERLINK("https://klasma.github.io/Logging_KALMAR/tillsynsmail/A 33061-2022.docx", "A 33061-2022")</f>
        <v/>
      </c>
    </row>
    <row r="33" ht="15" customHeight="1">
      <c r="A33" t="inlineStr">
        <is>
          <t>A 7689-2019</t>
        </is>
      </c>
      <c r="B33" s="1" t="n">
        <v>43500</v>
      </c>
      <c r="C33" s="1" t="n">
        <v>45190</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 "A 7689-2019")</f>
        <v/>
      </c>
      <c r="T33">
        <f>HYPERLINK("https://klasma.github.io/Logging_HOGSBY/kartor/A 7689-2019.png", "A 7689-2019")</f>
        <v/>
      </c>
      <c r="U33">
        <f>HYPERLINK("https://klasma.github.io/Logging_HOGSBY/knärot/A 7689-2019.png", "A 7689-2019")</f>
        <v/>
      </c>
      <c r="V33">
        <f>HYPERLINK("https://klasma.github.io/Logging_HOGSBY/klagomål/A 7689-2019.docx", "A 7689-2019")</f>
        <v/>
      </c>
      <c r="W33">
        <f>HYPERLINK("https://klasma.github.io/Logging_HOGSBY/klagomålsmail/A 7689-2019.docx", "A 7689-2019")</f>
        <v/>
      </c>
      <c r="X33">
        <f>HYPERLINK("https://klasma.github.io/Logging_HOGSBY/tillsyn/A 7689-2019.docx", "A 7689-2019")</f>
        <v/>
      </c>
      <c r="Y33">
        <f>HYPERLINK("https://klasma.github.io/Logging_HOGSBY/tillsynsmail/A 7689-2019.docx", "A 7689-2019")</f>
        <v/>
      </c>
    </row>
    <row r="34" ht="15" customHeight="1">
      <c r="A34" t="inlineStr">
        <is>
          <t>A 14713-2020</t>
        </is>
      </c>
      <c r="B34" s="1" t="n">
        <v>43909</v>
      </c>
      <c r="C34" s="1" t="n">
        <v>45190</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 "A 14713-2020")</f>
        <v/>
      </c>
      <c r="T34">
        <f>HYPERLINK("https://klasma.github.io/Logging_BORGHOLM/kartor/A 14713-2020.png", "A 14713-2020")</f>
        <v/>
      </c>
      <c r="V34">
        <f>HYPERLINK("https://klasma.github.io/Logging_BORGHOLM/klagomål/A 14713-2020.docx", "A 14713-2020")</f>
        <v/>
      </c>
      <c r="W34">
        <f>HYPERLINK("https://klasma.github.io/Logging_BORGHOLM/klagomålsmail/A 14713-2020.docx", "A 14713-2020")</f>
        <v/>
      </c>
      <c r="X34">
        <f>HYPERLINK("https://klasma.github.io/Logging_BORGHOLM/tillsyn/A 14713-2020.docx", "A 14713-2020")</f>
        <v/>
      </c>
      <c r="Y34">
        <f>HYPERLINK("https://klasma.github.io/Logging_BORGHOLM/tillsynsmail/A 14713-2020.docx", "A 14713-2020")</f>
        <v/>
      </c>
    </row>
    <row r="35" ht="15" customHeight="1">
      <c r="A35" t="inlineStr">
        <is>
          <t>A 30779-2023</t>
        </is>
      </c>
      <c r="B35" s="1" t="n">
        <v>45112</v>
      </c>
      <c r="C35" s="1" t="n">
        <v>45190</v>
      </c>
      <c r="D35" t="inlineStr">
        <is>
          <t>KALMAR LÄN</t>
        </is>
      </c>
      <c r="E35" t="inlineStr">
        <is>
          <t>VÄSTERVIK</t>
        </is>
      </c>
      <c r="G35" t="n">
        <v>14.5</v>
      </c>
      <c r="H35" t="n">
        <v>3</v>
      </c>
      <c r="I35" t="n">
        <v>2</v>
      </c>
      <c r="J35" t="n">
        <v>6</v>
      </c>
      <c r="K35" t="n">
        <v>2</v>
      </c>
      <c r="L35" t="n">
        <v>0</v>
      </c>
      <c r="M35" t="n">
        <v>0</v>
      </c>
      <c r="N35" t="n">
        <v>0</v>
      </c>
      <c r="O35" t="n">
        <v>8</v>
      </c>
      <c r="P35" t="n">
        <v>2</v>
      </c>
      <c r="Q35" t="n">
        <v>10</v>
      </c>
      <c r="R35" s="2" t="inlineStr">
        <is>
          <t>Knärot
Sandödla
Knölspindel
Motaggsvamp
Orange taggsvamp
Svartvit taggsvamp
Tallticka
Talltita
Grönpyrola
Tjockfotad fingersvamp</t>
        </is>
      </c>
      <c r="S35">
        <f>HYPERLINK("https://klasma.github.io/Logging_VASTERVIK/artfynd/A 30779-2023.xlsx", "A 30779-2023")</f>
        <v/>
      </c>
      <c r="T35">
        <f>HYPERLINK("https://klasma.github.io/Logging_VASTERVIK/kartor/A 30779-2023.png", "A 30779-2023")</f>
        <v/>
      </c>
      <c r="U35">
        <f>HYPERLINK("https://klasma.github.io/Logging_VASTERVIK/knärot/A 30779-2023.png", "A 30779-2023")</f>
        <v/>
      </c>
      <c r="V35">
        <f>HYPERLINK("https://klasma.github.io/Logging_VASTERVIK/klagomål/A 30779-2023.docx", "A 30779-2023")</f>
        <v/>
      </c>
      <c r="W35">
        <f>HYPERLINK("https://klasma.github.io/Logging_VASTERVIK/klagomålsmail/A 30779-2023.docx", "A 30779-2023")</f>
        <v/>
      </c>
      <c r="X35">
        <f>HYPERLINK("https://klasma.github.io/Logging_VASTERVIK/tillsyn/A 30779-2023.docx", "A 30779-2023")</f>
        <v/>
      </c>
      <c r="Y35">
        <f>HYPERLINK("https://klasma.github.io/Logging_VASTERVIK/tillsynsmail/A 30779-2023.docx", "A 30779-2023")</f>
        <v/>
      </c>
    </row>
    <row r="36" ht="15" customHeight="1">
      <c r="A36" t="inlineStr">
        <is>
          <t>A 51920-2018</t>
        </is>
      </c>
      <c r="B36" s="1" t="n">
        <v>43382</v>
      </c>
      <c r="C36" s="1" t="n">
        <v>45190</v>
      </c>
      <c r="D36" t="inlineStr">
        <is>
          <t>KALMAR LÄN</t>
        </is>
      </c>
      <c r="E36" t="inlineStr">
        <is>
          <t>HÖGSBY</t>
        </is>
      </c>
      <c r="G36" t="n">
        <v>2.8</v>
      </c>
      <c r="H36" t="n">
        <v>1</v>
      </c>
      <c r="I36" t="n">
        <v>4</v>
      </c>
      <c r="J36" t="n">
        <v>2</v>
      </c>
      <c r="K36" t="n">
        <v>2</v>
      </c>
      <c r="L36" t="n">
        <v>0</v>
      </c>
      <c r="M36" t="n">
        <v>0</v>
      </c>
      <c r="N36" t="n">
        <v>0</v>
      </c>
      <c r="O36" t="n">
        <v>4</v>
      </c>
      <c r="P36" t="n">
        <v>2</v>
      </c>
      <c r="Q36" t="n">
        <v>9</v>
      </c>
      <c r="R36" s="2" t="inlineStr">
        <is>
          <t>Grangråticka
Spricktaggsvamp
Druvfingersvamp
Grantaggsvamp
Fjällig taggsvamp s.str.
Skarp dropptaggsvamp
Tjockfotad fingersvamp
Zontaggsvamp
Blåsippa</t>
        </is>
      </c>
      <c r="S36">
        <f>HYPERLINK("https://klasma.github.io/Logging_HOGSBY/artfynd/A 51920-2018.xlsx", "A 51920-2018")</f>
        <v/>
      </c>
      <c r="T36">
        <f>HYPERLINK("https://klasma.github.io/Logging_HOGSBY/kartor/A 51920-2018.png", "A 51920-2018")</f>
        <v/>
      </c>
      <c r="V36">
        <f>HYPERLINK("https://klasma.github.io/Logging_HOGSBY/klagomål/A 51920-2018.docx", "A 51920-2018")</f>
        <v/>
      </c>
      <c r="W36">
        <f>HYPERLINK("https://klasma.github.io/Logging_HOGSBY/klagomålsmail/A 51920-2018.docx", "A 51920-2018")</f>
        <v/>
      </c>
      <c r="X36">
        <f>HYPERLINK("https://klasma.github.io/Logging_HOGSBY/tillsyn/A 51920-2018.docx", "A 51920-2018")</f>
        <v/>
      </c>
      <c r="Y36">
        <f>HYPERLINK("https://klasma.github.io/Logging_HOGSBY/tillsynsmail/A 51920-2018.docx", "A 51920-2018")</f>
        <v/>
      </c>
    </row>
    <row r="37" ht="15" customHeight="1">
      <c r="A37" t="inlineStr">
        <is>
          <t>A 66041-2018</t>
        </is>
      </c>
      <c r="B37" s="1" t="n">
        <v>43434</v>
      </c>
      <c r="C37" s="1" t="n">
        <v>45190</v>
      </c>
      <c r="D37" t="inlineStr">
        <is>
          <t>KALMAR LÄN</t>
        </is>
      </c>
      <c r="E37" t="inlineStr">
        <is>
          <t>MÖRBYLÅNGA</t>
        </is>
      </c>
      <c r="G37" t="n">
        <v>3.4</v>
      </c>
      <c r="H37" t="n">
        <v>2</v>
      </c>
      <c r="I37" t="n">
        <v>2</v>
      </c>
      <c r="J37" t="n">
        <v>3</v>
      </c>
      <c r="K37" t="n">
        <v>0</v>
      </c>
      <c r="L37" t="n">
        <v>1</v>
      </c>
      <c r="M37" t="n">
        <v>2</v>
      </c>
      <c r="N37" t="n">
        <v>0</v>
      </c>
      <c r="O37" t="n">
        <v>6</v>
      </c>
      <c r="P37" t="n">
        <v>3</v>
      </c>
      <c r="Q37" t="n">
        <v>9</v>
      </c>
      <c r="R37" s="2" t="inlineStr">
        <is>
          <t>Lundalm
Skogsalm
Ask
Desmeknopp
Hårig jordstjärna
Ängsskära
Tvåblad
Underviol
Sankt pers nycklar</t>
        </is>
      </c>
      <c r="S37">
        <f>HYPERLINK("https://klasma.github.io/Logging_MORBYLANGA/artfynd/A 66041-2018.xlsx", "A 66041-2018")</f>
        <v/>
      </c>
      <c r="T37">
        <f>HYPERLINK("https://klasma.github.io/Logging_MORBYLANGA/kartor/A 66041-2018.png", "A 66041-2018")</f>
        <v/>
      </c>
      <c r="V37">
        <f>HYPERLINK("https://klasma.github.io/Logging_MORBYLANGA/klagomål/A 66041-2018.docx", "A 66041-2018")</f>
        <v/>
      </c>
      <c r="W37">
        <f>HYPERLINK("https://klasma.github.io/Logging_MORBYLANGA/klagomålsmail/A 66041-2018.docx", "A 66041-2018")</f>
        <v/>
      </c>
      <c r="X37">
        <f>HYPERLINK("https://klasma.github.io/Logging_MORBYLANGA/tillsyn/A 66041-2018.docx", "A 66041-2018")</f>
        <v/>
      </c>
      <c r="Y37">
        <f>HYPERLINK("https://klasma.github.io/Logging_MORBYLANGA/tillsynsmail/A 66041-2018.docx", "A 66041-2018")</f>
        <v/>
      </c>
    </row>
    <row r="38" ht="15" customHeight="1">
      <c r="A38" t="inlineStr">
        <is>
          <t>A 20822-2019</t>
        </is>
      </c>
      <c r="B38" s="1" t="n">
        <v>43573</v>
      </c>
      <c r="C38" s="1" t="n">
        <v>45190</v>
      </c>
      <c r="D38" t="inlineStr">
        <is>
          <t>KALMAR LÄN</t>
        </is>
      </c>
      <c r="E38" t="inlineStr">
        <is>
          <t>HÖGSBY</t>
        </is>
      </c>
      <c r="G38" t="n">
        <v>3.7</v>
      </c>
      <c r="H38" t="n">
        <v>2</v>
      </c>
      <c r="I38" t="n">
        <v>5</v>
      </c>
      <c r="J38" t="n">
        <v>1</v>
      </c>
      <c r="K38" t="n">
        <v>2</v>
      </c>
      <c r="L38" t="n">
        <v>0</v>
      </c>
      <c r="M38" t="n">
        <v>0</v>
      </c>
      <c r="N38" t="n">
        <v>0</v>
      </c>
      <c r="O38" t="n">
        <v>3</v>
      </c>
      <c r="P38" t="n">
        <v>2</v>
      </c>
      <c r="Q38" t="n">
        <v>9</v>
      </c>
      <c r="R38" s="2" t="inlineStr">
        <is>
          <t>Knärot
Spricktaggsvamp
Tallticka
Blomkålssvamp
Fjällig taggsvamp s.str.
Grovticka
Skarp dropptaggsvamp
Tjockfotad fingersvamp
Blåsippa</t>
        </is>
      </c>
      <c r="S38">
        <f>HYPERLINK("https://klasma.github.io/Logging_HOGSBY/artfynd/A 20822-2019.xlsx", "A 20822-2019")</f>
        <v/>
      </c>
      <c r="T38">
        <f>HYPERLINK("https://klasma.github.io/Logging_HOGSBY/kartor/A 20822-2019.png", "A 20822-2019")</f>
        <v/>
      </c>
      <c r="U38">
        <f>HYPERLINK("https://klasma.github.io/Logging_HOGSBY/knärot/A 20822-2019.png", "A 20822-2019")</f>
        <v/>
      </c>
      <c r="V38">
        <f>HYPERLINK("https://klasma.github.io/Logging_HOGSBY/klagomål/A 20822-2019.docx", "A 20822-2019")</f>
        <v/>
      </c>
      <c r="W38">
        <f>HYPERLINK("https://klasma.github.io/Logging_HOGSBY/klagomålsmail/A 20822-2019.docx", "A 20822-2019")</f>
        <v/>
      </c>
      <c r="X38">
        <f>HYPERLINK("https://klasma.github.io/Logging_HOGSBY/tillsyn/A 20822-2019.docx", "A 20822-2019")</f>
        <v/>
      </c>
      <c r="Y38">
        <f>HYPERLINK("https://klasma.github.io/Logging_HOGSBY/tillsynsmail/A 20822-2019.docx", "A 20822-2019")</f>
        <v/>
      </c>
    </row>
    <row r="39" ht="15" customHeight="1">
      <c r="A39" t="inlineStr">
        <is>
          <t>A 63105-2019</t>
        </is>
      </c>
      <c r="B39" s="1" t="n">
        <v>43791</v>
      </c>
      <c r="C39" s="1" t="n">
        <v>45190</v>
      </c>
      <c r="D39" t="inlineStr">
        <is>
          <t>KALMAR LÄN</t>
        </is>
      </c>
      <c r="E39" t="inlineStr">
        <is>
          <t>VÄSTERVIK</t>
        </is>
      </c>
      <c r="F39" t="inlineStr">
        <is>
          <t>Övriga Aktiebolag</t>
        </is>
      </c>
      <c r="G39" t="n">
        <v>3.6</v>
      </c>
      <c r="H39" t="n">
        <v>2</v>
      </c>
      <c r="I39" t="n">
        <v>2</v>
      </c>
      <c r="J39" t="n">
        <v>4</v>
      </c>
      <c r="K39" t="n">
        <v>0</v>
      </c>
      <c r="L39" t="n">
        <v>1</v>
      </c>
      <c r="M39" t="n">
        <v>0</v>
      </c>
      <c r="N39" t="n">
        <v>0</v>
      </c>
      <c r="O39" t="n">
        <v>5</v>
      </c>
      <c r="P39" t="n">
        <v>1</v>
      </c>
      <c r="Q39" t="n">
        <v>9</v>
      </c>
      <c r="R39" s="2" t="inlineStr">
        <is>
          <t>Ask
Solvända
Sommarfibbla
Svinrot
Vippärt
Tibast
Underviol
Fläcknycklar
Nattviol</t>
        </is>
      </c>
      <c r="S39">
        <f>HYPERLINK("https://klasma.github.io/Logging_VASTERVIK/artfynd/A 63105-2019.xlsx", "A 63105-2019")</f>
        <v/>
      </c>
      <c r="T39">
        <f>HYPERLINK("https://klasma.github.io/Logging_VASTERVIK/kartor/A 63105-2019.png", "A 63105-2019")</f>
        <v/>
      </c>
      <c r="V39">
        <f>HYPERLINK("https://klasma.github.io/Logging_VASTERVIK/klagomål/A 63105-2019.docx", "A 63105-2019")</f>
        <v/>
      </c>
      <c r="W39">
        <f>HYPERLINK("https://klasma.github.io/Logging_VASTERVIK/klagomålsmail/A 63105-2019.docx", "A 63105-2019")</f>
        <v/>
      </c>
      <c r="X39">
        <f>HYPERLINK("https://klasma.github.io/Logging_VASTERVIK/tillsyn/A 63105-2019.docx", "A 63105-2019")</f>
        <v/>
      </c>
      <c r="Y39">
        <f>HYPERLINK("https://klasma.github.io/Logging_VASTERVIK/tillsynsmail/A 63105-2019.docx", "A 63105-2019")</f>
        <v/>
      </c>
    </row>
    <row r="40" ht="15" customHeight="1">
      <c r="A40" t="inlineStr">
        <is>
          <t>A 60579-2020</t>
        </is>
      </c>
      <c r="B40" s="1" t="n">
        <v>44153</v>
      </c>
      <c r="C40" s="1" t="n">
        <v>45190</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60579-2020.xlsx", "A 60579-2020")</f>
        <v/>
      </c>
      <c r="T40">
        <f>HYPERLINK("https://klasma.github.io/Logging_OSKARSHAMN/kartor/A 60579-2020.png", "A 60579-2020")</f>
        <v/>
      </c>
      <c r="V40">
        <f>HYPERLINK("https://klasma.github.io/Logging_OSKARSHAMN/klagomål/A 60579-2020.docx", "A 60579-2020")</f>
        <v/>
      </c>
      <c r="W40">
        <f>HYPERLINK("https://klasma.github.io/Logging_OSKARSHAMN/klagomålsmail/A 60579-2020.docx", "A 60579-2020")</f>
        <v/>
      </c>
      <c r="X40">
        <f>HYPERLINK("https://klasma.github.io/Logging_OSKARSHAMN/tillsyn/A 60579-2020.docx", "A 60579-2020")</f>
        <v/>
      </c>
      <c r="Y40">
        <f>HYPERLINK("https://klasma.github.io/Logging_OSKARSHAMN/tillsynsmail/A 60579-2020.docx", "A 60579-2020")</f>
        <v/>
      </c>
    </row>
    <row r="41" ht="15" customHeight="1">
      <c r="A41" t="inlineStr">
        <is>
          <t>A 63570-2020</t>
        </is>
      </c>
      <c r="B41" s="1" t="n">
        <v>44165</v>
      </c>
      <c r="C41" s="1" t="n">
        <v>45190</v>
      </c>
      <c r="D41" t="inlineStr">
        <is>
          <t>KALMAR LÄN</t>
        </is>
      </c>
      <c r="E41" t="inlineStr">
        <is>
          <t>OSKARSHAMN</t>
        </is>
      </c>
      <c r="F41" t="inlineStr">
        <is>
          <t>Sveaskog</t>
        </is>
      </c>
      <c r="G41" t="n">
        <v>5.2</v>
      </c>
      <c r="H41" t="n">
        <v>2</v>
      </c>
      <c r="I41" t="n">
        <v>0</v>
      </c>
      <c r="J41" t="n">
        <v>7</v>
      </c>
      <c r="K41" t="n">
        <v>0</v>
      </c>
      <c r="L41" t="n">
        <v>0</v>
      </c>
      <c r="M41" t="n">
        <v>0</v>
      </c>
      <c r="N41" t="n">
        <v>0</v>
      </c>
      <c r="O41" t="n">
        <v>7</v>
      </c>
      <c r="P41" t="n">
        <v>0</v>
      </c>
      <c r="Q41" t="n">
        <v>9</v>
      </c>
      <c r="R41" s="2" t="inlineStr">
        <is>
          <t>Backklöver
Korskovall
Slåtterfibbla
Solvända
Spindelört
Svinrot
Vippärt
Blåsippa
Gullviva</t>
        </is>
      </c>
      <c r="S41">
        <f>HYPERLINK("https://klasma.github.io/Logging_OSKARSHAMN/artfynd/A 63570-2020.xlsx", "A 63570-2020")</f>
        <v/>
      </c>
      <c r="T41">
        <f>HYPERLINK("https://klasma.github.io/Logging_OSKARSHAMN/kartor/A 63570-2020.png", "A 63570-2020")</f>
        <v/>
      </c>
      <c r="V41">
        <f>HYPERLINK("https://klasma.github.io/Logging_OSKARSHAMN/klagomål/A 63570-2020.docx", "A 63570-2020")</f>
        <v/>
      </c>
      <c r="W41">
        <f>HYPERLINK("https://klasma.github.io/Logging_OSKARSHAMN/klagomålsmail/A 63570-2020.docx", "A 63570-2020")</f>
        <v/>
      </c>
      <c r="X41">
        <f>HYPERLINK("https://klasma.github.io/Logging_OSKARSHAMN/tillsyn/A 63570-2020.docx", "A 63570-2020")</f>
        <v/>
      </c>
      <c r="Y41">
        <f>HYPERLINK("https://klasma.github.io/Logging_OSKARSHAMN/tillsynsmail/A 63570-2020.docx", "A 63570-2020")</f>
        <v/>
      </c>
    </row>
    <row r="42" ht="15" customHeight="1">
      <c r="A42" t="inlineStr">
        <is>
          <t>A 65163-2020</t>
        </is>
      </c>
      <c r="B42" s="1" t="n">
        <v>44172</v>
      </c>
      <c r="C42" s="1" t="n">
        <v>45190</v>
      </c>
      <c r="D42" t="inlineStr">
        <is>
          <t>KALMAR LÄN</t>
        </is>
      </c>
      <c r="E42" t="inlineStr">
        <is>
          <t>MÖRBYLÅNGA</t>
        </is>
      </c>
      <c r="G42" t="n">
        <v>16.8</v>
      </c>
      <c r="H42" t="n">
        <v>2</v>
      </c>
      <c r="I42" t="n">
        <v>3</v>
      </c>
      <c r="J42" t="n">
        <v>5</v>
      </c>
      <c r="K42" t="n">
        <v>1</v>
      </c>
      <c r="L42" t="n">
        <v>0</v>
      </c>
      <c r="M42" t="n">
        <v>0</v>
      </c>
      <c r="N42" t="n">
        <v>0</v>
      </c>
      <c r="O42" t="n">
        <v>6</v>
      </c>
      <c r="P42" t="n">
        <v>1</v>
      </c>
      <c r="Q42" t="n">
        <v>9</v>
      </c>
      <c r="R42" s="2" t="inlineStr">
        <is>
          <t>Liten diskröksvamp
Dvärgjordstjärna
Fyrflikig jordstjärna
Fågelarv
Mindre hackspett
Rakhorndyvel
Ekoxe
Murgröna
Rödbrun jordstjärna</t>
        </is>
      </c>
      <c r="S42">
        <f>HYPERLINK("https://klasma.github.io/Logging_MORBYLANGA/artfynd/A 65163-2020.xlsx", "A 65163-2020")</f>
        <v/>
      </c>
      <c r="T42">
        <f>HYPERLINK("https://klasma.github.io/Logging_MORBYLANGA/kartor/A 65163-2020.png", "A 65163-2020")</f>
        <v/>
      </c>
      <c r="V42">
        <f>HYPERLINK("https://klasma.github.io/Logging_MORBYLANGA/klagomål/A 65163-2020.docx", "A 65163-2020")</f>
        <v/>
      </c>
      <c r="W42">
        <f>HYPERLINK("https://klasma.github.io/Logging_MORBYLANGA/klagomålsmail/A 65163-2020.docx", "A 65163-2020")</f>
        <v/>
      </c>
      <c r="X42">
        <f>HYPERLINK("https://klasma.github.io/Logging_MORBYLANGA/tillsyn/A 65163-2020.docx", "A 65163-2020")</f>
        <v/>
      </c>
      <c r="Y42">
        <f>HYPERLINK("https://klasma.github.io/Logging_MORBYLANGA/tillsynsmail/A 65163-2020.docx", "A 65163-2020")</f>
        <v/>
      </c>
    </row>
    <row r="43" ht="15" customHeight="1">
      <c r="A43" t="inlineStr">
        <is>
          <t>A 15252-2021</t>
        </is>
      </c>
      <c r="B43" s="1" t="n">
        <v>44284</v>
      </c>
      <c r="C43" s="1" t="n">
        <v>45190</v>
      </c>
      <c r="D43" t="inlineStr">
        <is>
          <t>KALMAR LÄN</t>
        </is>
      </c>
      <c r="E43" t="inlineStr">
        <is>
          <t>VÄSTERVIK</t>
        </is>
      </c>
      <c r="G43" t="n">
        <v>4.5</v>
      </c>
      <c r="H43" t="n">
        <v>2</v>
      </c>
      <c r="I43" t="n">
        <v>3</v>
      </c>
      <c r="J43" t="n">
        <v>5</v>
      </c>
      <c r="K43" t="n">
        <v>1</v>
      </c>
      <c r="L43" t="n">
        <v>0</v>
      </c>
      <c r="M43" t="n">
        <v>0</v>
      </c>
      <c r="N43" t="n">
        <v>0</v>
      </c>
      <c r="O43" t="n">
        <v>6</v>
      </c>
      <c r="P43" t="n">
        <v>1</v>
      </c>
      <c r="Q43" t="n">
        <v>9</v>
      </c>
      <c r="R43" s="2" t="inlineStr">
        <is>
          <t>Knärot
Motaggsvamp
Spillkråka
Svart taggsvamp
Svartvit taggsvamp
Såpfingersvamp
Dropptaggsvamp
Grönpyrola
Skarp dropptaggsvamp</t>
        </is>
      </c>
      <c r="S43">
        <f>HYPERLINK("https://klasma.github.io/Logging_VASTERVIK/artfynd/A 15252-2021.xlsx", "A 15252-2021")</f>
        <v/>
      </c>
      <c r="T43">
        <f>HYPERLINK("https://klasma.github.io/Logging_VASTERVIK/kartor/A 15252-2021.png", "A 15252-2021")</f>
        <v/>
      </c>
      <c r="U43">
        <f>HYPERLINK("https://klasma.github.io/Logging_VASTERVIK/knärot/A 15252-2021.png", "A 15252-2021")</f>
        <v/>
      </c>
      <c r="V43">
        <f>HYPERLINK("https://klasma.github.io/Logging_VASTERVIK/klagomål/A 15252-2021.docx", "A 15252-2021")</f>
        <v/>
      </c>
      <c r="W43">
        <f>HYPERLINK("https://klasma.github.io/Logging_VASTERVIK/klagomålsmail/A 15252-2021.docx", "A 15252-2021")</f>
        <v/>
      </c>
      <c r="X43">
        <f>HYPERLINK("https://klasma.github.io/Logging_VASTERVIK/tillsyn/A 15252-2021.docx", "A 15252-2021")</f>
        <v/>
      </c>
      <c r="Y43">
        <f>HYPERLINK("https://klasma.github.io/Logging_VASTERVIK/tillsynsmail/A 15252-2021.docx", "A 15252-2021")</f>
        <v/>
      </c>
    </row>
    <row r="44" ht="15" customHeight="1">
      <c r="A44" t="inlineStr">
        <is>
          <t>A 67432-2021</t>
        </is>
      </c>
      <c r="B44" s="1" t="n">
        <v>44523</v>
      </c>
      <c r="C44" s="1" t="n">
        <v>45190</v>
      </c>
      <c r="D44" t="inlineStr">
        <is>
          <t>KALMAR LÄN</t>
        </is>
      </c>
      <c r="E44" t="inlineStr">
        <is>
          <t>BORGHOLM</t>
        </is>
      </c>
      <c r="G44" t="n">
        <v>35</v>
      </c>
      <c r="H44" t="n">
        <v>3</v>
      </c>
      <c r="I44" t="n">
        <v>7</v>
      </c>
      <c r="J44" t="n">
        <v>1</v>
      </c>
      <c r="K44" t="n">
        <v>0</v>
      </c>
      <c r="L44" t="n">
        <v>0</v>
      </c>
      <c r="M44" t="n">
        <v>0</v>
      </c>
      <c r="N44" t="n">
        <v>0</v>
      </c>
      <c r="O44" t="n">
        <v>1</v>
      </c>
      <c r="P44" t="n">
        <v>0</v>
      </c>
      <c r="Q44" t="n">
        <v>9</v>
      </c>
      <c r="R44" s="2" t="inlineStr">
        <is>
          <t>Långbensgroda
Diskvaxskivling
Grov baronmossa
Guldlockmossa
Murgröna
Nästrot
Svavelriska
Sårläka
Blåsippa</t>
        </is>
      </c>
      <c r="S44">
        <f>HYPERLINK("https://klasma.github.io/Logging_BORGHOLM/artfynd/A 67432-2021.xlsx", "A 67432-2021")</f>
        <v/>
      </c>
      <c r="T44">
        <f>HYPERLINK("https://klasma.github.io/Logging_BORGHOLM/kartor/A 67432-2021.png", "A 67432-2021")</f>
        <v/>
      </c>
      <c r="V44">
        <f>HYPERLINK("https://klasma.github.io/Logging_BORGHOLM/klagomål/A 67432-2021.docx", "A 67432-2021")</f>
        <v/>
      </c>
      <c r="W44">
        <f>HYPERLINK("https://klasma.github.io/Logging_BORGHOLM/klagomålsmail/A 67432-2021.docx", "A 67432-2021")</f>
        <v/>
      </c>
      <c r="X44">
        <f>HYPERLINK("https://klasma.github.io/Logging_BORGHOLM/tillsyn/A 67432-2021.docx", "A 67432-2021")</f>
        <v/>
      </c>
      <c r="Y44">
        <f>HYPERLINK("https://klasma.github.io/Logging_BORGHOLM/tillsynsmail/A 67432-2021.docx", "A 67432-2021")</f>
        <v/>
      </c>
    </row>
    <row r="45" ht="15" customHeight="1">
      <c r="A45" t="inlineStr">
        <is>
          <t>A 37421-2022</t>
        </is>
      </c>
      <c r="B45" s="1" t="n">
        <v>44809</v>
      </c>
      <c r="C45" s="1" t="n">
        <v>45190</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45190</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45190</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45190</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45190</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45190</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45190</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45190</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45190</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45190</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45190</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45190</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45190</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45190</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45190</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45190</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45190</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45190</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45190</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45190</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45190</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45190</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45190</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45190</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45190</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45190</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45190</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45190</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45190</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45190</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45190</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45190</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45190</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45190</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45190</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45190</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45190</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53760-2021</t>
        </is>
      </c>
      <c r="B82" s="1" t="n">
        <v>44467</v>
      </c>
      <c r="C82" s="1" t="n">
        <v>45190</v>
      </c>
      <c r="D82" t="inlineStr">
        <is>
          <t>KALMAR LÄN</t>
        </is>
      </c>
      <c r="E82" t="inlineStr">
        <is>
          <t>VÄSTERVIK</t>
        </is>
      </c>
      <c r="G82" t="n">
        <v>3.9</v>
      </c>
      <c r="H82" t="n">
        <v>5</v>
      </c>
      <c r="I82" t="n">
        <v>0</v>
      </c>
      <c r="J82" t="n">
        <v>3</v>
      </c>
      <c r="K82" t="n">
        <v>0</v>
      </c>
      <c r="L82" t="n">
        <v>0</v>
      </c>
      <c r="M82" t="n">
        <v>0</v>
      </c>
      <c r="N82" t="n">
        <v>0</v>
      </c>
      <c r="O82" t="n">
        <v>3</v>
      </c>
      <c r="P82" t="n">
        <v>0</v>
      </c>
      <c r="Q82" t="n">
        <v>6</v>
      </c>
      <c r="R82" s="2" t="inlineStr">
        <is>
          <t>Brunlångöra
Nordfladdermus
Tallticka
Dvärgpipistrell
Större brunfladdermus
Trollpipistrell</t>
        </is>
      </c>
      <c r="S82">
        <f>HYPERLINK("https://klasma.github.io/Logging_VASTERVIK/artfynd/A 53760-2021.xlsx", "A 53760-2021")</f>
        <v/>
      </c>
      <c r="T82">
        <f>HYPERLINK("https://klasma.github.io/Logging_VASTERVIK/kartor/A 53760-2021.png", "A 53760-2021")</f>
        <v/>
      </c>
      <c r="V82">
        <f>HYPERLINK("https://klasma.github.io/Logging_VASTERVIK/klagomål/A 53760-2021.docx", "A 53760-2021")</f>
        <v/>
      </c>
      <c r="W82">
        <f>HYPERLINK("https://klasma.github.io/Logging_VASTERVIK/klagomålsmail/A 53760-2021.docx", "A 53760-2021")</f>
        <v/>
      </c>
      <c r="X82">
        <f>HYPERLINK("https://klasma.github.io/Logging_VASTERVIK/tillsyn/A 53760-2021.docx", "A 53760-2021")</f>
        <v/>
      </c>
      <c r="Y82">
        <f>HYPERLINK("https://klasma.github.io/Logging_VASTERVIK/tillsynsmail/A 53760-2021.docx", "A 53760-2021")</f>
        <v/>
      </c>
    </row>
    <row r="83" ht="15" customHeight="1">
      <c r="A83" t="inlineStr">
        <is>
          <t>A 60996-2021</t>
        </is>
      </c>
      <c r="B83" s="1" t="n">
        <v>44497</v>
      </c>
      <c r="C83" s="1" t="n">
        <v>45190</v>
      </c>
      <c r="D83" t="inlineStr">
        <is>
          <t>KALMAR LÄN</t>
        </is>
      </c>
      <c r="E83" t="inlineStr">
        <is>
          <t>VÄSTERVIK</t>
        </is>
      </c>
      <c r="F83" t="inlineStr">
        <is>
          <t>Kyrkan</t>
        </is>
      </c>
      <c r="G83" t="n">
        <v>7.2</v>
      </c>
      <c r="H83" t="n">
        <v>3</v>
      </c>
      <c r="I83" t="n">
        <v>2</v>
      </c>
      <c r="J83" t="n">
        <v>2</v>
      </c>
      <c r="K83" t="n">
        <v>1</v>
      </c>
      <c r="L83" t="n">
        <v>0</v>
      </c>
      <c r="M83" t="n">
        <v>0</v>
      </c>
      <c r="N83" t="n">
        <v>0</v>
      </c>
      <c r="O83" t="n">
        <v>3</v>
      </c>
      <c r="P83" t="n">
        <v>1</v>
      </c>
      <c r="Q83" t="n">
        <v>6</v>
      </c>
      <c r="R83" s="2" t="inlineStr">
        <is>
          <t>Knärot
Talltita
Vedtrappmossa
Grönpyrola
Platt fjädermossa
Revlummer</t>
        </is>
      </c>
      <c r="S83">
        <f>HYPERLINK("https://klasma.github.io/Logging_VASTERVIK/artfynd/A 60996-2021.xlsx", "A 60996-2021")</f>
        <v/>
      </c>
      <c r="T83">
        <f>HYPERLINK("https://klasma.github.io/Logging_VASTERVIK/kartor/A 60996-2021.png", "A 60996-2021")</f>
        <v/>
      </c>
      <c r="U83">
        <f>HYPERLINK("https://klasma.github.io/Logging_VASTERVIK/knärot/A 60996-2021.png", "A 60996-2021")</f>
        <v/>
      </c>
      <c r="V83">
        <f>HYPERLINK("https://klasma.github.io/Logging_VASTERVIK/klagomål/A 60996-2021.docx", "A 60996-2021")</f>
        <v/>
      </c>
      <c r="W83">
        <f>HYPERLINK("https://klasma.github.io/Logging_VASTERVIK/klagomålsmail/A 60996-2021.docx", "A 60996-2021")</f>
        <v/>
      </c>
      <c r="X83">
        <f>HYPERLINK("https://klasma.github.io/Logging_VASTERVIK/tillsyn/A 60996-2021.docx", "A 60996-2021")</f>
        <v/>
      </c>
      <c r="Y83">
        <f>HYPERLINK("https://klasma.github.io/Logging_VASTERVIK/tillsynsmail/A 60996-2021.docx", "A 60996-2021")</f>
        <v/>
      </c>
    </row>
    <row r="84" ht="15" customHeight="1">
      <c r="A84" t="inlineStr">
        <is>
          <t>A 71188-2021</t>
        </is>
      </c>
      <c r="B84" s="1" t="n">
        <v>44539</v>
      </c>
      <c r="C84" s="1" t="n">
        <v>45190</v>
      </c>
      <c r="D84" t="inlineStr">
        <is>
          <t>KALMAR LÄN</t>
        </is>
      </c>
      <c r="E84" t="inlineStr">
        <is>
          <t>VÄSTERVIK</t>
        </is>
      </c>
      <c r="G84" t="n">
        <v>0.6</v>
      </c>
      <c r="H84" t="n">
        <v>0</v>
      </c>
      <c r="I84" t="n">
        <v>3</v>
      </c>
      <c r="J84" t="n">
        <v>3</v>
      </c>
      <c r="K84" t="n">
        <v>0</v>
      </c>
      <c r="L84" t="n">
        <v>0</v>
      </c>
      <c r="M84" t="n">
        <v>0</v>
      </c>
      <c r="N84" t="n">
        <v>0</v>
      </c>
      <c r="O84" t="n">
        <v>3</v>
      </c>
      <c r="P84" t="n">
        <v>0</v>
      </c>
      <c r="Q84" t="n">
        <v>6</v>
      </c>
      <c r="R84" s="2" t="inlineStr">
        <is>
          <t>Blå taggsvamp
Motaggsvamp
Svartvit taggsvamp
Blomkålssvamp
Dropptaggsvamp
Grovticka</t>
        </is>
      </c>
      <c r="S84">
        <f>HYPERLINK("https://klasma.github.io/Logging_VASTERVIK/artfynd/A 71188-2021.xlsx", "A 71188-2021")</f>
        <v/>
      </c>
      <c r="T84">
        <f>HYPERLINK("https://klasma.github.io/Logging_VASTERVIK/kartor/A 71188-2021.png", "A 71188-2021")</f>
        <v/>
      </c>
      <c r="V84">
        <f>HYPERLINK("https://klasma.github.io/Logging_VASTERVIK/klagomål/A 71188-2021.docx", "A 71188-2021")</f>
        <v/>
      </c>
      <c r="W84">
        <f>HYPERLINK("https://klasma.github.io/Logging_VASTERVIK/klagomålsmail/A 71188-2021.docx", "A 71188-2021")</f>
        <v/>
      </c>
      <c r="X84">
        <f>HYPERLINK("https://klasma.github.io/Logging_VASTERVIK/tillsyn/A 71188-2021.docx", "A 71188-2021")</f>
        <v/>
      </c>
      <c r="Y84">
        <f>HYPERLINK("https://klasma.github.io/Logging_VASTERVIK/tillsynsmail/A 71188-2021.docx", "A 71188-2021")</f>
        <v/>
      </c>
    </row>
    <row r="85" ht="15" customHeight="1">
      <c r="A85" t="inlineStr">
        <is>
          <t>A 74213-2021</t>
        </is>
      </c>
      <c r="B85" s="1" t="n">
        <v>44558</v>
      </c>
      <c r="C85" s="1" t="n">
        <v>45190</v>
      </c>
      <c r="D85" t="inlineStr">
        <is>
          <t>KALMAR LÄN</t>
        </is>
      </c>
      <c r="E85" t="inlineStr">
        <is>
          <t>KALMAR</t>
        </is>
      </c>
      <c r="G85" t="n">
        <v>1.9</v>
      </c>
      <c r="H85" t="n">
        <v>3</v>
      </c>
      <c r="I85" t="n">
        <v>3</v>
      </c>
      <c r="J85" t="n">
        <v>2</v>
      </c>
      <c r="K85" t="n">
        <v>1</v>
      </c>
      <c r="L85" t="n">
        <v>0</v>
      </c>
      <c r="M85" t="n">
        <v>0</v>
      </c>
      <c r="N85" t="n">
        <v>0</v>
      </c>
      <c r="O85" t="n">
        <v>3</v>
      </c>
      <c r="P85" t="n">
        <v>1</v>
      </c>
      <c r="Q85" t="n">
        <v>6</v>
      </c>
      <c r="R85" s="2" t="inlineStr">
        <is>
          <t>Knärot
Spillkråka
Talltita
Blåmossa
Brandticka
Kattfotslav</t>
        </is>
      </c>
      <c r="S85">
        <f>HYPERLINK("https://klasma.github.io/Logging_KALMAR/artfynd/A 74213-2021.xlsx", "A 74213-2021")</f>
        <v/>
      </c>
      <c r="T85">
        <f>HYPERLINK("https://klasma.github.io/Logging_KALMAR/kartor/A 74213-2021.png", "A 74213-2021")</f>
        <v/>
      </c>
      <c r="U85">
        <f>HYPERLINK("https://klasma.github.io/Logging_KALMAR/knärot/A 74213-2021.png", "A 74213-2021")</f>
        <v/>
      </c>
      <c r="V85">
        <f>HYPERLINK("https://klasma.github.io/Logging_KALMAR/klagomål/A 74213-2021.docx", "A 74213-2021")</f>
        <v/>
      </c>
      <c r="W85">
        <f>HYPERLINK("https://klasma.github.io/Logging_KALMAR/klagomålsmail/A 74213-2021.docx", "A 74213-2021")</f>
        <v/>
      </c>
      <c r="X85">
        <f>HYPERLINK("https://klasma.github.io/Logging_KALMAR/tillsyn/A 74213-2021.docx", "A 74213-2021")</f>
        <v/>
      </c>
      <c r="Y85">
        <f>HYPERLINK("https://klasma.github.io/Logging_KALMAR/tillsynsmail/A 74213-2021.docx", "A 74213-2021")</f>
        <v/>
      </c>
    </row>
    <row r="86" ht="15" customHeight="1">
      <c r="A86" t="inlineStr">
        <is>
          <t>A 74479-2021</t>
        </is>
      </c>
      <c r="B86" s="1" t="n">
        <v>44559</v>
      </c>
      <c r="C86" s="1" t="n">
        <v>45190</v>
      </c>
      <c r="D86" t="inlineStr">
        <is>
          <t>KALMAR LÄN</t>
        </is>
      </c>
      <c r="E86" t="inlineStr">
        <is>
          <t>HÖGSBY</t>
        </is>
      </c>
      <c r="G86" t="n">
        <v>9.6</v>
      </c>
      <c r="H86" t="n">
        <v>3</v>
      </c>
      <c r="I86" t="n">
        <v>3</v>
      </c>
      <c r="J86" t="n">
        <v>2</v>
      </c>
      <c r="K86" t="n">
        <v>1</v>
      </c>
      <c r="L86" t="n">
        <v>0</v>
      </c>
      <c r="M86" t="n">
        <v>0</v>
      </c>
      <c r="N86" t="n">
        <v>0</v>
      </c>
      <c r="O86" t="n">
        <v>3</v>
      </c>
      <c r="P86" t="n">
        <v>1</v>
      </c>
      <c r="Q86" t="n">
        <v>6</v>
      </c>
      <c r="R86" s="2" t="inlineStr">
        <is>
          <t>Knärot
Spillkråka
Talltita
Grönpyrola
Thomsons trägnagare
Västlig hakmossa</t>
        </is>
      </c>
      <c r="S86">
        <f>HYPERLINK("https://klasma.github.io/Logging_HOGSBY/artfynd/A 74479-2021.xlsx", "A 74479-2021")</f>
        <v/>
      </c>
      <c r="T86">
        <f>HYPERLINK("https://klasma.github.io/Logging_HOGSBY/kartor/A 74479-2021.png", "A 74479-2021")</f>
        <v/>
      </c>
      <c r="U86">
        <f>HYPERLINK("https://klasma.github.io/Logging_HOGSBY/knärot/A 74479-2021.png", "A 74479-2021")</f>
        <v/>
      </c>
      <c r="V86">
        <f>HYPERLINK("https://klasma.github.io/Logging_HOGSBY/klagomål/A 74479-2021.docx", "A 74479-2021")</f>
        <v/>
      </c>
      <c r="W86">
        <f>HYPERLINK("https://klasma.github.io/Logging_HOGSBY/klagomålsmail/A 74479-2021.docx", "A 74479-2021")</f>
        <v/>
      </c>
      <c r="X86">
        <f>HYPERLINK("https://klasma.github.io/Logging_HOGSBY/tillsyn/A 74479-2021.docx", "A 74479-2021")</f>
        <v/>
      </c>
      <c r="Y86">
        <f>HYPERLINK("https://klasma.github.io/Logging_HOGSBY/tillsynsmail/A 74479-2021.docx", "A 74479-2021")</f>
        <v/>
      </c>
    </row>
    <row r="87" ht="15" customHeight="1">
      <c r="A87" t="inlineStr">
        <is>
          <t>A 7031-2022</t>
        </is>
      </c>
      <c r="B87" s="1" t="n">
        <v>44603</v>
      </c>
      <c r="C87" s="1" t="n">
        <v>45190</v>
      </c>
      <c r="D87" t="inlineStr">
        <is>
          <t>KALMAR LÄN</t>
        </is>
      </c>
      <c r="E87" t="inlineStr">
        <is>
          <t>HÖGSBY</t>
        </is>
      </c>
      <c r="G87" t="n">
        <v>3.8</v>
      </c>
      <c r="H87" t="n">
        <v>3</v>
      </c>
      <c r="I87" t="n">
        <v>1</v>
      </c>
      <c r="J87" t="n">
        <v>1</v>
      </c>
      <c r="K87" t="n">
        <v>1</v>
      </c>
      <c r="L87" t="n">
        <v>3</v>
      </c>
      <c r="M87" t="n">
        <v>0</v>
      </c>
      <c r="N87" t="n">
        <v>0</v>
      </c>
      <c r="O87" t="n">
        <v>5</v>
      </c>
      <c r="P87" t="n">
        <v>4</v>
      </c>
      <c r="Q87" t="n">
        <v>6</v>
      </c>
      <c r="R87" s="2" t="inlineStr">
        <is>
          <t>Mosippa
Mycosphaerella chimaphilae
Ryl
Knärot
Talltita
Dropptaggsvamp</t>
        </is>
      </c>
      <c r="S87">
        <f>HYPERLINK("https://klasma.github.io/Logging_HOGSBY/artfynd/A 7031-2022.xlsx", "A 7031-2022")</f>
        <v/>
      </c>
      <c r="T87">
        <f>HYPERLINK("https://klasma.github.io/Logging_HOGSBY/kartor/A 7031-2022.png", "A 7031-2022")</f>
        <v/>
      </c>
      <c r="U87">
        <f>HYPERLINK("https://klasma.github.io/Logging_HOGSBY/knärot/A 7031-2022.png", "A 7031-2022")</f>
        <v/>
      </c>
      <c r="V87">
        <f>HYPERLINK("https://klasma.github.io/Logging_HOGSBY/klagomål/A 7031-2022.docx", "A 7031-2022")</f>
        <v/>
      </c>
      <c r="W87">
        <f>HYPERLINK("https://klasma.github.io/Logging_HOGSBY/klagomålsmail/A 7031-2022.docx", "A 7031-2022")</f>
        <v/>
      </c>
      <c r="X87">
        <f>HYPERLINK("https://klasma.github.io/Logging_HOGSBY/tillsyn/A 7031-2022.docx", "A 7031-2022")</f>
        <v/>
      </c>
      <c r="Y87">
        <f>HYPERLINK("https://klasma.github.io/Logging_HOGSBY/tillsynsmail/A 7031-2022.docx", "A 7031-2022")</f>
        <v/>
      </c>
    </row>
    <row r="88" ht="15" customHeight="1">
      <c r="A88" t="inlineStr">
        <is>
          <t>A 7218-2022</t>
        </is>
      </c>
      <c r="B88" s="1" t="n">
        <v>44606</v>
      </c>
      <c r="C88" s="1" t="n">
        <v>45190</v>
      </c>
      <c r="D88" t="inlineStr">
        <is>
          <t>KALMAR LÄN</t>
        </is>
      </c>
      <c r="E88" t="inlineStr">
        <is>
          <t>NYBRO</t>
        </is>
      </c>
      <c r="G88" t="n">
        <v>5.1</v>
      </c>
      <c r="H88" t="n">
        <v>0</v>
      </c>
      <c r="I88" t="n">
        <v>3</v>
      </c>
      <c r="J88" t="n">
        <v>3</v>
      </c>
      <c r="K88" t="n">
        <v>0</v>
      </c>
      <c r="L88" t="n">
        <v>0</v>
      </c>
      <c r="M88" t="n">
        <v>0</v>
      </c>
      <c r="N88" t="n">
        <v>0</v>
      </c>
      <c r="O88" t="n">
        <v>3</v>
      </c>
      <c r="P88" t="n">
        <v>0</v>
      </c>
      <c r="Q88" t="n">
        <v>6</v>
      </c>
      <c r="R88" s="2" t="inlineStr">
        <is>
          <t>Gransotdyna
Ullticka
Vedtrappmossa
Blåmossa
Brandticka
Vanlig flatbagge</t>
        </is>
      </c>
      <c r="S88">
        <f>HYPERLINK("https://klasma.github.io/Logging_NYBRO/artfynd/A 7218-2022.xlsx", "A 7218-2022")</f>
        <v/>
      </c>
      <c r="T88">
        <f>HYPERLINK("https://klasma.github.io/Logging_NYBRO/kartor/A 7218-2022.png", "A 7218-2022")</f>
        <v/>
      </c>
      <c r="V88">
        <f>HYPERLINK("https://klasma.github.io/Logging_NYBRO/klagomål/A 7218-2022.docx", "A 7218-2022")</f>
        <v/>
      </c>
      <c r="W88">
        <f>HYPERLINK("https://klasma.github.io/Logging_NYBRO/klagomålsmail/A 7218-2022.docx", "A 7218-2022")</f>
        <v/>
      </c>
      <c r="X88">
        <f>HYPERLINK("https://klasma.github.io/Logging_NYBRO/tillsyn/A 7218-2022.docx", "A 7218-2022")</f>
        <v/>
      </c>
      <c r="Y88">
        <f>HYPERLINK("https://klasma.github.io/Logging_NYBRO/tillsynsmail/A 7218-2022.docx", "A 7218-2022")</f>
        <v/>
      </c>
    </row>
    <row r="89" ht="15" customHeight="1">
      <c r="A89" t="inlineStr">
        <is>
          <t>A 32178-2022</t>
        </is>
      </c>
      <c r="B89" s="1" t="n">
        <v>44781</v>
      </c>
      <c r="C89" s="1" t="n">
        <v>45190</v>
      </c>
      <c r="D89" t="inlineStr">
        <is>
          <t>KALMAR LÄN</t>
        </is>
      </c>
      <c r="E89" t="inlineStr">
        <is>
          <t>BORGHOLM</t>
        </is>
      </c>
      <c r="F89" t="inlineStr">
        <is>
          <t>Sveaskog</t>
        </is>
      </c>
      <c r="G89" t="n">
        <v>3.8</v>
      </c>
      <c r="H89" t="n">
        <v>1</v>
      </c>
      <c r="I89" t="n">
        <v>2</v>
      </c>
      <c r="J89" t="n">
        <v>2</v>
      </c>
      <c r="K89" t="n">
        <v>0</v>
      </c>
      <c r="L89" t="n">
        <v>0</v>
      </c>
      <c r="M89" t="n">
        <v>2</v>
      </c>
      <c r="N89" t="n">
        <v>0</v>
      </c>
      <c r="O89" t="n">
        <v>4</v>
      </c>
      <c r="P89" t="n">
        <v>2</v>
      </c>
      <c r="Q89" t="n">
        <v>6</v>
      </c>
      <c r="R89" s="2" t="inlineStr">
        <is>
          <t>Järnek
Skogsalm
Fyrflikig jordstjärna
Grönsångare
Kalktallört
Kamjordstjärna</t>
        </is>
      </c>
      <c r="S89">
        <f>HYPERLINK("https://klasma.github.io/Logging_BORGHOLM/artfynd/A 32178-2022.xlsx", "A 32178-2022")</f>
        <v/>
      </c>
      <c r="T89">
        <f>HYPERLINK("https://klasma.github.io/Logging_BORGHOLM/kartor/A 32178-2022.png", "A 32178-2022")</f>
        <v/>
      </c>
      <c r="V89">
        <f>HYPERLINK("https://klasma.github.io/Logging_BORGHOLM/klagomål/A 32178-2022.docx", "A 32178-2022")</f>
        <v/>
      </c>
      <c r="W89">
        <f>HYPERLINK("https://klasma.github.io/Logging_BORGHOLM/klagomålsmail/A 32178-2022.docx", "A 32178-2022")</f>
        <v/>
      </c>
      <c r="X89">
        <f>HYPERLINK("https://klasma.github.io/Logging_BORGHOLM/tillsyn/A 32178-2022.docx", "A 32178-2022")</f>
        <v/>
      </c>
      <c r="Y89">
        <f>HYPERLINK("https://klasma.github.io/Logging_BORGHOLM/tillsynsmail/A 32178-2022.docx", "A 32178-2022")</f>
        <v/>
      </c>
    </row>
    <row r="90" ht="15" customHeight="1">
      <c r="A90" t="inlineStr">
        <is>
          <t>A 38039-2022</t>
        </is>
      </c>
      <c r="B90" s="1" t="n">
        <v>44811</v>
      </c>
      <c r="C90" s="1" t="n">
        <v>45190</v>
      </c>
      <c r="D90" t="inlineStr">
        <is>
          <t>KALMAR LÄN</t>
        </is>
      </c>
      <c r="E90" t="inlineStr">
        <is>
          <t>MÖRBYLÅNGA</t>
        </is>
      </c>
      <c r="G90" t="n">
        <v>7.4</v>
      </c>
      <c r="H90" t="n">
        <v>2</v>
      </c>
      <c r="I90" t="n">
        <v>1</v>
      </c>
      <c r="J90" t="n">
        <v>2</v>
      </c>
      <c r="K90" t="n">
        <v>0</v>
      </c>
      <c r="L90" t="n">
        <v>1</v>
      </c>
      <c r="M90" t="n">
        <v>0</v>
      </c>
      <c r="N90" t="n">
        <v>0</v>
      </c>
      <c r="O90" t="n">
        <v>3</v>
      </c>
      <c r="P90" t="n">
        <v>1</v>
      </c>
      <c r="Q90" t="n">
        <v>6</v>
      </c>
      <c r="R90" s="2" t="inlineStr">
        <is>
          <t>Ask
Backtimjan
Solvända
Murgröna
Alvarmalört
Gullviva</t>
        </is>
      </c>
      <c r="S90">
        <f>HYPERLINK("https://klasma.github.io/Logging_MORBYLANGA/artfynd/A 38039-2022.xlsx", "A 38039-2022")</f>
        <v/>
      </c>
      <c r="T90">
        <f>HYPERLINK("https://klasma.github.io/Logging_MORBYLANGA/kartor/A 38039-2022.png", "A 38039-2022")</f>
        <v/>
      </c>
      <c r="V90">
        <f>HYPERLINK("https://klasma.github.io/Logging_MORBYLANGA/klagomål/A 38039-2022.docx", "A 38039-2022")</f>
        <v/>
      </c>
      <c r="W90">
        <f>HYPERLINK("https://klasma.github.io/Logging_MORBYLANGA/klagomålsmail/A 38039-2022.docx", "A 38039-2022")</f>
        <v/>
      </c>
      <c r="X90">
        <f>HYPERLINK("https://klasma.github.io/Logging_MORBYLANGA/tillsyn/A 38039-2022.docx", "A 38039-2022")</f>
        <v/>
      </c>
      <c r="Y90">
        <f>HYPERLINK("https://klasma.github.io/Logging_MORBYLANGA/tillsynsmail/A 38039-2022.docx", "A 38039-2022")</f>
        <v/>
      </c>
    </row>
    <row r="91" ht="15" customHeight="1">
      <c r="A91" t="inlineStr">
        <is>
          <t>A 49484-2022</t>
        </is>
      </c>
      <c r="B91" s="1" t="n">
        <v>44861</v>
      </c>
      <c r="C91" s="1" t="n">
        <v>45190</v>
      </c>
      <c r="D91" t="inlineStr">
        <is>
          <t>KALMAR LÄN</t>
        </is>
      </c>
      <c r="E91" t="inlineStr">
        <is>
          <t>HÖGSBY</t>
        </is>
      </c>
      <c r="G91" t="n">
        <v>2.2</v>
      </c>
      <c r="H91" t="n">
        <v>4</v>
      </c>
      <c r="I91" t="n">
        <v>0</v>
      </c>
      <c r="J91" t="n">
        <v>3</v>
      </c>
      <c r="K91" t="n">
        <v>1</v>
      </c>
      <c r="L91" t="n">
        <v>1</v>
      </c>
      <c r="M91" t="n">
        <v>1</v>
      </c>
      <c r="N91" t="n">
        <v>0</v>
      </c>
      <c r="O91" t="n">
        <v>6</v>
      </c>
      <c r="P91" t="n">
        <v>3</v>
      </c>
      <c r="Q91" t="n">
        <v>6</v>
      </c>
      <c r="R91" s="2" t="inlineStr">
        <is>
          <t>Saffransticka
Sommargylling
Trubbknäppare
Bokvedvivel
Havsörn
Ärtsångare</t>
        </is>
      </c>
      <c r="S91">
        <f>HYPERLINK("https://klasma.github.io/Logging_HOGSBY/artfynd/A 49484-2022.xlsx", "A 49484-2022")</f>
        <v/>
      </c>
      <c r="T91">
        <f>HYPERLINK("https://klasma.github.io/Logging_HOGSBY/kartor/A 49484-2022.png", "A 49484-2022")</f>
        <v/>
      </c>
      <c r="V91">
        <f>HYPERLINK("https://klasma.github.io/Logging_HOGSBY/klagomål/A 49484-2022.docx", "A 49484-2022")</f>
        <v/>
      </c>
      <c r="W91">
        <f>HYPERLINK("https://klasma.github.io/Logging_HOGSBY/klagomålsmail/A 49484-2022.docx", "A 49484-2022")</f>
        <v/>
      </c>
      <c r="X91">
        <f>HYPERLINK("https://klasma.github.io/Logging_HOGSBY/tillsyn/A 49484-2022.docx", "A 49484-2022")</f>
        <v/>
      </c>
      <c r="Y91">
        <f>HYPERLINK("https://klasma.github.io/Logging_HOGSBY/tillsynsmail/A 49484-2022.docx", "A 49484-2022")</f>
        <v/>
      </c>
    </row>
    <row r="92" ht="15" customHeight="1">
      <c r="A92" t="inlineStr">
        <is>
          <t>A 53162-2022</t>
        </is>
      </c>
      <c r="B92" s="1" t="n">
        <v>44873</v>
      </c>
      <c r="C92" s="1" t="n">
        <v>45190</v>
      </c>
      <c r="D92" t="inlineStr">
        <is>
          <t>KALMAR LÄN</t>
        </is>
      </c>
      <c r="E92" t="inlineStr">
        <is>
          <t>MÖNSTERÅS</t>
        </is>
      </c>
      <c r="F92" t="inlineStr">
        <is>
          <t>Kyrkan</t>
        </is>
      </c>
      <c r="G92" t="n">
        <v>7.1</v>
      </c>
      <c r="H92" t="n">
        <v>2</v>
      </c>
      <c r="I92" t="n">
        <v>2</v>
      </c>
      <c r="J92" t="n">
        <v>3</v>
      </c>
      <c r="K92" t="n">
        <v>0</v>
      </c>
      <c r="L92" t="n">
        <v>0</v>
      </c>
      <c r="M92" t="n">
        <v>0</v>
      </c>
      <c r="N92" t="n">
        <v>0</v>
      </c>
      <c r="O92" t="n">
        <v>3</v>
      </c>
      <c r="P92" t="n">
        <v>0</v>
      </c>
      <c r="Q92" t="n">
        <v>6</v>
      </c>
      <c r="R92" s="2" t="inlineStr">
        <is>
          <t>Ekticka
Talltita
Ullticka
Kornknutmossa
Vedticka
Blåsippa</t>
        </is>
      </c>
      <c r="S92">
        <f>HYPERLINK("https://klasma.github.io/Logging_MONSTERAS/artfynd/A 53162-2022.xlsx", "A 53162-2022")</f>
        <v/>
      </c>
      <c r="T92">
        <f>HYPERLINK("https://klasma.github.io/Logging_MONSTERAS/kartor/A 53162-2022.png", "A 53162-2022")</f>
        <v/>
      </c>
      <c r="V92">
        <f>HYPERLINK("https://klasma.github.io/Logging_MONSTERAS/klagomål/A 53162-2022.docx", "A 53162-2022")</f>
        <v/>
      </c>
      <c r="W92">
        <f>HYPERLINK("https://klasma.github.io/Logging_MONSTERAS/klagomålsmail/A 53162-2022.docx", "A 53162-2022")</f>
        <v/>
      </c>
      <c r="X92">
        <f>HYPERLINK("https://klasma.github.io/Logging_MONSTERAS/tillsyn/A 53162-2022.docx", "A 53162-2022")</f>
        <v/>
      </c>
      <c r="Y92">
        <f>HYPERLINK("https://klasma.github.io/Logging_MONSTERAS/tillsynsmail/A 53162-2022.docx", "A 53162-2022")</f>
        <v/>
      </c>
    </row>
    <row r="93" ht="15" customHeight="1">
      <c r="A93" t="inlineStr">
        <is>
          <t>A 974-2023</t>
        </is>
      </c>
      <c r="B93" s="1" t="n">
        <v>44935</v>
      </c>
      <c r="C93" s="1" t="n">
        <v>45190</v>
      </c>
      <c r="D93" t="inlineStr">
        <is>
          <t>KALMAR LÄN</t>
        </is>
      </c>
      <c r="E93" t="inlineStr">
        <is>
          <t>VÄSTERVIK</t>
        </is>
      </c>
      <c r="G93" t="n">
        <v>7.2</v>
      </c>
      <c r="H93" t="n">
        <v>1</v>
      </c>
      <c r="I93" t="n">
        <v>5</v>
      </c>
      <c r="J93" t="n">
        <v>0</v>
      </c>
      <c r="K93" t="n">
        <v>1</v>
      </c>
      <c r="L93" t="n">
        <v>0</v>
      </c>
      <c r="M93" t="n">
        <v>0</v>
      </c>
      <c r="N93" t="n">
        <v>0</v>
      </c>
      <c r="O93" t="n">
        <v>1</v>
      </c>
      <c r="P93" t="n">
        <v>1</v>
      </c>
      <c r="Q93" t="n">
        <v>6</v>
      </c>
      <c r="R93" s="2" t="inlineStr">
        <is>
          <t>Läderbagge
Blanksvart trämyra
Fällmossa
Guldlockmossa
Gulpudrad spiklav
Myskmadra</t>
        </is>
      </c>
      <c r="S93">
        <f>HYPERLINK("https://klasma.github.io/Logging_VASTERVIK/artfynd/A 974-2023.xlsx", "A 974-2023")</f>
        <v/>
      </c>
      <c r="T93">
        <f>HYPERLINK("https://klasma.github.io/Logging_VASTERVIK/kartor/A 974-2023.png", "A 974-2023")</f>
        <v/>
      </c>
      <c r="V93">
        <f>HYPERLINK("https://klasma.github.io/Logging_VASTERVIK/klagomål/A 974-2023.docx", "A 974-2023")</f>
        <v/>
      </c>
      <c r="W93">
        <f>HYPERLINK("https://klasma.github.io/Logging_VASTERVIK/klagomålsmail/A 974-2023.docx", "A 974-2023")</f>
        <v/>
      </c>
      <c r="X93">
        <f>HYPERLINK("https://klasma.github.io/Logging_VASTERVIK/tillsyn/A 974-2023.docx", "A 974-2023")</f>
        <v/>
      </c>
      <c r="Y93">
        <f>HYPERLINK("https://klasma.github.io/Logging_VASTERVIK/tillsynsmail/A 974-2023.docx", "A 974-2023")</f>
        <v/>
      </c>
    </row>
    <row r="94" ht="15" customHeight="1">
      <c r="A94" t="inlineStr">
        <is>
          <t>A 1960-2023</t>
        </is>
      </c>
      <c r="B94" s="1" t="n">
        <v>44939</v>
      </c>
      <c r="C94" s="1" t="n">
        <v>45190</v>
      </c>
      <c r="D94" t="inlineStr">
        <is>
          <t>KALMAR LÄN</t>
        </is>
      </c>
      <c r="E94" t="inlineStr">
        <is>
          <t>VIMMERBY</t>
        </is>
      </c>
      <c r="G94" t="n">
        <v>4.2</v>
      </c>
      <c r="H94" t="n">
        <v>1</v>
      </c>
      <c r="I94" t="n">
        <v>2</v>
      </c>
      <c r="J94" t="n">
        <v>3</v>
      </c>
      <c r="K94" t="n">
        <v>0</v>
      </c>
      <c r="L94" t="n">
        <v>0</v>
      </c>
      <c r="M94" t="n">
        <v>0</v>
      </c>
      <c r="N94" t="n">
        <v>0</v>
      </c>
      <c r="O94" t="n">
        <v>3</v>
      </c>
      <c r="P94" t="n">
        <v>0</v>
      </c>
      <c r="Q94" t="n">
        <v>6</v>
      </c>
      <c r="R94" s="2" t="inlineStr">
        <is>
          <t>Tallticka
Ullticka
Vedskivlav
Dropptaggsvamp
Guldlockmossa
Blåsippa</t>
        </is>
      </c>
      <c r="S94">
        <f>HYPERLINK("https://klasma.github.io/Logging_VIMMERBY/artfynd/A 1960-2023.xlsx", "A 1960-2023")</f>
        <v/>
      </c>
      <c r="T94">
        <f>HYPERLINK("https://klasma.github.io/Logging_VIMMERBY/kartor/A 1960-2023.png", "A 1960-2023")</f>
        <v/>
      </c>
      <c r="V94">
        <f>HYPERLINK("https://klasma.github.io/Logging_VIMMERBY/klagomål/A 1960-2023.docx", "A 1960-2023")</f>
        <v/>
      </c>
      <c r="W94">
        <f>HYPERLINK("https://klasma.github.io/Logging_VIMMERBY/klagomålsmail/A 1960-2023.docx", "A 1960-2023")</f>
        <v/>
      </c>
      <c r="X94">
        <f>HYPERLINK("https://klasma.github.io/Logging_VIMMERBY/tillsyn/A 1960-2023.docx", "A 1960-2023")</f>
        <v/>
      </c>
      <c r="Y94">
        <f>HYPERLINK("https://klasma.github.io/Logging_VIMMERBY/tillsynsmail/A 1960-2023.docx", "A 1960-2023")</f>
        <v/>
      </c>
    </row>
    <row r="95" ht="15" customHeight="1">
      <c r="A95" t="inlineStr">
        <is>
          <t>A 5139-2023</t>
        </is>
      </c>
      <c r="B95" s="1" t="n">
        <v>44958</v>
      </c>
      <c r="C95" s="1" t="n">
        <v>45190</v>
      </c>
      <c r="D95" t="inlineStr">
        <is>
          <t>KALMAR LÄN</t>
        </is>
      </c>
      <c r="E95" t="inlineStr">
        <is>
          <t>KALMAR</t>
        </is>
      </c>
      <c r="G95" t="n">
        <v>14.8</v>
      </c>
      <c r="H95" t="n">
        <v>6</v>
      </c>
      <c r="I95" t="n">
        <v>0</v>
      </c>
      <c r="J95" t="n">
        <v>3</v>
      </c>
      <c r="K95" t="n">
        <v>0</v>
      </c>
      <c r="L95" t="n">
        <v>0</v>
      </c>
      <c r="M95" t="n">
        <v>0</v>
      </c>
      <c r="N95" t="n">
        <v>0</v>
      </c>
      <c r="O95" t="n">
        <v>3</v>
      </c>
      <c r="P95" t="n">
        <v>0</v>
      </c>
      <c r="Q95" t="n">
        <v>6</v>
      </c>
      <c r="R95" s="2" t="inlineStr">
        <is>
          <t>Barbastell
Brunlångöra
Nordfladdermus
Dvärgpipistrell
Gråskimlig fladdermus
Större brunfladdermus</t>
        </is>
      </c>
      <c r="S95">
        <f>HYPERLINK("https://klasma.github.io/Logging_KALMAR/artfynd/A 5139-2023.xlsx", "A 5139-2023")</f>
        <v/>
      </c>
      <c r="T95">
        <f>HYPERLINK("https://klasma.github.io/Logging_KALMAR/kartor/A 5139-2023.png", "A 5139-2023")</f>
        <v/>
      </c>
      <c r="V95">
        <f>HYPERLINK("https://klasma.github.io/Logging_KALMAR/klagomål/A 5139-2023.docx", "A 5139-2023")</f>
        <v/>
      </c>
      <c r="W95">
        <f>HYPERLINK("https://klasma.github.io/Logging_KALMAR/klagomålsmail/A 5139-2023.docx", "A 5139-2023")</f>
        <v/>
      </c>
      <c r="X95">
        <f>HYPERLINK("https://klasma.github.io/Logging_KALMAR/tillsyn/A 5139-2023.docx", "A 5139-2023")</f>
        <v/>
      </c>
      <c r="Y95">
        <f>HYPERLINK("https://klasma.github.io/Logging_KALMAR/tillsynsmail/A 5139-2023.docx", "A 5139-2023")</f>
        <v/>
      </c>
    </row>
    <row r="96" ht="15" customHeight="1">
      <c r="A96" t="inlineStr">
        <is>
          <t>A 11740-2023</t>
        </is>
      </c>
      <c r="B96" s="1" t="n">
        <v>44994</v>
      </c>
      <c r="C96" s="1" t="n">
        <v>45190</v>
      </c>
      <c r="D96" t="inlineStr">
        <is>
          <t>KALMAR LÄN</t>
        </is>
      </c>
      <c r="E96" t="inlineStr">
        <is>
          <t>VÄSTERVIK</t>
        </is>
      </c>
      <c r="F96" t="inlineStr">
        <is>
          <t>Sveaskog</t>
        </is>
      </c>
      <c r="G96" t="n">
        <v>2.9</v>
      </c>
      <c r="H96" t="n">
        <v>1</v>
      </c>
      <c r="I96" t="n">
        <v>1</v>
      </c>
      <c r="J96" t="n">
        <v>4</v>
      </c>
      <c r="K96" t="n">
        <v>0</v>
      </c>
      <c r="L96" t="n">
        <v>0</v>
      </c>
      <c r="M96" t="n">
        <v>0</v>
      </c>
      <c r="N96" t="n">
        <v>0</v>
      </c>
      <c r="O96" t="n">
        <v>4</v>
      </c>
      <c r="P96" t="n">
        <v>0</v>
      </c>
      <c r="Q96" t="n">
        <v>6</v>
      </c>
      <c r="R96" s="2" t="inlineStr">
        <is>
          <t>Mindre bastardsvärmare
Skogsklocka
Smalsprötad bastardsvärmare
Tallticka
Fällmossa
Blåsippa</t>
        </is>
      </c>
      <c r="S96">
        <f>HYPERLINK("https://klasma.github.io/Logging_VASTERVIK/artfynd/A 11740-2023.xlsx", "A 11740-2023")</f>
        <v/>
      </c>
      <c r="T96">
        <f>HYPERLINK("https://klasma.github.io/Logging_VASTERVIK/kartor/A 11740-2023.png", "A 11740-2023")</f>
        <v/>
      </c>
      <c r="V96">
        <f>HYPERLINK("https://klasma.github.io/Logging_VASTERVIK/klagomål/A 11740-2023.docx", "A 11740-2023")</f>
        <v/>
      </c>
      <c r="W96">
        <f>HYPERLINK("https://klasma.github.io/Logging_VASTERVIK/klagomålsmail/A 11740-2023.docx", "A 11740-2023")</f>
        <v/>
      </c>
      <c r="X96">
        <f>HYPERLINK("https://klasma.github.io/Logging_VASTERVIK/tillsyn/A 11740-2023.docx", "A 11740-2023")</f>
        <v/>
      </c>
      <c r="Y96">
        <f>HYPERLINK("https://klasma.github.io/Logging_VASTERVIK/tillsynsmail/A 11740-2023.docx", "A 11740-2023")</f>
        <v/>
      </c>
    </row>
    <row r="97" ht="15" customHeight="1">
      <c r="A97" t="inlineStr">
        <is>
          <t>A 27636-2023</t>
        </is>
      </c>
      <c r="B97" s="1" t="n">
        <v>45097</v>
      </c>
      <c r="C97" s="1" t="n">
        <v>45190</v>
      </c>
      <c r="D97" t="inlineStr">
        <is>
          <t>KALMAR LÄN</t>
        </is>
      </c>
      <c r="E97" t="inlineStr">
        <is>
          <t>MÖRBYLÅNGA</t>
        </is>
      </c>
      <c r="G97" t="n">
        <v>7.4</v>
      </c>
      <c r="H97" t="n">
        <v>2</v>
      </c>
      <c r="I97" t="n">
        <v>1</v>
      </c>
      <c r="J97" t="n">
        <v>2</v>
      </c>
      <c r="K97" t="n">
        <v>0</v>
      </c>
      <c r="L97" t="n">
        <v>1</v>
      </c>
      <c r="M97" t="n">
        <v>0</v>
      </c>
      <c r="N97" t="n">
        <v>0</v>
      </c>
      <c r="O97" t="n">
        <v>3</v>
      </c>
      <c r="P97" t="n">
        <v>1</v>
      </c>
      <c r="Q97" t="n">
        <v>6</v>
      </c>
      <c r="R97" s="2" t="inlineStr">
        <is>
          <t>Ask
Backtimjan
Solvända
Murgröna
Alvarmalört
Gullviva</t>
        </is>
      </c>
      <c r="S97">
        <f>HYPERLINK("https://klasma.github.io/Logging_MORBYLANGA/artfynd/A 27636-2023.xlsx", "A 27636-2023")</f>
        <v/>
      </c>
      <c r="T97">
        <f>HYPERLINK("https://klasma.github.io/Logging_MORBYLANGA/kartor/A 27636-2023.png", "A 27636-2023")</f>
        <v/>
      </c>
      <c r="V97">
        <f>HYPERLINK("https://klasma.github.io/Logging_MORBYLANGA/klagomål/A 27636-2023.docx", "A 27636-2023")</f>
        <v/>
      </c>
      <c r="W97">
        <f>HYPERLINK("https://klasma.github.io/Logging_MORBYLANGA/klagomålsmail/A 27636-2023.docx", "A 27636-2023")</f>
        <v/>
      </c>
      <c r="X97">
        <f>HYPERLINK("https://klasma.github.io/Logging_MORBYLANGA/tillsyn/A 27636-2023.docx", "A 27636-2023")</f>
        <v/>
      </c>
      <c r="Y97">
        <f>HYPERLINK("https://klasma.github.io/Logging_MORBYLANGA/tillsynsmail/A 27636-2023.docx", "A 27636-2023")</f>
        <v/>
      </c>
    </row>
    <row r="98" ht="15" customHeight="1">
      <c r="A98" t="inlineStr">
        <is>
          <t>A 39231-2018</t>
        </is>
      </c>
      <c r="B98" s="1" t="n">
        <v>43339</v>
      </c>
      <c r="C98" s="1" t="n">
        <v>45190</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45190</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45190</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45190</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45190</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45190</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45190</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45190</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45190</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45190</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45190</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45190</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45190</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45190</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45190</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45190</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45190</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45190</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45190</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45190</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45190</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45190</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45190</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45190</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45190</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45190</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45190</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45190</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45190</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45190</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45190</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45190</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45190</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45190</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45190</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45190</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45190</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45190</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45190</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45190</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45190</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45190</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38049-2020</t>
        </is>
      </c>
      <c r="B140" s="1" t="n">
        <v>44057</v>
      </c>
      <c r="C140" s="1" t="n">
        <v>45190</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 "A 38049-2020")</f>
        <v/>
      </c>
      <c r="T140">
        <f>HYPERLINK("https://klasma.github.io/Logging_KALMAR/kartor/A 38049-2020.png", "A 38049-2020")</f>
        <v/>
      </c>
      <c r="U140">
        <f>HYPERLINK("https://klasma.github.io/Logging_KALMAR/knärot/A 38049-2020.png", "A 38049-2020")</f>
        <v/>
      </c>
      <c r="V140">
        <f>HYPERLINK("https://klasma.github.io/Logging_KALMAR/klagomål/A 38049-2020.docx", "A 38049-2020")</f>
        <v/>
      </c>
      <c r="W140">
        <f>HYPERLINK("https://klasma.github.io/Logging_KALMAR/klagomålsmail/A 38049-2020.docx", "A 38049-2020")</f>
        <v/>
      </c>
      <c r="X140">
        <f>HYPERLINK("https://klasma.github.io/Logging_KALMAR/tillsyn/A 38049-2020.docx", "A 38049-2020")</f>
        <v/>
      </c>
      <c r="Y140">
        <f>HYPERLINK("https://klasma.github.io/Logging_KALMAR/tillsynsmail/A 38049-2020.docx", "A 38049-2020")</f>
        <v/>
      </c>
    </row>
    <row r="141" ht="15" customHeight="1">
      <c r="A141" t="inlineStr">
        <is>
          <t>A 41561-2020</t>
        </is>
      </c>
      <c r="B141" s="1" t="n">
        <v>44074</v>
      </c>
      <c r="C141" s="1" t="n">
        <v>45190</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 "A 41561-2020")</f>
        <v/>
      </c>
      <c r="T141">
        <f>HYPERLINK("https://klasma.github.io/Logging_BORGHOLM/kartor/A 41561-2020.png", "A 41561-2020")</f>
        <v/>
      </c>
      <c r="V141">
        <f>HYPERLINK("https://klasma.github.io/Logging_BORGHOLM/klagomål/A 41561-2020.docx", "A 41561-2020")</f>
        <v/>
      </c>
      <c r="W141">
        <f>HYPERLINK("https://klasma.github.io/Logging_BORGHOLM/klagomålsmail/A 41561-2020.docx", "A 41561-2020")</f>
        <v/>
      </c>
      <c r="X141">
        <f>HYPERLINK("https://klasma.github.io/Logging_BORGHOLM/tillsyn/A 41561-2020.docx", "A 41561-2020")</f>
        <v/>
      </c>
      <c r="Y141">
        <f>HYPERLINK("https://klasma.github.io/Logging_BORGHOLM/tillsynsmail/A 41561-2020.docx", "A 41561-2020")</f>
        <v/>
      </c>
    </row>
    <row r="142" ht="15" customHeight="1">
      <c r="A142" t="inlineStr">
        <is>
          <t>A 42561-2020</t>
        </is>
      </c>
      <c r="B142" s="1" t="n">
        <v>44077</v>
      </c>
      <c r="C142" s="1" t="n">
        <v>45190</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 "A 42561-2020")</f>
        <v/>
      </c>
      <c r="T142">
        <f>HYPERLINK("https://klasma.github.io/Logging_NYBRO/kartor/A 42561-2020.png", "A 42561-2020")</f>
        <v/>
      </c>
      <c r="V142">
        <f>HYPERLINK("https://klasma.github.io/Logging_NYBRO/klagomål/A 42561-2020.docx", "A 42561-2020")</f>
        <v/>
      </c>
      <c r="W142">
        <f>HYPERLINK("https://klasma.github.io/Logging_NYBRO/klagomålsmail/A 42561-2020.docx", "A 42561-2020")</f>
        <v/>
      </c>
      <c r="X142">
        <f>HYPERLINK("https://klasma.github.io/Logging_NYBRO/tillsyn/A 42561-2020.docx", "A 42561-2020")</f>
        <v/>
      </c>
      <c r="Y142">
        <f>HYPERLINK("https://klasma.github.io/Logging_NYBRO/tillsynsmail/A 42561-2020.docx", "A 42561-2020")</f>
        <v/>
      </c>
    </row>
    <row r="143" ht="15" customHeight="1">
      <c r="A143" t="inlineStr">
        <is>
          <t>A 51578-2020</t>
        </is>
      </c>
      <c r="B143" s="1" t="n">
        <v>44109</v>
      </c>
      <c r="C143" s="1" t="n">
        <v>45190</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 "A 51578-2020")</f>
        <v/>
      </c>
      <c r="T143">
        <f>HYPERLINK("https://klasma.github.io/Logging_HOGSBY/kartor/A 51578-2020.png", "A 51578-2020")</f>
        <v/>
      </c>
      <c r="V143">
        <f>HYPERLINK("https://klasma.github.io/Logging_HOGSBY/klagomål/A 51578-2020.docx", "A 51578-2020")</f>
        <v/>
      </c>
      <c r="W143">
        <f>HYPERLINK("https://klasma.github.io/Logging_HOGSBY/klagomålsmail/A 51578-2020.docx", "A 51578-2020")</f>
        <v/>
      </c>
      <c r="X143">
        <f>HYPERLINK("https://klasma.github.io/Logging_HOGSBY/tillsyn/A 51578-2020.docx", "A 51578-2020")</f>
        <v/>
      </c>
      <c r="Y143">
        <f>HYPERLINK("https://klasma.github.io/Logging_HOGSBY/tillsynsmail/A 51578-2020.docx", "A 51578-2020")</f>
        <v/>
      </c>
    </row>
    <row r="144" ht="15" customHeight="1">
      <c r="A144" t="inlineStr">
        <is>
          <t>A 55210-2020</t>
        </is>
      </c>
      <c r="B144" s="1" t="n">
        <v>44130</v>
      </c>
      <c r="C144" s="1" t="n">
        <v>45190</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 "A 55210-2020")</f>
        <v/>
      </c>
      <c r="T144">
        <f>HYPERLINK("https://klasma.github.io/Logging_BORGHOLM/kartor/A 55210-2020.png", "A 55210-2020")</f>
        <v/>
      </c>
      <c r="V144">
        <f>HYPERLINK("https://klasma.github.io/Logging_BORGHOLM/klagomål/A 55210-2020.docx", "A 55210-2020")</f>
        <v/>
      </c>
      <c r="W144">
        <f>HYPERLINK("https://klasma.github.io/Logging_BORGHOLM/klagomålsmail/A 55210-2020.docx", "A 55210-2020")</f>
        <v/>
      </c>
      <c r="X144">
        <f>HYPERLINK("https://klasma.github.io/Logging_BORGHOLM/tillsyn/A 55210-2020.docx", "A 55210-2020")</f>
        <v/>
      </c>
      <c r="Y144">
        <f>HYPERLINK("https://klasma.github.io/Logging_BORGHOLM/tillsynsmail/A 55210-2020.docx", "A 55210-2020")</f>
        <v/>
      </c>
    </row>
    <row r="145" ht="15" customHeight="1">
      <c r="A145" t="inlineStr">
        <is>
          <t>A 61854-2020</t>
        </is>
      </c>
      <c r="B145" s="1" t="n">
        <v>44155</v>
      </c>
      <c r="C145" s="1" t="n">
        <v>45190</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 "A 61854-2020")</f>
        <v/>
      </c>
      <c r="T145">
        <f>HYPERLINK("https://klasma.github.io/Logging_MORBYLANGA/kartor/A 61854-2020.png", "A 61854-2020")</f>
        <v/>
      </c>
      <c r="V145">
        <f>HYPERLINK("https://klasma.github.io/Logging_MORBYLANGA/klagomål/A 61854-2020.docx", "A 61854-2020")</f>
        <v/>
      </c>
      <c r="W145">
        <f>HYPERLINK("https://klasma.github.io/Logging_MORBYLANGA/klagomålsmail/A 61854-2020.docx", "A 61854-2020")</f>
        <v/>
      </c>
      <c r="X145">
        <f>HYPERLINK("https://klasma.github.io/Logging_MORBYLANGA/tillsyn/A 61854-2020.docx", "A 61854-2020")</f>
        <v/>
      </c>
      <c r="Y145">
        <f>HYPERLINK("https://klasma.github.io/Logging_MORBYLANGA/tillsynsmail/A 61854-2020.docx", "A 61854-2020")</f>
        <v/>
      </c>
    </row>
    <row r="146" ht="15" customHeight="1">
      <c r="A146" t="inlineStr">
        <is>
          <t>A 10511-2021</t>
        </is>
      </c>
      <c r="B146" s="1" t="n">
        <v>44258</v>
      </c>
      <c r="C146" s="1" t="n">
        <v>45190</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 "A 10511-2021")</f>
        <v/>
      </c>
      <c r="T146">
        <f>HYPERLINK("https://klasma.github.io/Logging_HULTSFRED/kartor/A 10511-2021.png", "A 10511-2021")</f>
        <v/>
      </c>
      <c r="U146">
        <f>HYPERLINK("https://klasma.github.io/Logging_HULTSFRED/knärot/A 10511-2021.png", "A 10511-2021")</f>
        <v/>
      </c>
      <c r="V146">
        <f>HYPERLINK("https://klasma.github.io/Logging_HULTSFRED/klagomål/A 10511-2021.docx", "A 10511-2021")</f>
        <v/>
      </c>
      <c r="W146">
        <f>HYPERLINK("https://klasma.github.io/Logging_HULTSFRED/klagomålsmail/A 10511-2021.docx", "A 10511-2021")</f>
        <v/>
      </c>
      <c r="X146">
        <f>HYPERLINK("https://klasma.github.io/Logging_HULTSFRED/tillsyn/A 10511-2021.docx", "A 10511-2021")</f>
        <v/>
      </c>
      <c r="Y146">
        <f>HYPERLINK("https://klasma.github.io/Logging_HULTSFRED/tillsynsmail/A 10511-2021.docx", "A 10511-2021")</f>
        <v/>
      </c>
    </row>
    <row r="147" ht="15" customHeight="1">
      <c r="A147" t="inlineStr">
        <is>
          <t>A 28301-2021</t>
        </is>
      </c>
      <c r="B147" s="1" t="n">
        <v>44356</v>
      </c>
      <c r="C147" s="1" t="n">
        <v>45190</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 "A 28301-2021")</f>
        <v/>
      </c>
      <c r="T147">
        <f>HYPERLINK("https://klasma.github.io/Logging_OSKARSHAMN/kartor/A 28301-2021.png", "A 28301-2021")</f>
        <v/>
      </c>
      <c r="V147">
        <f>HYPERLINK("https://klasma.github.io/Logging_OSKARSHAMN/klagomål/A 28301-2021.docx", "A 28301-2021")</f>
        <v/>
      </c>
      <c r="W147">
        <f>HYPERLINK("https://klasma.github.io/Logging_OSKARSHAMN/klagomålsmail/A 28301-2021.docx", "A 28301-2021")</f>
        <v/>
      </c>
      <c r="X147">
        <f>HYPERLINK("https://klasma.github.io/Logging_OSKARSHAMN/tillsyn/A 28301-2021.docx", "A 28301-2021")</f>
        <v/>
      </c>
      <c r="Y147">
        <f>HYPERLINK("https://klasma.github.io/Logging_OSKARSHAMN/tillsynsmail/A 28301-2021.docx", "A 28301-2021")</f>
        <v/>
      </c>
    </row>
    <row r="148" ht="15" customHeight="1">
      <c r="A148" t="inlineStr">
        <is>
          <t>A 28297-2021</t>
        </is>
      </c>
      <c r="B148" s="1" t="n">
        <v>44356</v>
      </c>
      <c r="C148" s="1" t="n">
        <v>45190</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 "A 28297-2021")</f>
        <v/>
      </c>
      <c r="T148">
        <f>HYPERLINK("https://klasma.github.io/Logging_OSKARSHAMN/kartor/A 28297-2021.png", "A 28297-2021")</f>
        <v/>
      </c>
      <c r="V148">
        <f>HYPERLINK("https://klasma.github.io/Logging_OSKARSHAMN/klagomål/A 28297-2021.docx", "A 28297-2021")</f>
        <v/>
      </c>
      <c r="W148">
        <f>HYPERLINK("https://klasma.github.io/Logging_OSKARSHAMN/klagomålsmail/A 28297-2021.docx", "A 28297-2021")</f>
        <v/>
      </c>
      <c r="X148">
        <f>HYPERLINK("https://klasma.github.io/Logging_OSKARSHAMN/tillsyn/A 28297-2021.docx", "A 28297-2021")</f>
        <v/>
      </c>
      <c r="Y148">
        <f>HYPERLINK("https://klasma.github.io/Logging_OSKARSHAMN/tillsynsmail/A 28297-2021.docx", "A 28297-2021")</f>
        <v/>
      </c>
    </row>
    <row r="149" ht="15" customHeight="1">
      <c r="A149" t="inlineStr">
        <is>
          <t>A 42768-2021</t>
        </is>
      </c>
      <c r="B149" s="1" t="n">
        <v>44428</v>
      </c>
      <c r="C149" s="1" t="n">
        <v>45190</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 "A 42768-2021")</f>
        <v/>
      </c>
      <c r="T149">
        <f>HYPERLINK("https://klasma.github.io/Logging_NYBRO/kartor/A 42768-2021.png", "A 42768-2021")</f>
        <v/>
      </c>
      <c r="U149">
        <f>HYPERLINK("https://klasma.github.io/Logging_NYBRO/knärot/A 42768-2021.png", "A 42768-2021")</f>
        <v/>
      </c>
      <c r="V149">
        <f>HYPERLINK("https://klasma.github.io/Logging_NYBRO/klagomål/A 42768-2021.docx", "A 42768-2021")</f>
        <v/>
      </c>
      <c r="W149">
        <f>HYPERLINK("https://klasma.github.io/Logging_NYBRO/klagomålsmail/A 42768-2021.docx", "A 42768-2021")</f>
        <v/>
      </c>
      <c r="X149">
        <f>HYPERLINK("https://klasma.github.io/Logging_NYBRO/tillsyn/A 42768-2021.docx", "A 42768-2021")</f>
        <v/>
      </c>
      <c r="Y149">
        <f>HYPERLINK("https://klasma.github.io/Logging_NYBRO/tillsynsmail/A 42768-2021.docx", "A 42768-2021")</f>
        <v/>
      </c>
    </row>
    <row r="150" ht="15" customHeight="1">
      <c r="A150" t="inlineStr">
        <is>
          <t>A 50720-2021</t>
        </is>
      </c>
      <c r="B150" s="1" t="n">
        <v>44459</v>
      </c>
      <c r="C150" s="1" t="n">
        <v>45190</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 "A 50720-2021")</f>
        <v/>
      </c>
      <c r="T150">
        <f>HYPERLINK("https://klasma.github.io/Logging_BORGHOLM/kartor/A 50720-2021.png", "A 50720-2021")</f>
        <v/>
      </c>
      <c r="V150">
        <f>HYPERLINK("https://klasma.github.io/Logging_BORGHOLM/klagomål/A 50720-2021.docx", "A 50720-2021")</f>
        <v/>
      </c>
      <c r="W150">
        <f>HYPERLINK("https://klasma.github.io/Logging_BORGHOLM/klagomålsmail/A 50720-2021.docx", "A 50720-2021")</f>
        <v/>
      </c>
      <c r="X150">
        <f>HYPERLINK("https://klasma.github.io/Logging_BORGHOLM/tillsyn/A 50720-2021.docx", "A 50720-2021")</f>
        <v/>
      </c>
      <c r="Y150">
        <f>HYPERLINK("https://klasma.github.io/Logging_BORGHOLM/tillsynsmail/A 50720-2021.docx", "A 50720-2021")</f>
        <v/>
      </c>
    </row>
    <row r="151" ht="15" customHeight="1">
      <c r="A151" t="inlineStr">
        <is>
          <t>A 55135-2021</t>
        </is>
      </c>
      <c r="B151" s="1" t="n">
        <v>44474</v>
      </c>
      <c r="C151" s="1" t="n">
        <v>45190</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 "A 55135-2021")</f>
        <v/>
      </c>
      <c r="T151">
        <f>HYPERLINK("https://klasma.github.io/Logging_HULTSFRED/kartor/A 55135-2021.png", "A 55135-2021")</f>
        <v/>
      </c>
      <c r="U151">
        <f>HYPERLINK("https://klasma.github.io/Logging_HULTSFRED/knärot/A 55135-2021.png", "A 55135-2021")</f>
        <v/>
      </c>
      <c r="V151">
        <f>HYPERLINK("https://klasma.github.io/Logging_HULTSFRED/klagomål/A 55135-2021.docx", "A 55135-2021")</f>
        <v/>
      </c>
      <c r="W151">
        <f>HYPERLINK("https://klasma.github.io/Logging_HULTSFRED/klagomålsmail/A 55135-2021.docx", "A 55135-2021")</f>
        <v/>
      </c>
      <c r="X151">
        <f>HYPERLINK("https://klasma.github.io/Logging_HULTSFRED/tillsyn/A 55135-2021.docx", "A 55135-2021")</f>
        <v/>
      </c>
      <c r="Y151">
        <f>HYPERLINK("https://klasma.github.io/Logging_HULTSFRED/tillsynsmail/A 55135-2021.docx", "A 55135-2021")</f>
        <v/>
      </c>
    </row>
    <row r="152" ht="15" customHeight="1">
      <c r="A152" t="inlineStr">
        <is>
          <t>A 55017-2021</t>
        </is>
      </c>
      <c r="B152" s="1" t="n">
        <v>44474</v>
      </c>
      <c r="C152" s="1" t="n">
        <v>45190</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 "A 55017-2021")</f>
        <v/>
      </c>
      <c r="T152">
        <f>HYPERLINK("https://klasma.github.io/Logging_VASTERVIK/kartor/A 55017-2021.png", "A 55017-2021")</f>
        <v/>
      </c>
      <c r="U152">
        <f>HYPERLINK("https://klasma.github.io/Logging_VASTERVIK/knärot/A 55017-2021.png", "A 55017-2021")</f>
        <v/>
      </c>
      <c r="V152">
        <f>HYPERLINK("https://klasma.github.io/Logging_VASTERVIK/klagomål/A 55017-2021.docx", "A 55017-2021")</f>
        <v/>
      </c>
      <c r="W152">
        <f>HYPERLINK("https://klasma.github.io/Logging_VASTERVIK/klagomålsmail/A 55017-2021.docx", "A 55017-2021")</f>
        <v/>
      </c>
      <c r="X152">
        <f>HYPERLINK("https://klasma.github.io/Logging_VASTERVIK/tillsyn/A 55017-2021.docx", "A 55017-2021")</f>
        <v/>
      </c>
      <c r="Y152">
        <f>HYPERLINK("https://klasma.github.io/Logging_VASTERVIK/tillsynsmail/A 55017-2021.docx", "A 55017-2021")</f>
        <v/>
      </c>
    </row>
    <row r="153" ht="15" customHeight="1">
      <c r="A153" t="inlineStr">
        <is>
          <t>A 63850-2021</t>
        </is>
      </c>
      <c r="B153" s="1" t="n">
        <v>44505</v>
      </c>
      <c r="C153" s="1" t="n">
        <v>45190</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 "A 63850-2021")</f>
        <v/>
      </c>
      <c r="T153">
        <f>HYPERLINK("https://klasma.github.io/Logging_VASTERVIK/kartor/A 63850-2021.png", "A 63850-2021")</f>
        <v/>
      </c>
      <c r="U153">
        <f>HYPERLINK("https://klasma.github.io/Logging_VASTERVIK/knärot/A 63850-2021.png", "A 63850-2021")</f>
        <v/>
      </c>
      <c r="V153">
        <f>HYPERLINK("https://klasma.github.io/Logging_VASTERVIK/klagomål/A 63850-2021.docx", "A 63850-2021")</f>
        <v/>
      </c>
      <c r="W153">
        <f>HYPERLINK("https://klasma.github.io/Logging_VASTERVIK/klagomålsmail/A 63850-2021.docx", "A 63850-2021")</f>
        <v/>
      </c>
      <c r="X153">
        <f>HYPERLINK("https://klasma.github.io/Logging_VASTERVIK/tillsyn/A 63850-2021.docx", "A 63850-2021")</f>
        <v/>
      </c>
      <c r="Y153">
        <f>HYPERLINK("https://klasma.github.io/Logging_VASTERVIK/tillsynsmail/A 63850-2021.docx", "A 63850-2021")</f>
        <v/>
      </c>
    </row>
    <row r="154" ht="15" customHeight="1">
      <c r="A154" t="inlineStr">
        <is>
          <t>A 73465-2021</t>
        </is>
      </c>
      <c r="B154" s="1" t="n">
        <v>44551</v>
      </c>
      <c r="C154" s="1" t="n">
        <v>45190</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 "A 73465-2021")</f>
        <v/>
      </c>
      <c r="T154">
        <f>HYPERLINK("https://klasma.github.io/Logging_HULTSFRED/kartor/A 73465-2021.png", "A 73465-2021")</f>
        <v/>
      </c>
      <c r="U154">
        <f>HYPERLINK("https://klasma.github.io/Logging_HULTSFRED/knärot/A 73465-2021.png", "A 73465-2021")</f>
        <v/>
      </c>
      <c r="V154">
        <f>HYPERLINK("https://klasma.github.io/Logging_HULTSFRED/klagomål/A 73465-2021.docx", "A 73465-2021")</f>
        <v/>
      </c>
      <c r="W154">
        <f>HYPERLINK("https://klasma.github.io/Logging_HULTSFRED/klagomålsmail/A 73465-2021.docx", "A 73465-2021")</f>
        <v/>
      </c>
      <c r="X154">
        <f>HYPERLINK("https://klasma.github.io/Logging_HULTSFRED/tillsyn/A 73465-2021.docx", "A 73465-2021")</f>
        <v/>
      </c>
      <c r="Y154">
        <f>HYPERLINK("https://klasma.github.io/Logging_HULTSFRED/tillsynsmail/A 73465-2021.docx", "A 73465-2021")</f>
        <v/>
      </c>
    </row>
    <row r="155" ht="15" customHeight="1">
      <c r="A155" t="inlineStr">
        <is>
          <t>A 1650-2022</t>
        </is>
      </c>
      <c r="B155" s="1" t="n">
        <v>44574</v>
      </c>
      <c r="C155" s="1" t="n">
        <v>45190</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 "A 1650-2022")</f>
        <v/>
      </c>
      <c r="T155">
        <f>HYPERLINK("https://klasma.github.io/Logging_OSKARSHAMN/kartor/A 1650-2022.png", "A 1650-2022")</f>
        <v/>
      </c>
      <c r="U155">
        <f>HYPERLINK("https://klasma.github.io/Logging_OSKARSHAMN/knärot/A 1650-2022.png", "A 1650-2022")</f>
        <v/>
      </c>
      <c r="V155">
        <f>HYPERLINK("https://klasma.github.io/Logging_OSKARSHAMN/klagomål/A 1650-2022.docx", "A 1650-2022")</f>
        <v/>
      </c>
      <c r="W155">
        <f>HYPERLINK("https://klasma.github.io/Logging_OSKARSHAMN/klagomålsmail/A 1650-2022.docx", "A 1650-2022")</f>
        <v/>
      </c>
      <c r="X155">
        <f>HYPERLINK("https://klasma.github.io/Logging_OSKARSHAMN/tillsyn/A 1650-2022.docx", "A 1650-2022")</f>
        <v/>
      </c>
      <c r="Y155">
        <f>HYPERLINK("https://klasma.github.io/Logging_OSKARSHAMN/tillsynsmail/A 1650-2022.docx", "A 1650-2022")</f>
        <v/>
      </c>
    </row>
    <row r="156" ht="15" customHeight="1">
      <c r="A156" t="inlineStr">
        <is>
          <t>A 35331-2022</t>
        </is>
      </c>
      <c r="B156" s="1" t="n">
        <v>44798</v>
      </c>
      <c r="C156" s="1" t="n">
        <v>45190</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 "A 35331-2022")</f>
        <v/>
      </c>
      <c r="T156">
        <f>HYPERLINK("https://klasma.github.io/Logging_VIMMERBY/kartor/A 35331-2022.png", "A 35331-2022")</f>
        <v/>
      </c>
      <c r="V156">
        <f>HYPERLINK("https://klasma.github.io/Logging_VIMMERBY/klagomål/A 35331-2022.docx", "A 35331-2022")</f>
        <v/>
      </c>
      <c r="W156">
        <f>HYPERLINK("https://klasma.github.io/Logging_VIMMERBY/klagomålsmail/A 35331-2022.docx", "A 35331-2022")</f>
        <v/>
      </c>
      <c r="X156">
        <f>HYPERLINK("https://klasma.github.io/Logging_VIMMERBY/tillsyn/A 35331-2022.docx", "A 35331-2022")</f>
        <v/>
      </c>
      <c r="Y156">
        <f>HYPERLINK("https://klasma.github.io/Logging_VIMMERBY/tillsynsmail/A 35331-2022.docx", "A 35331-2022")</f>
        <v/>
      </c>
    </row>
    <row r="157" ht="15" customHeight="1">
      <c r="A157" t="inlineStr">
        <is>
          <t>A 51923-2022</t>
        </is>
      </c>
      <c r="B157" s="1" t="n">
        <v>44868</v>
      </c>
      <c r="C157" s="1" t="n">
        <v>45190</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 "A 51923-2022")</f>
        <v/>
      </c>
      <c r="T157">
        <f>HYPERLINK("https://klasma.github.io/Logging_VASTERVIK/kartor/A 51923-2022.png", "A 51923-2022")</f>
        <v/>
      </c>
      <c r="V157">
        <f>HYPERLINK("https://klasma.github.io/Logging_VASTERVIK/klagomål/A 51923-2022.docx", "A 51923-2022")</f>
        <v/>
      </c>
      <c r="W157">
        <f>HYPERLINK("https://klasma.github.io/Logging_VASTERVIK/klagomålsmail/A 51923-2022.docx", "A 51923-2022")</f>
        <v/>
      </c>
      <c r="X157">
        <f>HYPERLINK("https://klasma.github.io/Logging_VASTERVIK/tillsyn/A 51923-2022.docx", "A 51923-2022")</f>
        <v/>
      </c>
      <c r="Y157">
        <f>HYPERLINK("https://klasma.github.io/Logging_VASTERVIK/tillsynsmail/A 51923-2022.docx", "A 51923-2022")</f>
        <v/>
      </c>
    </row>
    <row r="158" ht="15" customHeight="1">
      <c r="A158" t="inlineStr">
        <is>
          <t>A 53167-2022</t>
        </is>
      </c>
      <c r="B158" s="1" t="n">
        <v>44873</v>
      </c>
      <c r="C158" s="1" t="n">
        <v>45190</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 "A 53167-2022")</f>
        <v/>
      </c>
      <c r="T158">
        <f>HYPERLINK("https://klasma.github.io/Logging_MONSTERAS/kartor/A 53167-2022.png", "A 53167-2022")</f>
        <v/>
      </c>
      <c r="V158">
        <f>HYPERLINK("https://klasma.github.io/Logging_MONSTERAS/klagomål/A 53167-2022.docx", "A 53167-2022")</f>
        <v/>
      </c>
      <c r="W158">
        <f>HYPERLINK("https://klasma.github.io/Logging_MONSTERAS/klagomålsmail/A 53167-2022.docx", "A 53167-2022")</f>
        <v/>
      </c>
      <c r="X158">
        <f>HYPERLINK("https://klasma.github.io/Logging_MONSTERAS/tillsyn/A 53167-2022.docx", "A 53167-2022")</f>
        <v/>
      </c>
      <c r="Y158">
        <f>HYPERLINK("https://klasma.github.io/Logging_MONSTERAS/tillsynsmail/A 53167-2022.docx", "A 53167-2022")</f>
        <v/>
      </c>
    </row>
    <row r="159" ht="15" customHeight="1">
      <c r="A159" t="inlineStr">
        <is>
          <t>A 53368-2022</t>
        </is>
      </c>
      <c r="B159" s="1" t="n">
        <v>44879</v>
      </c>
      <c r="C159" s="1" t="n">
        <v>45190</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 "A 53368-2022")</f>
        <v/>
      </c>
      <c r="T159">
        <f>HYPERLINK("https://klasma.github.io/Logging_NYBRO/kartor/A 53368-2022.png", "A 53368-2022")</f>
        <v/>
      </c>
      <c r="V159">
        <f>HYPERLINK("https://klasma.github.io/Logging_NYBRO/klagomål/A 53368-2022.docx", "A 53368-2022")</f>
        <v/>
      </c>
      <c r="W159">
        <f>HYPERLINK("https://klasma.github.io/Logging_NYBRO/klagomålsmail/A 53368-2022.docx", "A 53368-2022")</f>
        <v/>
      </c>
      <c r="X159">
        <f>HYPERLINK("https://klasma.github.io/Logging_NYBRO/tillsyn/A 53368-2022.docx", "A 53368-2022")</f>
        <v/>
      </c>
      <c r="Y159">
        <f>HYPERLINK("https://klasma.github.io/Logging_NYBRO/tillsynsmail/A 53368-2022.docx", "A 53368-2022")</f>
        <v/>
      </c>
    </row>
    <row r="160" ht="15" customHeight="1">
      <c r="A160" t="inlineStr">
        <is>
          <t>A 6933-2023</t>
        </is>
      </c>
      <c r="B160" s="1" t="n">
        <v>44951</v>
      </c>
      <c r="C160" s="1" t="n">
        <v>45190</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 "A 6933-2023")</f>
        <v/>
      </c>
      <c r="T160">
        <f>HYPERLINK("https://klasma.github.io/Logging_KALMAR/kartor/A 6933-2023.png", "A 6933-2023")</f>
        <v/>
      </c>
      <c r="U160">
        <f>HYPERLINK("https://klasma.github.io/Logging_KALMAR/knärot/A 6933-2023.png", "A 6933-2023")</f>
        <v/>
      </c>
      <c r="V160">
        <f>HYPERLINK("https://klasma.github.io/Logging_KALMAR/klagomål/A 6933-2023.docx", "A 6933-2023")</f>
        <v/>
      </c>
      <c r="W160">
        <f>HYPERLINK("https://klasma.github.io/Logging_KALMAR/klagomålsmail/A 6933-2023.docx", "A 6933-2023")</f>
        <v/>
      </c>
      <c r="X160">
        <f>HYPERLINK("https://klasma.github.io/Logging_KALMAR/tillsyn/A 6933-2023.docx", "A 6933-2023")</f>
        <v/>
      </c>
      <c r="Y160">
        <f>HYPERLINK("https://klasma.github.io/Logging_KALMAR/tillsynsmail/A 6933-2023.docx", "A 6933-2023")</f>
        <v/>
      </c>
    </row>
    <row r="161" ht="15" customHeight="1">
      <c r="A161" t="inlineStr">
        <is>
          <t>A 8929-2023</t>
        </is>
      </c>
      <c r="B161" s="1" t="n">
        <v>44979</v>
      </c>
      <c r="C161" s="1" t="n">
        <v>45190</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 "A 8929-2023")</f>
        <v/>
      </c>
      <c r="T161">
        <f>HYPERLINK("https://klasma.github.io/Logging_KALMAR/kartor/A 8929-2023.png", "A 8929-2023")</f>
        <v/>
      </c>
      <c r="V161">
        <f>HYPERLINK("https://klasma.github.io/Logging_KALMAR/klagomål/A 8929-2023.docx", "A 8929-2023")</f>
        <v/>
      </c>
      <c r="W161">
        <f>HYPERLINK("https://klasma.github.io/Logging_KALMAR/klagomålsmail/A 8929-2023.docx", "A 8929-2023")</f>
        <v/>
      </c>
      <c r="X161">
        <f>HYPERLINK("https://klasma.github.io/Logging_KALMAR/tillsyn/A 8929-2023.docx", "A 8929-2023")</f>
        <v/>
      </c>
      <c r="Y161">
        <f>HYPERLINK("https://klasma.github.io/Logging_KALMAR/tillsynsmail/A 8929-2023.docx", "A 8929-2023")</f>
        <v/>
      </c>
    </row>
    <row r="162" ht="15" customHeight="1">
      <c r="A162" t="inlineStr">
        <is>
          <t>A 12870-2023</t>
        </is>
      </c>
      <c r="B162" s="1" t="n">
        <v>45001</v>
      </c>
      <c r="C162" s="1" t="n">
        <v>45190</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 "A 12870-2023")</f>
        <v/>
      </c>
      <c r="T162">
        <f>HYPERLINK("https://klasma.github.io/Logging_TORSAS/kartor/A 12870-2023.png", "A 12870-2023")</f>
        <v/>
      </c>
      <c r="V162">
        <f>HYPERLINK("https://klasma.github.io/Logging_TORSAS/klagomål/A 12870-2023.docx", "A 12870-2023")</f>
        <v/>
      </c>
      <c r="W162">
        <f>HYPERLINK("https://klasma.github.io/Logging_TORSAS/klagomålsmail/A 12870-2023.docx", "A 12870-2023")</f>
        <v/>
      </c>
      <c r="X162">
        <f>HYPERLINK("https://klasma.github.io/Logging_TORSAS/tillsyn/A 12870-2023.docx", "A 12870-2023")</f>
        <v/>
      </c>
      <c r="Y162">
        <f>HYPERLINK("https://klasma.github.io/Logging_TORSAS/tillsynsmail/A 12870-2023.docx", "A 12870-2023")</f>
        <v/>
      </c>
    </row>
    <row r="163" ht="15" customHeight="1">
      <c r="A163" t="inlineStr">
        <is>
          <t>A 71226-2018</t>
        </is>
      </c>
      <c r="B163" s="1" t="n">
        <v>43453</v>
      </c>
      <c r="C163" s="1" t="n">
        <v>45190</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 "A 71226-2018")</f>
        <v/>
      </c>
      <c r="T163">
        <f>HYPERLINK("https://klasma.github.io/Logging_VIMMERBY/kartor/A 71226-2018.png", "A 71226-2018")</f>
        <v/>
      </c>
      <c r="V163">
        <f>HYPERLINK("https://klasma.github.io/Logging_VIMMERBY/klagomål/A 71226-2018.docx", "A 71226-2018")</f>
        <v/>
      </c>
      <c r="W163">
        <f>HYPERLINK("https://klasma.github.io/Logging_VIMMERBY/klagomålsmail/A 71226-2018.docx", "A 71226-2018")</f>
        <v/>
      </c>
      <c r="X163">
        <f>HYPERLINK("https://klasma.github.io/Logging_VIMMERBY/tillsyn/A 71226-2018.docx", "A 71226-2018")</f>
        <v/>
      </c>
      <c r="Y163">
        <f>HYPERLINK("https://klasma.github.io/Logging_VIMMERBY/tillsynsmail/A 71226-2018.docx", "A 71226-2018")</f>
        <v/>
      </c>
    </row>
    <row r="164" ht="15" customHeight="1">
      <c r="A164" t="inlineStr">
        <is>
          <t>A 3816-2019</t>
        </is>
      </c>
      <c r="B164" s="1" t="n">
        <v>43475</v>
      </c>
      <c r="C164" s="1" t="n">
        <v>45190</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 "A 3816-2019")</f>
        <v/>
      </c>
      <c r="T164">
        <f>HYPERLINK("https://klasma.github.io/Logging_HOGSBY/kartor/A 3816-2019.png", "A 3816-2019")</f>
        <v/>
      </c>
      <c r="V164">
        <f>HYPERLINK("https://klasma.github.io/Logging_HOGSBY/klagomål/A 3816-2019.docx", "A 3816-2019")</f>
        <v/>
      </c>
      <c r="W164">
        <f>HYPERLINK("https://klasma.github.io/Logging_HOGSBY/klagomålsmail/A 3816-2019.docx", "A 3816-2019")</f>
        <v/>
      </c>
      <c r="X164">
        <f>HYPERLINK("https://klasma.github.io/Logging_HOGSBY/tillsyn/A 3816-2019.docx", "A 3816-2019")</f>
        <v/>
      </c>
      <c r="Y164">
        <f>HYPERLINK("https://klasma.github.io/Logging_HOGSBY/tillsynsmail/A 3816-2019.docx", "A 3816-2019")</f>
        <v/>
      </c>
    </row>
    <row r="165" ht="15" customHeight="1">
      <c r="A165" t="inlineStr">
        <is>
          <t>A 3993-2019</t>
        </is>
      </c>
      <c r="B165" s="1" t="n">
        <v>43475</v>
      </c>
      <c r="C165" s="1" t="n">
        <v>45190</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 "A 3993-2019")</f>
        <v/>
      </c>
      <c r="T165">
        <f>HYPERLINK("https://klasma.github.io/Logging_NYBRO/kartor/A 3993-2019.png", "A 3993-2019")</f>
        <v/>
      </c>
      <c r="V165">
        <f>HYPERLINK("https://klasma.github.io/Logging_NYBRO/klagomål/A 3993-2019.docx", "A 3993-2019")</f>
        <v/>
      </c>
      <c r="W165">
        <f>HYPERLINK("https://klasma.github.io/Logging_NYBRO/klagomålsmail/A 3993-2019.docx", "A 3993-2019")</f>
        <v/>
      </c>
      <c r="X165">
        <f>HYPERLINK("https://klasma.github.io/Logging_NYBRO/tillsyn/A 3993-2019.docx", "A 3993-2019")</f>
        <v/>
      </c>
      <c r="Y165">
        <f>HYPERLINK("https://klasma.github.io/Logging_NYBRO/tillsynsmail/A 3993-2019.docx", "A 3993-2019")</f>
        <v/>
      </c>
    </row>
    <row r="166" ht="15" customHeight="1">
      <c r="A166" t="inlineStr">
        <is>
          <t>A 6157-2019</t>
        </is>
      </c>
      <c r="B166" s="1" t="n">
        <v>43493</v>
      </c>
      <c r="C166" s="1" t="n">
        <v>45190</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 "A 6157-2019")</f>
        <v/>
      </c>
      <c r="T166">
        <f>HYPERLINK("https://klasma.github.io/Logging_HOGSBY/kartor/A 6157-2019.png", "A 6157-2019")</f>
        <v/>
      </c>
      <c r="V166">
        <f>HYPERLINK("https://klasma.github.io/Logging_HOGSBY/klagomål/A 6157-2019.docx", "A 6157-2019")</f>
        <v/>
      </c>
      <c r="W166">
        <f>HYPERLINK("https://klasma.github.io/Logging_HOGSBY/klagomålsmail/A 6157-2019.docx", "A 6157-2019")</f>
        <v/>
      </c>
      <c r="X166">
        <f>HYPERLINK("https://klasma.github.io/Logging_HOGSBY/tillsyn/A 6157-2019.docx", "A 6157-2019")</f>
        <v/>
      </c>
      <c r="Y166">
        <f>HYPERLINK("https://klasma.github.io/Logging_HOGSBY/tillsynsmail/A 6157-2019.docx", "A 6157-2019")</f>
        <v/>
      </c>
    </row>
    <row r="167" ht="15" customHeight="1">
      <c r="A167" t="inlineStr">
        <is>
          <t>A 26717-2019</t>
        </is>
      </c>
      <c r="B167" s="1" t="n">
        <v>43613</v>
      </c>
      <c r="C167" s="1" t="n">
        <v>45190</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 "A 26717-2019")</f>
        <v/>
      </c>
      <c r="T167">
        <f>HYPERLINK("https://klasma.github.io/Logging_KALMAR/kartor/A 26717-2019.png", "A 26717-2019")</f>
        <v/>
      </c>
      <c r="U167">
        <f>HYPERLINK("https://klasma.github.io/Logging_KALMAR/knärot/A 26717-2019.png", "A 26717-2019")</f>
        <v/>
      </c>
      <c r="V167">
        <f>HYPERLINK("https://klasma.github.io/Logging_KALMAR/klagomål/A 26717-2019.docx", "A 26717-2019")</f>
        <v/>
      </c>
      <c r="W167">
        <f>HYPERLINK("https://klasma.github.io/Logging_KALMAR/klagomålsmail/A 26717-2019.docx", "A 26717-2019")</f>
        <v/>
      </c>
      <c r="X167">
        <f>HYPERLINK("https://klasma.github.io/Logging_KALMAR/tillsyn/A 26717-2019.docx", "A 26717-2019")</f>
        <v/>
      </c>
      <c r="Y167">
        <f>HYPERLINK("https://klasma.github.io/Logging_KALMAR/tillsynsmail/A 26717-2019.docx", "A 26717-2019")</f>
        <v/>
      </c>
    </row>
    <row r="168" ht="15" customHeight="1">
      <c r="A168" t="inlineStr">
        <is>
          <t>A 36349-2019</t>
        </is>
      </c>
      <c r="B168" s="1" t="n">
        <v>43670</v>
      </c>
      <c r="C168" s="1" t="n">
        <v>45190</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 "A 36349-2019")</f>
        <v/>
      </c>
      <c r="T168">
        <f>HYPERLINK("https://klasma.github.io/Logging_VIMMERBY/kartor/A 36349-2019.png", "A 36349-2019")</f>
        <v/>
      </c>
      <c r="V168">
        <f>HYPERLINK("https://klasma.github.io/Logging_VIMMERBY/klagomål/A 36349-2019.docx", "A 36349-2019")</f>
        <v/>
      </c>
      <c r="W168">
        <f>HYPERLINK("https://klasma.github.io/Logging_VIMMERBY/klagomålsmail/A 36349-2019.docx", "A 36349-2019")</f>
        <v/>
      </c>
      <c r="X168">
        <f>HYPERLINK("https://klasma.github.io/Logging_VIMMERBY/tillsyn/A 36349-2019.docx", "A 36349-2019")</f>
        <v/>
      </c>
      <c r="Y168">
        <f>HYPERLINK("https://klasma.github.io/Logging_VIMMERBY/tillsynsmail/A 36349-2019.docx", "A 36349-2019")</f>
        <v/>
      </c>
    </row>
    <row r="169" ht="15" customHeight="1">
      <c r="A169" t="inlineStr">
        <is>
          <t>A 48149-2019</t>
        </is>
      </c>
      <c r="B169" s="1" t="n">
        <v>43726</v>
      </c>
      <c r="C169" s="1" t="n">
        <v>45190</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 "A 48149-2019")</f>
        <v/>
      </c>
      <c r="T169">
        <f>HYPERLINK("https://klasma.github.io/Logging_BORGHOLM/kartor/A 48149-2019.png", "A 48149-2019")</f>
        <v/>
      </c>
      <c r="V169">
        <f>HYPERLINK("https://klasma.github.io/Logging_BORGHOLM/klagomål/A 48149-2019.docx", "A 48149-2019")</f>
        <v/>
      </c>
      <c r="W169">
        <f>HYPERLINK("https://klasma.github.io/Logging_BORGHOLM/klagomålsmail/A 48149-2019.docx", "A 48149-2019")</f>
        <v/>
      </c>
      <c r="X169">
        <f>HYPERLINK("https://klasma.github.io/Logging_BORGHOLM/tillsyn/A 48149-2019.docx", "A 48149-2019")</f>
        <v/>
      </c>
      <c r="Y169">
        <f>HYPERLINK("https://klasma.github.io/Logging_BORGHOLM/tillsynsmail/A 48149-2019.docx", "A 48149-2019")</f>
        <v/>
      </c>
    </row>
    <row r="170" ht="15" customHeight="1">
      <c r="A170" t="inlineStr">
        <is>
          <t>A 61247-2019</t>
        </is>
      </c>
      <c r="B170" s="1" t="n">
        <v>43783</v>
      </c>
      <c r="C170" s="1" t="n">
        <v>45190</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 "A 61247-2019")</f>
        <v/>
      </c>
      <c r="T170">
        <f>HYPERLINK("https://klasma.github.io/Logging_TORSAS/kartor/A 61247-2019.png", "A 61247-2019")</f>
        <v/>
      </c>
      <c r="V170">
        <f>HYPERLINK("https://klasma.github.io/Logging_TORSAS/klagomål/A 61247-2019.docx", "A 61247-2019")</f>
        <v/>
      </c>
      <c r="W170">
        <f>HYPERLINK("https://klasma.github.io/Logging_TORSAS/klagomålsmail/A 61247-2019.docx", "A 61247-2019")</f>
        <v/>
      </c>
      <c r="X170">
        <f>HYPERLINK("https://klasma.github.io/Logging_TORSAS/tillsyn/A 61247-2019.docx", "A 61247-2019")</f>
        <v/>
      </c>
      <c r="Y170">
        <f>HYPERLINK("https://klasma.github.io/Logging_TORSAS/tillsynsmail/A 61247-2019.docx", "A 61247-2019")</f>
        <v/>
      </c>
    </row>
    <row r="171" ht="15" customHeight="1">
      <c r="A171" t="inlineStr">
        <is>
          <t>A 61610-2019</t>
        </is>
      </c>
      <c r="B171" s="1" t="n">
        <v>43784</v>
      </c>
      <c r="C171" s="1" t="n">
        <v>45190</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 "A 61610-2019")</f>
        <v/>
      </c>
      <c r="T171">
        <f>HYPERLINK("https://klasma.github.io/Logging_HOGSBY/kartor/A 61610-2019.png", "A 61610-2019")</f>
        <v/>
      </c>
      <c r="V171">
        <f>HYPERLINK("https://klasma.github.io/Logging_HOGSBY/klagomål/A 61610-2019.docx", "A 61610-2019")</f>
        <v/>
      </c>
      <c r="W171">
        <f>HYPERLINK("https://klasma.github.io/Logging_HOGSBY/klagomålsmail/A 61610-2019.docx", "A 61610-2019")</f>
        <v/>
      </c>
      <c r="X171">
        <f>HYPERLINK("https://klasma.github.io/Logging_HOGSBY/tillsyn/A 61610-2019.docx", "A 61610-2019")</f>
        <v/>
      </c>
      <c r="Y171">
        <f>HYPERLINK("https://klasma.github.io/Logging_HOGSBY/tillsynsmail/A 61610-2019.docx", "A 61610-2019")</f>
        <v/>
      </c>
    </row>
    <row r="172" ht="15" customHeight="1">
      <c r="A172" t="inlineStr">
        <is>
          <t>A 6509-2020</t>
        </is>
      </c>
      <c r="B172" s="1" t="n">
        <v>43867</v>
      </c>
      <c r="C172" s="1" t="n">
        <v>45190</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 "A 6509-2020")</f>
        <v/>
      </c>
      <c r="T172">
        <f>HYPERLINK("https://klasma.github.io/Logging_MONSTERAS/kartor/A 6509-2020.png", "A 6509-2020")</f>
        <v/>
      </c>
      <c r="U172">
        <f>HYPERLINK("https://klasma.github.io/Logging_MONSTERAS/knärot/A 6509-2020.png", "A 6509-2020")</f>
        <v/>
      </c>
      <c r="V172">
        <f>HYPERLINK("https://klasma.github.io/Logging_MONSTERAS/klagomål/A 6509-2020.docx", "A 6509-2020")</f>
        <v/>
      </c>
      <c r="W172">
        <f>HYPERLINK("https://klasma.github.io/Logging_MONSTERAS/klagomålsmail/A 6509-2020.docx", "A 6509-2020")</f>
        <v/>
      </c>
      <c r="X172">
        <f>HYPERLINK("https://klasma.github.io/Logging_MONSTERAS/tillsyn/A 6509-2020.docx", "A 6509-2020")</f>
        <v/>
      </c>
      <c r="Y172">
        <f>HYPERLINK("https://klasma.github.io/Logging_MONSTERAS/tillsynsmail/A 6509-2020.docx", "A 6509-2020")</f>
        <v/>
      </c>
    </row>
    <row r="173" ht="15" customHeight="1">
      <c r="A173" t="inlineStr">
        <is>
          <t>A 9270-2020</t>
        </is>
      </c>
      <c r="B173" s="1" t="n">
        <v>43880</v>
      </c>
      <c r="C173" s="1" t="n">
        <v>45190</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 "A 9270-2020")</f>
        <v/>
      </c>
      <c r="T173">
        <f>HYPERLINK("https://klasma.github.io/Logging_MORBYLANGA/kartor/A 9270-2020.png", "A 9270-2020")</f>
        <v/>
      </c>
      <c r="V173">
        <f>HYPERLINK("https://klasma.github.io/Logging_MORBYLANGA/klagomål/A 9270-2020.docx", "A 9270-2020")</f>
        <v/>
      </c>
      <c r="W173">
        <f>HYPERLINK("https://klasma.github.io/Logging_MORBYLANGA/klagomålsmail/A 9270-2020.docx", "A 9270-2020")</f>
        <v/>
      </c>
      <c r="X173">
        <f>HYPERLINK("https://klasma.github.io/Logging_MORBYLANGA/tillsyn/A 9270-2020.docx", "A 9270-2020")</f>
        <v/>
      </c>
      <c r="Y173">
        <f>HYPERLINK("https://klasma.github.io/Logging_MORBYLANGA/tillsynsmail/A 9270-2020.docx", "A 9270-2020")</f>
        <v/>
      </c>
    </row>
    <row r="174" ht="15" customHeight="1">
      <c r="A174" t="inlineStr">
        <is>
          <t>A 10069-2020</t>
        </is>
      </c>
      <c r="B174" s="1" t="n">
        <v>43883</v>
      </c>
      <c r="C174" s="1" t="n">
        <v>45190</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 "A 10069-2020")</f>
        <v/>
      </c>
      <c r="T174">
        <f>HYPERLINK("https://klasma.github.io/Logging_OSKARSHAMN/kartor/A 10069-2020.png", "A 10069-2020")</f>
        <v/>
      </c>
      <c r="U174">
        <f>HYPERLINK("https://klasma.github.io/Logging_OSKARSHAMN/knärot/A 10069-2020.png", "A 10069-2020")</f>
        <v/>
      </c>
      <c r="V174">
        <f>HYPERLINK("https://klasma.github.io/Logging_OSKARSHAMN/klagomål/A 10069-2020.docx", "A 10069-2020")</f>
        <v/>
      </c>
      <c r="W174">
        <f>HYPERLINK("https://klasma.github.io/Logging_OSKARSHAMN/klagomålsmail/A 10069-2020.docx", "A 10069-2020")</f>
        <v/>
      </c>
      <c r="X174">
        <f>HYPERLINK("https://klasma.github.io/Logging_OSKARSHAMN/tillsyn/A 10069-2020.docx", "A 10069-2020")</f>
        <v/>
      </c>
      <c r="Y174">
        <f>HYPERLINK("https://klasma.github.io/Logging_OSKARSHAMN/tillsynsmail/A 10069-2020.docx", "A 10069-2020")</f>
        <v/>
      </c>
    </row>
    <row r="175" ht="15" customHeight="1">
      <c r="A175" t="inlineStr">
        <is>
          <t>A 25348-2020</t>
        </is>
      </c>
      <c r="B175" s="1" t="n">
        <v>43980</v>
      </c>
      <c r="C175" s="1" t="n">
        <v>45190</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 "A 25348-2020")</f>
        <v/>
      </c>
      <c r="T175">
        <f>HYPERLINK("https://klasma.github.io/Logging_MONSTERAS/kartor/A 25348-2020.png", "A 25348-2020")</f>
        <v/>
      </c>
      <c r="U175">
        <f>HYPERLINK("https://klasma.github.io/Logging_MONSTERAS/knärot/A 25348-2020.png", "A 25348-2020")</f>
        <v/>
      </c>
      <c r="V175">
        <f>HYPERLINK("https://klasma.github.io/Logging_MONSTERAS/klagomål/A 25348-2020.docx", "A 25348-2020")</f>
        <v/>
      </c>
      <c r="W175">
        <f>HYPERLINK("https://klasma.github.io/Logging_MONSTERAS/klagomålsmail/A 25348-2020.docx", "A 25348-2020")</f>
        <v/>
      </c>
      <c r="X175">
        <f>HYPERLINK("https://klasma.github.io/Logging_MONSTERAS/tillsyn/A 25348-2020.docx", "A 25348-2020")</f>
        <v/>
      </c>
      <c r="Y175">
        <f>HYPERLINK("https://klasma.github.io/Logging_MONSTERAS/tillsynsmail/A 25348-2020.docx", "A 25348-2020")</f>
        <v/>
      </c>
    </row>
    <row r="176" ht="15" customHeight="1">
      <c r="A176" t="inlineStr">
        <is>
          <t>A 57704-2020</t>
        </is>
      </c>
      <c r="B176" s="1" t="n">
        <v>44140</v>
      </c>
      <c r="C176" s="1" t="n">
        <v>45190</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 "A 57704-2020")</f>
        <v/>
      </c>
      <c r="T176">
        <f>HYPERLINK("https://klasma.github.io/Logging_MORBYLANGA/kartor/A 57704-2020.png", "A 57704-2020")</f>
        <v/>
      </c>
      <c r="V176">
        <f>HYPERLINK("https://klasma.github.io/Logging_MORBYLANGA/klagomål/A 57704-2020.docx", "A 57704-2020")</f>
        <v/>
      </c>
      <c r="W176">
        <f>HYPERLINK("https://klasma.github.io/Logging_MORBYLANGA/klagomålsmail/A 57704-2020.docx", "A 57704-2020")</f>
        <v/>
      </c>
      <c r="X176">
        <f>HYPERLINK("https://klasma.github.io/Logging_MORBYLANGA/tillsyn/A 57704-2020.docx", "A 57704-2020")</f>
        <v/>
      </c>
      <c r="Y176">
        <f>HYPERLINK("https://klasma.github.io/Logging_MORBYLANGA/tillsynsmail/A 57704-2020.docx", "A 57704-2020")</f>
        <v/>
      </c>
    </row>
    <row r="177" ht="15" customHeight="1">
      <c r="A177" t="inlineStr">
        <is>
          <t>A 58231-2020</t>
        </is>
      </c>
      <c r="B177" s="1" t="n">
        <v>44144</v>
      </c>
      <c r="C177" s="1" t="n">
        <v>45190</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 "A 58231-2020")</f>
        <v/>
      </c>
      <c r="T177">
        <f>HYPERLINK("https://klasma.github.io/Logging_BORGHOLM/kartor/A 58231-2020.png", "A 58231-2020")</f>
        <v/>
      </c>
      <c r="V177">
        <f>HYPERLINK("https://klasma.github.io/Logging_BORGHOLM/klagomål/A 58231-2020.docx", "A 58231-2020")</f>
        <v/>
      </c>
      <c r="W177">
        <f>HYPERLINK("https://klasma.github.io/Logging_BORGHOLM/klagomålsmail/A 58231-2020.docx", "A 58231-2020")</f>
        <v/>
      </c>
      <c r="X177">
        <f>HYPERLINK("https://klasma.github.io/Logging_BORGHOLM/tillsyn/A 58231-2020.docx", "A 58231-2020")</f>
        <v/>
      </c>
      <c r="Y177">
        <f>HYPERLINK("https://klasma.github.io/Logging_BORGHOLM/tillsynsmail/A 58231-2020.docx", "A 58231-2020")</f>
        <v/>
      </c>
    </row>
    <row r="178" ht="15" customHeight="1">
      <c r="A178" t="inlineStr">
        <is>
          <t>A 4574-2021</t>
        </is>
      </c>
      <c r="B178" s="1" t="n">
        <v>44224</v>
      </c>
      <c r="C178" s="1" t="n">
        <v>45190</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 "A 4574-2021")</f>
        <v/>
      </c>
      <c r="T178">
        <f>HYPERLINK("https://klasma.github.io/Logging_HULTSFRED/kartor/A 4574-2021.png", "A 4574-2021")</f>
        <v/>
      </c>
      <c r="V178">
        <f>HYPERLINK("https://klasma.github.io/Logging_HULTSFRED/klagomål/A 4574-2021.docx", "A 4574-2021")</f>
        <v/>
      </c>
      <c r="W178">
        <f>HYPERLINK("https://klasma.github.io/Logging_HULTSFRED/klagomålsmail/A 4574-2021.docx", "A 4574-2021")</f>
        <v/>
      </c>
      <c r="X178">
        <f>HYPERLINK("https://klasma.github.io/Logging_HULTSFRED/tillsyn/A 4574-2021.docx", "A 4574-2021")</f>
        <v/>
      </c>
      <c r="Y178">
        <f>HYPERLINK("https://klasma.github.io/Logging_HULTSFRED/tillsynsmail/A 4574-2021.docx", "A 4574-2021")</f>
        <v/>
      </c>
    </row>
    <row r="179" ht="15" customHeight="1">
      <c r="A179" t="inlineStr">
        <is>
          <t>A 8411-2021</t>
        </is>
      </c>
      <c r="B179" s="1" t="n">
        <v>44245</v>
      </c>
      <c r="C179" s="1" t="n">
        <v>45190</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 "A 8411-2021")</f>
        <v/>
      </c>
      <c r="T179">
        <f>HYPERLINK("https://klasma.github.io/Logging_VIMMERBY/kartor/A 8411-2021.png", "A 8411-2021")</f>
        <v/>
      </c>
      <c r="V179">
        <f>HYPERLINK("https://klasma.github.io/Logging_VIMMERBY/klagomål/A 8411-2021.docx", "A 8411-2021")</f>
        <v/>
      </c>
      <c r="W179">
        <f>HYPERLINK("https://klasma.github.io/Logging_VIMMERBY/klagomålsmail/A 8411-2021.docx", "A 8411-2021")</f>
        <v/>
      </c>
      <c r="X179">
        <f>HYPERLINK("https://klasma.github.io/Logging_VIMMERBY/tillsyn/A 8411-2021.docx", "A 8411-2021")</f>
        <v/>
      </c>
      <c r="Y179">
        <f>HYPERLINK("https://klasma.github.io/Logging_VIMMERBY/tillsynsmail/A 8411-2021.docx", "A 8411-2021")</f>
        <v/>
      </c>
    </row>
    <row r="180" ht="15" customHeight="1">
      <c r="A180" t="inlineStr">
        <is>
          <t>A 9097-2021</t>
        </is>
      </c>
      <c r="B180" s="1" t="n">
        <v>44249</v>
      </c>
      <c r="C180" s="1" t="n">
        <v>45190</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 "A 9097-2021")</f>
        <v/>
      </c>
      <c r="T180">
        <f>HYPERLINK("https://klasma.github.io/Logging_VASTERVIK/kartor/A 9097-2021.png", "A 9097-2021")</f>
        <v/>
      </c>
      <c r="V180">
        <f>HYPERLINK("https://klasma.github.io/Logging_VASTERVIK/klagomål/A 9097-2021.docx", "A 9097-2021")</f>
        <v/>
      </c>
      <c r="W180">
        <f>HYPERLINK("https://klasma.github.io/Logging_VASTERVIK/klagomålsmail/A 9097-2021.docx", "A 9097-2021")</f>
        <v/>
      </c>
      <c r="X180">
        <f>HYPERLINK("https://klasma.github.io/Logging_VASTERVIK/tillsyn/A 9097-2021.docx", "A 9097-2021")</f>
        <v/>
      </c>
      <c r="Y180">
        <f>HYPERLINK("https://klasma.github.io/Logging_VASTERVIK/tillsynsmail/A 9097-2021.docx", "A 9097-2021")</f>
        <v/>
      </c>
    </row>
    <row r="181" ht="15" customHeight="1">
      <c r="A181" t="inlineStr">
        <is>
          <t>A 25280-2021</t>
        </is>
      </c>
      <c r="B181" s="1" t="n">
        <v>44342</v>
      </c>
      <c r="C181" s="1" t="n">
        <v>45190</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 "A 25280-2021")</f>
        <v/>
      </c>
      <c r="T181">
        <f>HYPERLINK("https://klasma.github.io/Logging_VASTERVIK/kartor/A 25280-2021.png", "A 25280-2021")</f>
        <v/>
      </c>
      <c r="U181">
        <f>HYPERLINK("https://klasma.github.io/Logging_VASTERVIK/knärot/A 25280-2021.png", "A 25280-2021")</f>
        <v/>
      </c>
      <c r="V181">
        <f>HYPERLINK("https://klasma.github.io/Logging_VASTERVIK/klagomål/A 25280-2021.docx", "A 25280-2021")</f>
        <v/>
      </c>
      <c r="W181">
        <f>HYPERLINK("https://klasma.github.io/Logging_VASTERVIK/klagomålsmail/A 25280-2021.docx", "A 25280-2021")</f>
        <v/>
      </c>
      <c r="X181">
        <f>HYPERLINK("https://klasma.github.io/Logging_VASTERVIK/tillsyn/A 25280-2021.docx", "A 25280-2021")</f>
        <v/>
      </c>
      <c r="Y181">
        <f>HYPERLINK("https://klasma.github.io/Logging_VASTERVIK/tillsynsmail/A 25280-2021.docx", "A 25280-2021")</f>
        <v/>
      </c>
    </row>
    <row r="182" ht="15" customHeight="1">
      <c r="A182" t="inlineStr">
        <is>
          <t>A 46995-2021</t>
        </is>
      </c>
      <c r="B182" s="1" t="n">
        <v>44446</v>
      </c>
      <c r="C182" s="1" t="n">
        <v>45190</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 "A 46995-2021")</f>
        <v/>
      </c>
      <c r="T182">
        <f>HYPERLINK("https://klasma.github.io/Logging_MONSTERAS/kartor/A 46995-2021.png", "A 46995-2021")</f>
        <v/>
      </c>
      <c r="U182">
        <f>HYPERLINK("https://klasma.github.io/Logging_MONSTERAS/knärot/A 46995-2021.png", "A 46995-2021")</f>
        <v/>
      </c>
      <c r="V182">
        <f>HYPERLINK("https://klasma.github.io/Logging_MONSTERAS/klagomål/A 46995-2021.docx", "A 46995-2021")</f>
        <v/>
      </c>
      <c r="W182">
        <f>HYPERLINK("https://klasma.github.io/Logging_MONSTERAS/klagomålsmail/A 46995-2021.docx", "A 46995-2021")</f>
        <v/>
      </c>
      <c r="X182">
        <f>HYPERLINK("https://klasma.github.io/Logging_MONSTERAS/tillsyn/A 46995-2021.docx", "A 46995-2021")</f>
        <v/>
      </c>
      <c r="Y182">
        <f>HYPERLINK("https://klasma.github.io/Logging_MONSTERAS/tillsynsmail/A 46995-2021.docx", "A 46995-2021")</f>
        <v/>
      </c>
    </row>
    <row r="183" ht="15" customHeight="1">
      <c r="A183" t="inlineStr">
        <is>
          <t>A 50351-2021</t>
        </is>
      </c>
      <c r="B183" s="1" t="n">
        <v>44459</v>
      </c>
      <c r="C183" s="1" t="n">
        <v>45190</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 "A 50351-2021")</f>
        <v/>
      </c>
      <c r="T183">
        <f>HYPERLINK("https://klasma.github.io/Logging_TORSAS/kartor/A 50351-2021.png", "A 50351-2021")</f>
        <v/>
      </c>
      <c r="V183">
        <f>HYPERLINK("https://klasma.github.io/Logging_TORSAS/klagomål/A 50351-2021.docx", "A 50351-2021")</f>
        <v/>
      </c>
      <c r="W183">
        <f>HYPERLINK("https://klasma.github.io/Logging_TORSAS/klagomålsmail/A 50351-2021.docx", "A 50351-2021")</f>
        <v/>
      </c>
      <c r="X183">
        <f>HYPERLINK("https://klasma.github.io/Logging_TORSAS/tillsyn/A 50351-2021.docx", "A 50351-2021")</f>
        <v/>
      </c>
      <c r="Y183">
        <f>HYPERLINK("https://klasma.github.io/Logging_TORSAS/tillsynsmail/A 50351-2021.docx", "A 50351-2021")</f>
        <v/>
      </c>
    </row>
    <row r="184" ht="15" customHeight="1">
      <c r="A184" t="inlineStr">
        <is>
          <t>A 58919-2021</t>
        </is>
      </c>
      <c r="B184" s="1" t="n">
        <v>44489</v>
      </c>
      <c r="C184" s="1" t="n">
        <v>45190</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 "A 58919-2021")</f>
        <v/>
      </c>
      <c r="T184">
        <f>HYPERLINK("https://klasma.github.io/Logging_KALMAR/kartor/A 58919-2021.png", "A 58919-2021")</f>
        <v/>
      </c>
      <c r="U184">
        <f>HYPERLINK("https://klasma.github.io/Logging_KALMAR/knärot/A 58919-2021.png", "A 58919-2021")</f>
        <v/>
      </c>
      <c r="V184">
        <f>HYPERLINK("https://klasma.github.io/Logging_KALMAR/klagomål/A 58919-2021.docx", "A 58919-2021")</f>
        <v/>
      </c>
      <c r="W184">
        <f>HYPERLINK("https://klasma.github.io/Logging_KALMAR/klagomålsmail/A 58919-2021.docx", "A 58919-2021")</f>
        <v/>
      </c>
      <c r="X184">
        <f>HYPERLINK("https://klasma.github.io/Logging_KALMAR/tillsyn/A 58919-2021.docx", "A 58919-2021")</f>
        <v/>
      </c>
      <c r="Y184">
        <f>HYPERLINK("https://klasma.github.io/Logging_KALMAR/tillsynsmail/A 58919-2021.docx", "A 58919-2021")</f>
        <v/>
      </c>
    </row>
    <row r="185" ht="15" customHeight="1">
      <c r="A185" t="inlineStr">
        <is>
          <t>A 59111-2021</t>
        </is>
      </c>
      <c r="B185" s="1" t="n">
        <v>44490</v>
      </c>
      <c r="C185" s="1" t="n">
        <v>45190</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 "A 59111-2021")</f>
        <v/>
      </c>
      <c r="T185">
        <f>HYPERLINK("https://klasma.github.io/Logging_NYBRO/kartor/A 59111-2021.png", "A 59111-2021")</f>
        <v/>
      </c>
      <c r="V185">
        <f>HYPERLINK("https://klasma.github.io/Logging_NYBRO/klagomål/A 59111-2021.docx", "A 59111-2021")</f>
        <v/>
      </c>
      <c r="W185">
        <f>HYPERLINK("https://klasma.github.io/Logging_NYBRO/klagomålsmail/A 59111-2021.docx", "A 59111-2021")</f>
        <v/>
      </c>
      <c r="X185">
        <f>HYPERLINK("https://klasma.github.io/Logging_NYBRO/tillsyn/A 59111-2021.docx", "A 59111-2021")</f>
        <v/>
      </c>
      <c r="Y185">
        <f>HYPERLINK("https://klasma.github.io/Logging_NYBRO/tillsynsmail/A 59111-2021.docx", "A 59111-2021")</f>
        <v/>
      </c>
    </row>
    <row r="186" ht="15" customHeight="1">
      <c r="A186" t="inlineStr">
        <is>
          <t>A 63813-2021</t>
        </is>
      </c>
      <c r="B186" s="1" t="n">
        <v>44505</v>
      </c>
      <c r="C186" s="1" t="n">
        <v>45190</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 "A 63813-2021")</f>
        <v/>
      </c>
      <c r="T186">
        <f>HYPERLINK("https://klasma.github.io/Logging_VASTERVIK/kartor/A 63813-2021.png", "A 63813-2021")</f>
        <v/>
      </c>
      <c r="U186">
        <f>HYPERLINK("https://klasma.github.io/Logging_VASTERVIK/knärot/A 63813-2021.png", "A 63813-2021")</f>
        <v/>
      </c>
      <c r="V186">
        <f>HYPERLINK("https://klasma.github.io/Logging_VASTERVIK/klagomål/A 63813-2021.docx", "A 63813-2021")</f>
        <v/>
      </c>
      <c r="W186">
        <f>HYPERLINK("https://klasma.github.io/Logging_VASTERVIK/klagomålsmail/A 63813-2021.docx", "A 63813-2021")</f>
        <v/>
      </c>
      <c r="X186">
        <f>HYPERLINK("https://klasma.github.io/Logging_VASTERVIK/tillsyn/A 63813-2021.docx", "A 63813-2021")</f>
        <v/>
      </c>
      <c r="Y186">
        <f>HYPERLINK("https://klasma.github.io/Logging_VASTERVIK/tillsynsmail/A 63813-2021.docx", "A 63813-2021")</f>
        <v/>
      </c>
    </row>
    <row r="187" ht="15" customHeight="1">
      <c r="A187" t="inlineStr">
        <is>
          <t>A 65973-2021</t>
        </is>
      </c>
      <c r="B187" s="1" t="n">
        <v>44517</v>
      </c>
      <c r="C187" s="1" t="n">
        <v>45190</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 "A 65973-2021")</f>
        <v/>
      </c>
      <c r="T187">
        <f>HYPERLINK("https://klasma.github.io/Logging_KALMAR/kartor/A 65973-2021.png", "A 65973-2021")</f>
        <v/>
      </c>
      <c r="V187">
        <f>HYPERLINK("https://klasma.github.io/Logging_KALMAR/klagomål/A 65973-2021.docx", "A 65973-2021")</f>
        <v/>
      </c>
      <c r="W187">
        <f>HYPERLINK("https://klasma.github.io/Logging_KALMAR/klagomålsmail/A 65973-2021.docx", "A 65973-2021")</f>
        <v/>
      </c>
      <c r="X187">
        <f>HYPERLINK("https://klasma.github.io/Logging_KALMAR/tillsyn/A 65973-2021.docx", "A 65973-2021")</f>
        <v/>
      </c>
      <c r="Y187">
        <f>HYPERLINK("https://klasma.github.io/Logging_KALMAR/tillsynsmail/A 65973-2021.docx", "A 65973-2021")</f>
        <v/>
      </c>
    </row>
    <row r="188" ht="15" customHeight="1">
      <c r="A188" t="inlineStr">
        <is>
          <t>A 68416-2021</t>
        </is>
      </c>
      <c r="B188" s="1" t="n">
        <v>44529</v>
      </c>
      <c r="C188" s="1" t="n">
        <v>45190</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 "A 68416-2021")</f>
        <v/>
      </c>
      <c r="T188">
        <f>HYPERLINK("https://klasma.github.io/Logging_VASTERVIK/kartor/A 68416-2021.png", "A 68416-2021")</f>
        <v/>
      </c>
      <c r="U188">
        <f>HYPERLINK("https://klasma.github.io/Logging_VASTERVIK/knärot/A 68416-2021.png", "A 68416-2021")</f>
        <v/>
      </c>
      <c r="V188">
        <f>HYPERLINK("https://klasma.github.io/Logging_VASTERVIK/klagomål/A 68416-2021.docx", "A 68416-2021")</f>
        <v/>
      </c>
      <c r="W188">
        <f>HYPERLINK("https://klasma.github.io/Logging_VASTERVIK/klagomålsmail/A 68416-2021.docx", "A 68416-2021")</f>
        <v/>
      </c>
      <c r="X188">
        <f>HYPERLINK("https://klasma.github.io/Logging_VASTERVIK/tillsyn/A 68416-2021.docx", "A 68416-2021")</f>
        <v/>
      </c>
      <c r="Y188">
        <f>HYPERLINK("https://klasma.github.io/Logging_VASTERVIK/tillsynsmail/A 68416-2021.docx", "A 68416-2021")</f>
        <v/>
      </c>
    </row>
    <row r="189" ht="15" customHeight="1">
      <c r="A189" t="inlineStr">
        <is>
          <t>A 1933-2022</t>
        </is>
      </c>
      <c r="B189" s="1" t="n">
        <v>44575</v>
      </c>
      <c r="C189" s="1" t="n">
        <v>45190</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 "A 1933-2022")</f>
        <v/>
      </c>
      <c r="T189">
        <f>HYPERLINK("https://klasma.github.io/Logging_KALMAR/kartor/A 1933-2022.png", "A 1933-2022")</f>
        <v/>
      </c>
      <c r="U189">
        <f>HYPERLINK("https://klasma.github.io/Logging_KALMAR/knärot/A 1933-2022.png", "A 1933-2022")</f>
        <v/>
      </c>
      <c r="V189">
        <f>HYPERLINK("https://klasma.github.io/Logging_KALMAR/klagomål/A 1933-2022.docx", "A 1933-2022")</f>
        <v/>
      </c>
      <c r="W189">
        <f>HYPERLINK("https://klasma.github.io/Logging_KALMAR/klagomålsmail/A 1933-2022.docx", "A 1933-2022")</f>
        <v/>
      </c>
      <c r="X189">
        <f>HYPERLINK("https://klasma.github.io/Logging_KALMAR/tillsyn/A 1933-2022.docx", "A 1933-2022")</f>
        <v/>
      </c>
      <c r="Y189">
        <f>HYPERLINK("https://klasma.github.io/Logging_KALMAR/tillsynsmail/A 1933-2022.docx", "A 1933-2022")</f>
        <v/>
      </c>
    </row>
    <row r="190" ht="15" customHeight="1">
      <c r="A190" t="inlineStr">
        <is>
          <t>A 12711-2022</t>
        </is>
      </c>
      <c r="B190" s="1" t="n">
        <v>44641</v>
      </c>
      <c r="C190" s="1" t="n">
        <v>45190</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 "A 12711-2022")</f>
        <v/>
      </c>
      <c r="T190">
        <f>HYPERLINK("https://klasma.github.io/Logging_HULTSFRED/kartor/A 12711-2022.png", "A 12711-2022")</f>
        <v/>
      </c>
      <c r="V190">
        <f>HYPERLINK("https://klasma.github.io/Logging_HULTSFRED/klagomål/A 12711-2022.docx", "A 12711-2022")</f>
        <v/>
      </c>
      <c r="W190">
        <f>HYPERLINK("https://klasma.github.io/Logging_HULTSFRED/klagomålsmail/A 12711-2022.docx", "A 12711-2022")</f>
        <v/>
      </c>
      <c r="X190">
        <f>HYPERLINK("https://klasma.github.io/Logging_HULTSFRED/tillsyn/A 12711-2022.docx", "A 12711-2022")</f>
        <v/>
      </c>
      <c r="Y190">
        <f>HYPERLINK("https://klasma.github.io/Logging_HULTSFRED/tillsynsmail/A 12711-2022.docx", "A 12711-2022")</f>
        <v/>
      </c>
    </row>
    <row r="191" ht="15" customHeight="1">
      <c r="A191" t="inlineStr">
        <is>
          <t>A 32640-2022</t>
        </is>
      </c>
      <c r="B191" s="1" t="n">
        <v>44783</v>
      </c>
      <c r="C191" s="1" t="n">
        <v>45190</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 "A 32640-2022")</f>
        <v/>
      </c>
      <c r="T191">
        <f>HYPERLINK("https://klasma.github.io/Logging_BORGHOLM/kartor/A 32640-2022.png", "A 32640-2022")</f>
        <v/>
      </c>
      <c r="V191">
        <f>HYPERLINK("https://klasma.github.io/Logging_BORGHOLM/klagomål/A 32640-2022.docx", "A 32640-2022")</f>
        <v/>
      </c>
      <c r="W191">
        <f>HYPERLINK("https://klasma.github.io/Logging_BORGHOLM/klagomålsmail/A 32640-2022.docx", "A 32640-2022")</f>
        <v/>
      </c>
      <c r="X191">
        <f>HYPERLINK("https://klasma.github.io/Logging_BORGHOLM/tillsyn/A 32640-2022.docx", "A 32640-2022")</f>
        <v/>
      </c>
      <c r="Y191">
        <f>HYPERLINK("https://klasma.github.io/Logging_BORGHOLM/tillsynsmail/A 32640-2022.docx", "A 32640-2022")</f>
        <v/>
      </c>
    </row>
    <row r="192" ht="15" customHeight="1">
      <c r="A192" t="inlineStr">
        <is>
          <t>A 33057-2022</t>
        </is>
      </c>
      <c r="B192" s="1" t="n">
        <v>44785</v>
      </c>
      <c r="C192" s="1" t="n">
        <v>45190</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 "A 33057-2022")</f>
        <v/>
      </c>
      <c r="T192">
        <f>HYPERLINK("https://klasma.github.io/Logging_KALMAR/kartor/A 33057-2022.png", "A 33057-2022")</f>
        <v/>
      </c>
      <c r="V192">
        <f>HYPERLINK("https://klasma.github.io/Logging_KALMAR/klagomål/A 33057-2022.docx", "A 33057-2022")</f>
        <v/>
      </c>
      <c r="W192">
        <f>HYPERLINK("https://klasma.github.io/Logging_KALMAR/klagomålsmail/A 33057-2022.docx", "A 33057-2022")</f>
        <v/>
      </c>
      <c r="X192">
        <f>HYPERLINK("https://klasma.github.io/Logging_KALMAR/tillsyn/A 33057-2022.docx", "A 33057-2022")</f>
        <v/>
      </c>
      <c r="Y192">
        <f>HYPERLINK("https://klasma.github.io/Logging_KALMAR/tillsynsmail/A 33057-2022.docx", "A 33057-2022")</f>
        <v/>
      </c>
    </row>
    <row r="193" ht="15" customHeight="1">
      <c r="A193" t="inlineStr">
        <is>
          <t>A 37603-2022</t>
        </is>
      </c>
      <c r="B193" s="1" t="n">
        <v>44809</v>
      </c>
      <c r="C193" s="1" t="n">
        <v>45190</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 "A 37603-2022")</f>
        <v/>
      </c>
      <c r="T193">
        <f>HYPERLINK("https://klasma.github.io/Logging_HULTSFRED/kartor/A 37603-2022.png", "A 37603-2022")</f>
        <v/>
      </c>
      <c r="V193">
        <f>HYPERLINK("https://klasma.github.io/Logging_HULTSFRED/klagomål/A 37603-2022.docx", "A 37603-2022")</f>
        <v/>
      </c>
      <c r="W193">
        <f>HYPERLINK("https://klasma.github.io/Logging_HULTSFRED/klagomålsmail/A 37603-2022.docx", "A 37603-2022")</f>
        <v/>
      </c>
      <c r="X193">
        <f>HYPERLINK("https://klasma.github.io/Logging_HULTSFRED/tillsyn/A 37603-2022.docx", "A 37603-2022")</f>
        <v/>
      </c>
      <c r="Y193">
        <f>HYPERLINK("https://klasma.github.io/Logging_HULTSFRED/tillsynsmail/A 37603-2022.docx", "A 37603-2022")</f>
        <v/>
      </c>
    </row>
    <row r="194" ht="15" customHeight="1">
      <c r="A194" t="inlineStr">
        <is>
          <t>A 37901-2022</t>
        </is>
      </c>
      <c r="B194" s="1" t="n">
        <v>44811</v>
      </c>
      <c r="C194" s="1" t="n">
        <v>45190</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 "A 37901-2022")</f>
        <v/>
      </c>
      <c r="T194">
        <f>HYPERLINK("https://klasma.github.io/Logging_VIMMERBY/kartor/A 37901-2022.png", "A 37901-2022")</f>
        <v/>
      </c>
      <c r="V194">
        <f>HYPERLINK("https://klasma.github.io/Logging_VIMMERBY/klagomål/A 37901-2022.docx", "A 37901-2022")</f>
        <v/>
      </c>
      <c r="W194">
        <f>HYPERLINK("https://klasma.github.io/Logging_VIMMERBY/klagomålsmail/A 37901-2022.docx", "A 37901-2022")</f>
        <v/>
      </c>
      <c r="X194">
        <f>HYPERLINK("https://klasma.github.io/Logging_VIMMERBY/tillsyn/A 37901-2022.docx", "A 37901-2022")</f>
        <v/>
      </c>
      <c r="Y194">
        <f>HYPERLINK("https://klasma.github.io/Logging_VIMMERBY/tillsynsmail/A 37901-2022.docx", "A 37901-2022")</f>
        <v/>
      </c>
    </row>
    <row r="195" ht="15" customHeight="1">
      <c r="A195" t="inlineStr">
        <is>
          <t>A 40302-2022</t>
        </is>
      </c>
      <c r="B195" s="1" t="n">
        <v>44822</v>
      </c>
      <c r="C195" s="1" t="n">
        <v>45190</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 "A 40302-2022")</f>
        <v/>
      </c>
      <c r="T195">
        <f>HYPERLINK("https://klasma.github.io/Logging_HULTSFRED/kartor/A 40302-2022.png", "A 40302-2022")</f>
        <v/>
      </c>
      <c r="V195">
        <f>HYPERLINK("https://klasma.github.io/Logging_HULTSFRED/klagomål/A 40302-2022.docx", "A 40302-2022")</f>
        <v/>
      </c>
      <c r="W195">
        <f>HYPERLINK("https://klasma.github.io/Logging_HULTSFRED/klagomålsmail/A 40302-2022.docx", "A 40302-2022")</f>
        <v/>
      </c>
      <c r="X195">
        <f>HYPERLINK("https://klasma.github.io/Logging_HULTSFRED/tillsyn/A 40302-2022.docx", "A 40302-2022")</f>
        <v/>
      </c>
      <c r="Y195">
        <f>HYPERLINK("https://klasma.github.io/Logging_HULTSFRED/tillsynsmail/A 40302-2022.docx", "A 40302-2022")</f>
        <v/>
      </c>
    </row>
    <row r="196" ht="15" customHeight="1">
      <c r="A196" t="inlineStr">
        <is>
          <t>A 41772-2022</t>
        </is>
      </c>
      <c r="B196" s="1" t="n">
        <v>44827</v>
      </c>
      <c r="C196" s="1" t="n">
        <v>45190</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 "A 41772-2022")</f>
        <v/>
      </c>
      <c r="T196">
        <f>HYPERLINK("https://klasma.github.io/Logging_NYBRO/kartor/A 41772-2022.png", "A 41772-2022")</f>
        <v/>
      </c>
      <c r="V196">
        <f>HYPERLINK("https://klasma.github.io/Logging_NYBRO/klagomål/A 41772-2022.docx", "A 41772-2022")</f>
        <v/>
      </c>
      <c r="W196">
        <f>HYPERLINK("https://klasma.github.io/Logging_NYBRO/klagomålsmail/A 41772-2022.docx", "A 41772-2022")</f>
        <v/>
      </c>
      <c r="X196">
        <f>HYPERLINK("https://klasma.github.io/Logging_NYBRO/tillsyn/A 41772-2022.docx", "A 41772-2022")</f>
        <v/>
      </c>
      <c r="Y196">
        <f>HYPERLINK("https://klasma.github.io/Logging_NYBRO/tillsynsmail/A 41772-2022.docx", "A 41772-2022")</f>
        <v/>
      </c>
    </row>
    <row r="197" ht="15" customHeight="1">
      <c r="A197" t="inlineStr">
        <is>
          <t>A 41542-2022</t>
        </is>
      </c>
      <c r="B197" s="1" t="n">
        <v>44827</v>
      </c>
      <c r="C197" s="1" t="n">
        <v>45190</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 "A 41542-2022")</f>
        <v/>
      </c>
      <c r="T197">
        <f>HYPERLINK("https://klasma.github.io/Logging_KALMAR/kartor/A 41542-2022.png", "A 41542-2022")</f>
        <v/>
      </c>
      <c r="U197">
        <f>HYPERLINK("https://klasma.github.io/Logging_KALMAR/knärot/A 41542-2022.png", "A 41542-2022")</f>
        <v/>
      </c>
      <c r="V197">
        <f>HYPERLINK("https://klasma.github.io/Logging_KALMAR/klagomål/A 41542-2022.docx", "A 41542-2022")</f>
        <v/>
      </c>
      <c r="W197">
        <f>HYPERLINK("https://klasma.github.io/Logging_KALMAR/klagomålsmail/A 41542-2022.docx", "A 41542-2022")</f>
        <v/>
      </c>
      <c r="X197">
        <f>HYPERLINK("https://klasma.github.io/Logging_KALMAR/tillsyn/A 41542-2022.docx", "A 41542-2022")</f>
        <v/>
      </c>
      <c r="Y197">
        <f>HYPERLINK("https://klasma.github.io/Logging_KALMAR/tillsynsmail/A 41542-2022.docx", "A 41542-2022")</f>
        <v/>
      </c>
    </row>
    <row r="198" ht="15" customHeight="1">
      <c r="A198" t="inlineStr">
        <is>
          <t>A 47451-2022</t>
        </is>
      </c>
      <c r="B198" s="1" t="n">
        <v>44853</v>
      </c>
      <c r="C198" s="1" t="n">
        <v>45190</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 "A 47451-2022")</f>
        <v/>
      </c>
      <c r="T198">
        <f>HYPERLINK("https://klasma.github.io/Logging_KALMAR/kartor/A 47451-2022.png", "A 47451-2022")</f>
        <v/>
      </c>
      <c r="U198">
        <f>HYPERLINK("https://klasma.github.io/Logging_KALMAR/knärot/A 47451-2022.png", "A 47451-2022")</f>
        <v/>
      </c>
      <c r="V198">
        <f>HYPERLINK("https://klasma.github.io/Logging_KALMAR/klagomål/A 47451-2022.docx", "A 47451-2022")</f>
        <v/>
      </c>
      <c r="W198">
        <f>HYPERLINK("https://klasma.github.io/Logging_KALMAR/klagomålsmail/A 47451-2022.docx", "A 47451-2022")</f>
        <v/>
      </c>
      <c r="X198">
        <f>HYPERLINK("https://klasma.github.io/Logging_KALMAR/tillsyn/A 47451-2022.docx", "A 47451-2022")</f>
        <v/>
      </c>
      <c r="Y198">
        <f>HYPERLINK("https://klasma.github.io/Logging_KALMAR/tillsynsmail/A 47451-2022.docx", "A 47451-2022")</f>
        <v/>
      </c>
    </row>
    <row r="199" ht="15" customHeight="1">
      <c r="A199" t="inlineStr">
        <is>
          <t>A 50759-2022</t>
        </is>
      </c>
      <c r="B199" s="1" t="n">
        <v>44867</v>
      </c>
      <c r="C199" s="1" t="n">
        <v>45190</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 "A 50759-2022")</f>
        <v/>
      </c>
      <c r="T199">
        <f>HYPERLINK("https://klasma.github.io/Logging_NYBRO/kartor/A 50759-2022.png", "A 50759-2022")</f>
        <v/>
      </c>
      <c r="V199">
        <f>HYPERLINK("https://klasma.github.io/Logging_NYBRO/klagomål/A 50759-2022.docx", "A 50759-2022")</f>
        <v/>
      </c>
      <c r="W199">
        <f>HYPERLINK("https://klasma.github.io/Logging_NYBRO/klagomålsmail/A 50759-2022.docx", "A 50759-2022")</f>
        <v/>
      </c>
      <c r="X199">
        <f>HYPERLINK("https://klasma.github.io/Logging_NYBRO/tillsyn/A 50759-2022.docx", "A 50759-2022")</f>
        <v/>
      </c>
      <c r="Y199">
        <f>HYPERLINK("https://klasma.github.io/Logging_NYBRO/tillsynsmail/A 50759-2022.docx", "A 50759-2022")</f>
        <v/>
      </c>
    </row>
    <row r="200" ht="15" customHeight="1">
      <c r="A200" t="inlineStr">
        <is>
          <t>A 53138-2022</t>
        </is>
      </c>
      <c r="B200" s="1" t="n">
        <v>44876</v>
      </c>
      <c r="C200" s="1" t="n">
        <v>45190</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 "A 53138-2022")</f>
        <v/>
      </c>
      <c r="T200">
        <f>HYPERLINK("https://klasma.github.io/Logging_KALMAR/kartor/A 53138-2022.png", "A 53138-2022")</f>
        <v/>
      </c>
      <c r="U200">
        <f>HYPERLINK("https://klasma.github.io/Logging_KALMAR/knärot/A 53138-2022.png", "A 53138-2022")</f>
        <v/>
      </c>
      <c r="V200">
        <f>HYPERLINK("https://klasma.github.io/Logging_KALMAR/klagomål/A 53138-2022.docx", "A 53138-2022")</f>
        <v/>
      </c>
      <c r="W200">
        <f>HYPERLINK("https://klasma.github.io/Logging_KALMAR/klagomålsmail/A 53138-2022.docx", "A 53138-2022")</f>
        <v/>
      </c>
      <c r="X200">
        <f>HYPERLINK("https://klasma.github.io/Logging_KALMAR/tillsyn/A 53138-2022.docx", "A 53138-2022")</f>
        <v/>
      </c>
      <c r="Y200">
        <f>HYPERLINK("https://klasma.github.io/Logging_KALMAR/tillsynsmail/A 53138-2022.docx", "A 53138-2022")</f>
        <v/>
      </c>
    </row>
    <row r="201" ht="15" customHeight="1">
      <c r="A201" t="inlineStr">
        <is>
          <t>A 55506-2022</t>
        </is>
      </c>
      <c r="B201" s="1" t="n">
        <v>44887</v>
      </c>
      <c r="C201" s="1" t="n">
        <v>45190</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 "A 55506-2022")</f>
        <v/>
      </c>
      <c r="T201">
        <f>HYPERLINK("https://klasma.github.io/Logging_VASTERVIK/kartor/A 55506-2022.png", "A 55506-2022")</f>
        <v/>
      </c>
      <c r="V201">
        <f>HYPERLINK("https://klasma.github.io/Logging_VASTERVIK/klagomål/A 55506-2022.docx", "A 55506-2022")</f>
        <v/>
      </c>
      <c r="W201">
        <f>HYPERLINK("https://klasma.github.io/Logging_VASTERVIK/klagomålsmail/A 55506-2022.docx", "A 55506-2022")</f>
        <v/>
      </c>
      <c r="X201">
        <f>HYPERLINK("https://klasma.github.io/Logging_VASTERVIK/tillsyn/A 55506-2022.docx", "A 55506-2022")</f>
        <v/>
      </c>
      <c r="Y201">
        <f>HYPERLINK("https://klasma.github.io/Logging_VASTERVIK/tillsynsmail/A 55506-2022.docx", "A 55506-2022")</f>
        <v/>
      </c>
    </row>
    <row r="202" ht="15" customHeight="1">
      <c r="A202" t="inlineStr">
        <is>
          <t>A 58955-2022</t>
        </is>
      </c>
      <c r="B202" s="1" t="n">
        <v>44896</v>
      </c>
      <c r="C202" s="1" t="n">
        <v>45190</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 "A 58955-2022")</f>
        <v/>
      </c>
      <c r="T202">
        <f>HYPERLINK("https://klasma.github.io/Logging_VASTERVIK/kartor/A 58955-2022.png", "A 58955-2022")</f>
        <v/>
      </c>
      <c r="U202">
        <f>HYPERLINK("https://klasma.github.io/Logging_VASTERVIK/knärot/A 58955-2022.png", "A 58955-2022")</f>
        <v/>
      </c>
      <c r="V202">
        <f>HYPERLINK("https://klasma.github.io/Logging_VASTERVIK/klagomål/A 58955-2022.docx", "A 58955-2022")</f>
        <v/>
      </c>
      <c r="W202">
        <f>HYPERLINK("https://klasma.github.io/Logging_VASTERVIK/klagomålsmail/A 58955-2022.docx", "A 58955-2022")</f>
        <v/>
      </c>
      <c r="X202">
        <f>HYPERLINK("https://klasma.github.io/Logging_VASTERVIK/tillsyn/A 58955-2022.docx", "A 58955-2022")</f>
        <v/>
      </c>
      <c r="Y202">
        <f>HYPERLINK("https://klasma.github.io/Logging_VASTERVIK/tillsynsmail/A 58955-2022.docx", "A 58955-2022")</f>
        <v/>
      </c>
    </row>
    <row r="203" ht="15" customHeight="1">
      <c r="A203" t="inlineStr">
        <is>
          <t>A 8214-2023</t>
        </is>
      </c>
      <c r="B203" s="1" t="n">
        <v>44974</v>
      </c>
      <c r="C203" s="1" t="n">
        <v>45190</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 "A 8214-2023")</f>
        <v/>
      </c>
      <c r="T203">
        <f>HYPERLINK("https://klasma.github.io/Logging_VIMMERBY/kartor/A 8214-2023.png", "A 8214-2023")</f>
        <v/>
      </c>
      <c r="U203">
        <f>HYPERLINK("https://klasma.github.io/Logging_VIMMERBY/knärot/A 8214-2023.png", "A 8214-2023")</f>
        <v/>
      </c>
      <c r="V203">
        <f>HYPERLINK("https://klasma.github.io/Logging_VIMMERBY/klagomål/A 8214-2023.docx", "A 8214-2023")</f>
        <v/>
      </c>
      <c r="W203">
        <f>HYPERLINK("https://klasma.github.io/Logging_VIMMERBY/klagomålsmail/A 8214-2023.docx", "A 8214-2023")</f>
        <v/>
      </c>
      <c r="X203">
        <f>HYPERLINK("https://klasma.github.io/Logging_VIMMERBY/tillsyn/A 8214-2023.docx", "A 8214-2023")</f>
        <v/>
      </c>
      <c r="Y203">
        <f>HYPERLINK("https://klasma.github.io/Logging_VIMMERBY/tillsynsmail/A 8214-2023.docx", "A 8214-2023")</f>
        <v/>
      </c>
    </row>
    <row r="204" ht="15" customHeight="1">
      <c r="A204" t="inlineStr">
        <is>
          <t>A 12708-2023</t>
        </is>
      </c>
      <c r="B204" s="1" t="n">
        <v>45000</v>
      </c>
      <c r="C204" s="1" t="n">
        <v>45190</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 "A 12708-2023")</f>
        <v/>
      </c>
      <c r="T204">
        <f>HYPERLINK("https://klasma.github.io/Logging_VASTERVIK/kartor/A 12708-2023.png", "A 12708-2023")</f>
        <v/>
      </c>
      <c r="U204">
        <f>HYPERLINK("https://klasma.github.io/Logging_VASTERVIK/knärot/A 12708-2023.png", "A 12708-2023")</f>
        <v/>
      </c>
      <c r="V204">
        <f>HYPERLINK("https://klasma.github.io/Logging_VASTERVIK/klagomål/A 12708-2023.docx", "A 12708-2023")</f>
        <v/>
      </c>
      <c r="W204">
        <f>HYPERLINK("https://klasma.github.io/Logging_VASTERVIK/klagomålsmail/A 12708-2023.docx", "A 12708-2023")</f>
        <v/>
      </c>
      <c r="X204">
        <f>HYPERLINK("https://klasma.github.io/Logging_VASTERVIK/tillsyn/A 12708-2023.docx", "A 12708-2023")</f>
        <v/>
      </c>
      <c r="Y204">
        <f>HYPERLINK("https://klasma.github.io/Logging_VASTERVIK/tillsynsmail/A 12708-2023.docx", "A 12708-2023")</f>
        <v/>
      </c>
    </row>
    <row r="205" ht="15" customHeight="1">
      <c r="A205" t="inlineStr">
        <is>
          <t>A 15427-2023</t>
        </is>
      </c>
      <c r="B205" s="1" t="n">
        <v>45020</v>
      </c>
      <c r="C205" s="1" t="n">
        <v>45190</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 "A 15427-2023")</f>
        <v/>
      </c>
      <c r="T205">
        <f>HYPERLINK("https://klasma.github.io/Logging_VIMMERBY/kartor/A 15427-2023.png", "A 15427-2023")</f>
        <v/>
      </c>
      <c r="V205">
        <f>HYPERLINK("https://klasma.github.io/Logging_VIMMERBY/klagomål/A 15427-2023.docx", "A 15427-2023")</f>
        <v/>
      </c>
      <c r="W205">
        <f>HYPERLINK("https://klasma.github.io/Logging_VIMMERBY/klagomålsmail/A 15427-2023.docx", "A 15427-2023")</f>
        <v/>
      </c>
      <c r="X205">
        <f>HYPERLINK("https://klasma.github.io/Logging_VIMMERBY/tillsyn/A 15427-2023.docx", "A 15427-2023")</f>
        <v/>
      </c>
      <c r="Y205">
        <f>HYPERLINK("https://klasma.github.io/Logging_VIMMERBY/tillsynsmail/A 15427-2023.docx", "A 15427-2023")</f>
        <v/>
      </c>
    </row>
    <row r="206" ht="15" customHeight="1">
      <c r="A206" t="inlineStr">
        <is>
          <t>A 16469-2023</t>
        </is>
      </c>
      <c r="B206" s="1" t="n">
        <v>45026</v>
      </c>
      <c r="C206" s="1" t="n">
        <v>45190</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 "A 16469-2023")</f>
        <v/>
      </c>
      <c r="T206">
        <f>HYPERLINK("https://klasma.github.io/Logging_HULTSFRED/kartor/A 16469-2023.png", "A 16469-2023")</f>
        <v/>
      </c>
      <c r="V206">
        <f>HYPERLINK("https://klasma.github.io/Logging_HULTSFRED/klagomål/A 16469-2023.docx", "A 16469-2023")</f>
        <v/>
      </c>
      <c r="W206">
        <f>HYPERLINK("https://klasma.github.io/Logging_HULTSFRED/klagomålsmail/A 16469-2023.docx", "A 16469-2023")</f>
        <v/>
      </c>
      <c r="X206">
        <f>HYPERLINK("https://klasma.github.io/Logging_HULTSFRED/tillsyn/A 16469-2023.docx", "A 16469-2023")</f>
        <v/>
      </c>
      <c r="Y206">
        <f>HYPERLINK("https://klasma.github.io/Logging_HULTSFRED/tillsynsmail/A 16469-2023.docx", "A 16469-2023")</f>
        <v/>
      </c>
    </row>
    <row r="207" ht="15" customHeight="1">
      <c r="A207" t="inlineStr">
        <is>
          <t>A 16171-2023</t>
        </is>
      </c>
      <c r="B207" s="1" t="n">
        <v>45027</v>
      </c>
      <c r="C207" s="1" t="n">
        <v>45190</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 "A 16171-2023")</f>
        <v/>
      </c>
      <c r="T207">
        <f>HYPERLINK("https://klasma.github.io/Logging_BORGHOLM/kartor/A 16171-2023.png", "A 16171-2023")</f>
        <v/>
      </c>
      <c r="V207">
        <f>HYPERLINK("https://klasma.github.io/Logging_BORGHOLM/klagomål/A 16171-2023.docx", "A 16171-2023")</f>
        <v/>
      </c>
      <c r="W207">
        <f>HYPERLINK("https://klasma.github.io/Logging_BORGHOLM/klagomålsmail/A 16171-2023.docx", "A 16171-2023")</f>
        <v/>
      </c>
      <c r="X207">
        <f>HYPERLINK("https://klasma.github.io/Logging_BORGHOLM/tillsyn/A 16171-2023.docx", "A 16171-2023")</f>
        <v/>
      </c>
      <c r="Y207">
        <f>HYPERLINK("https://klasma.github.io/Logging_BORGHOLM/tillsynsmail/A 16171-2023.docx", "A 16171-2023")</f>
        <v/>
      </c>
    </row>
    <row r="208" ht="15" customHeight="1">
      <c r="A208" t="inlineStr">
        <is>
          <t>A 25192-2023</t>
        </is>
      </c>
      <c r="B208" s="1" t="n">
        <v>45079</v>
      </c>
      <c r="C208" s="1" t="n">
        <v>45190</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 "A 25192-2023")</f>
        <v/>
      </c>
      <c r="T208">
        <f>HYPERLINK("https://klasma.github.io/Logging_MONSTERAS/kartor/A 25192-2023.png", "A 25192-2023")</f>
        <v/>
      </c>
      <c r="U208">
        <f>HYPERLINK("https://klasma.github.io/Logging_MONSTERAS/knärot/A 25192-2023.png", "A 25192-2023")</f>
        <v/>
      </c>
      <c r="V208">
        <f>HYPERLINK("https://klasma.github.io/Logging_MONSTERAS/klagomål/A 25192-2023.docx", "A 25192-2023")</f>
        <v/>
      </c>
      <c r="W208">
        <f>HYPERLINK("https://klasma.github.io/Logging_MONSTERAS/klagomålsmail/A 25192-2023.docx", "A 25192-2023")</f>
        <v/>
      </c>
      <c r="X208">
        <f>HYPERLINK("https://klasma.github.io/Logging_MONSTERAS/tillsyn/A 25192-2023.docx", "A 25192-2023")</f>
        <v/>
      </c>
      <c r="Y208">
        <f>HYPERLINK("https://klasma.github.io/Logging_MONSTERAS/tillsynsmail/A 25192-2023.docx", "A 25192-2023")</f>
        <v/>
      </c>
    </row>
    <row r="209" ht="15" customHeight="1">
      <c r="A209" t="inlineStr">
        <is>
          <t>A 30705-2023</t>
        </is>
      </c>
      <c r="B209" s="1" t="n">
        <v>45103</v>
      </c>
      <c r="C209" s="1" t="n">
        <v>45190</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 "A 30705-2023")</f>
        <v/>
      </c>
      <c r="T209">
        <f>HYPERLINK("https://klasma.github.io/Logging_MONSTERAS/kartor/A 30705-2023.png", "A 30705-2023")</f>
        <v/>
      </c>
      <c r="U209">
        <f>HYPERLINK("https://klasma.github.io/Logging_MONSTERAS/knärot/A 30705-2023.png", "A 30705-2023")</f>
        <v/>
      </c>
      <c r="V209">
        <f>HYPERLINK("https://klasma.github.io/Logging_MONSTERAS/klagomål/A 30705-2023.docx", "A 30705-2023")</f>
        <v/>
      </c>
      <c r="W209">
        <f>HYPERLINK("https://klasma.github.io/Logging_MONSTERAS/klagomålsmail/A 30705-2023.docx", "A 30705-2023")</f>
        <v/>
      </c>
      <c r="X209">
        <f>HYPERLINK("https://klasma.github.io/Logging_MONSTERAS/tillsyn/A 30705-2023.docx", "A 30705-2023")</f>
        <v/>
      </c>
      <c r="Y209">
        <f>HYPERLINK("https://klasma.github.io/Logging_MONSTERAS/tillsynsmail/A 30705-2023.docx", "A 30705-2023")</f>
        <v/>
      </c>
    </row>
    <row r="210" ht="15" customHeight="1">
      <c r="A210" t="inlineStr">
        <is>
          <t>A 32415-2023</t>
        </is>
      </c>
      <c r="B210" s="1" t="n">
        <v>45110</v>
      </c>
      <c r="C210" s="1" t="n">
        <v>45190</v>
      </c>
      <c r="D210" t="inlineStr">
        <is>
          <t>KALMAR LÄN</t>
        </is>
      </c>
      <c r="E210" t="inlineStr">
        <is>
          <t>VÄSTERVIK</t>
        </is>
      </c>
      <c r="G210" t="n">
        <v>1.7</v>
      </c>
      <c r="H210" t="n">
        <v>2</v>
      </c>
      <c r="I210" t="n">
        <v>2</v>
      </c>
      <c r="J210" t="n">
        <v>0</v>
      </c>
      <c r="K210" t="n">
        <v>1</v>
      </c>
      <c r="L210" t="n">
        <v>0</v>
      </c>
      <c r="M210" t="n">
        <v>0</v>
      </c>
      <c r="N210" t="n">
        <v>0</v>
      </c>
      <c r="O210" t="n">
        <v>1</v>
      </c>
      <c r="P210" t="n">
        <v>1</v>
      </c>
      <c r="Q210" t="n">
        <v>3</v>
      </c>
      <c r="R210" s="2" t="inlineStr">
        <is>
          <t>Knärot
Dropptaggsvamp
Grön sköldmossa</t>
        </is>
      </c>
      <c r="S210">
        <f>HYPERLINK("https://klasma.github.io/Logging_VASTERVIK/artfynd/A 32415-2023.xlsx", "A 32415-2023")</f>
        <v/>
      </c>
      <c r="T210">
        <f>HYPERLINK("https://klasma.github.io/Logging_VASTERVIK/kartor/A 32415-2023.png", "A 32415-2023")</f>
        <v/>
      </c>
      <c r="U210">
        <f>HYPERLINK("https://klasma.github.io/Logging_VASTERVIK/knärot/A 32415-2023.png", "A 32415-2023")</f>
        <v/>
      </c>
      <c r="V210">
        <f>HYPERLINK("https://klasma.github.io/Logging_VASTERVIK/klagomål/A 32415-2023.docx", "A 32415-2023")</f>
        <v/>
      </c>
      <c r="W210">
        <f>HYPERLINK("https://klasma.github.io/Logging_VASTERVIK/klagomålsmail/A 32415-2023.docx", "A 32415-2023")</f>
        <v/>
      </c>
      <c r="X210">
        <f>HYPERLINK("https://klasma.github.io/Logging_VASTERVIK/tillsyn/A 32415-2023.docx", "A 32415-2023")</f>
        <v/>
      </c>
      <c r="Y210">
        <f>HYPERLINK("https://klasma.github.io/Logging_VASTERVIK/tillsynsmail/A 32415-2023.docx", "A 32415-2023")</f>
        <v/>
      </c>
    </row>
    <row r="211" ht="15" customHeight="1">
      <c r="A211" t="inlineStr">
        <is>
          <t>A 31781-2023</t>
        </is>
      </c>
      <c r="B211" s="1" t="n">
        <v>45118</v>
      </c>
      <c r="C211" s="1" t="n">
        <v>45190</v>
      </c>
      <c r="D211" t="inlineStr">
        <is>
          <t>KALMAR LÄN</t>
        </is>
      </c>
      <c r="E211" t="inlineStr">
        <is>
          <t>KALMAR</t>
        </is>
      </c>
      <c r="G211" t="n">
        <v>7.5</v>
      </c>
      <c r="H211" t="n">
        <v>1</v>
      </c>
      <c r="I211" t="n">
        <v>1</v>
      </c>
      <c r="J211" t="n">
        <v>1</v>
      </c>
      <c r="K211" t="n">
        <v>1</v>
      </c>
      <c r="L211" t="n">
        <v>0</v>
      </c>
      <c r="M211" t="n">
        <v>0</v>
      </c>
      <c r="N211" t="n">
        <v>0</v>
      </c>
      <c r="O211" t="n">
        <v>2</v>
      </c>
      <c r="P211" t="n">
        <v>1</v>
      </c>
      <c r="Q211" t="n">
        <v>3</v>
      </c>
      <c r="R211" s="2" t="inlineStr">
        <is>
          <t>Läderbagge
Gammelekslav
Grå skärelav</t>
        </is>
      </c>
      <c r="S211">
        <f>HYPERLINK("https://klasma.github.io/Logging_KALMAR/artfynd/A 31781-2023.xlsx", "A 31781-2023")</f>
        <v/>
      </c>
      <c r="T211">
        <f>HYPERLINK("https://klasma.github.io/Logging_KALMAR/kartor/A 31781-2023.png", "A 31781-2023")</f>
        <v/>
      </c>
      <c r="V211">
        <f>HYPERLINK("https://klasma.github.io/Logging_KALMAR/klagomål/A 31781-2023.docx", "A 31781-2023")</f>
        <v/>
      </c>
      <c r="W211">
        <f>HYPERLINK("https://klasma.github.io/Logging_KALMAR/klagomålsmail/A 31781-2023.docx", "A 31781-2023")</f>
        <v/>
      </c>
      <c r="X211">
        <f>HYPERLINK("https://klasma.github.io/Logging_KALMAR/tillsyn/A 31781-2023.docx", "A 31781-2023")</f>
        <v/>
      </c>
      <c r="Y211">
        <f>HYPERLINK("https://klasma.github.io/Logging_KALMAR/tillsynsmail/A 31781-2023.docx", "A 31781-2023")</f>
        <v/>
      </c>
    </row>
    <row r="212" ht="15" customHeight="1">
      <c r="A212" t="inlineStr">
        <is>
          <t>A 35681-2018</t>
        </is>
      </c>
      <c r="B212" s="1" t="n">
        <v>43325</v>
      </c>
      <c r="C212" s="1" t="n">
        <v>45190</v>
      </c>
      <c r="D212" t="inlineStr">
        <is>
          <t>KALMAR LÄN</t>
        </is>
      </c>
      <c r="E212" t="inlineStr">
        <is>
          <t>HÖGSBY</t>
        </is>
      </c>
      <c r="G212" t="n">
        <v>12.9</v>
      </c>
      <c r="H212" t="n">
        <v>2</v>
      </c>
      <c r="I212" t="n">
        <v>0</v>
      </c>
      <c r="J212" t="n">
        <v>2</v>
      </c>
      <c r="K212" t="n">
        <v>0</v>
      </c>
      <c r="L212" t="n">
        <v>0</v>
      </c>
      <c r="M212" t="n">
        <v>0</v>
      </c>
      <c r="N212" t="n">
        <v>0</v>
      </c>
      <c r="O212" t="n">
        <v>2</v>
      </c>
      <c r="P212" t="n">
        <v>0</v>
      </c>
      <c r="Q212" t="n">
        <v>2</v>
      </c>
      <c r="R212" s="2" t="inlineStr">
        <is>
          <t>Gulsparv
Spillkråka</t>
        </is>
      </c>
      <c r="S212">
        <f>HYPERLINK("https://klasma.github.io/Logging_HOGSBY/artfynd/A 35681-2018.xlsx", "A 35681-2018")</f>
        <v/>
      </c>
      <c r="T212">
        <f>HYPERLINK("https://klasma.github.io/Logging_HOGSBY/kartor/A 35681-2018.png", "A 35681-2018")</f>
        <v/>
      </c>
      <c r="V212">
        <f>HYPERLINK("https://klasma.github.io/Logging_HOGSBY/klagomål/A 35681-2018.docx", "A 35681-2018")</f>
        <v/>
      </c>
      <c r="W212">
        <f>HYPERLINK("https://klasma.github.io/Logging_HOGSBY/klagomålsmail/A 35681-2018.docx", "A 35681-2018")</f>
        <v/>
      </c>
      <c r="X212">
        <f>HYPERLINK("https://klasma.github.io/Logging_HOGSBY/tillsyn/A 35681-2018.docx", "A 35681-2018")</f>
        <v/>
      </c>
      <c r="Y212">
        <f>HYPERLINK("https://klasma.github.io/Logging_HOGSBY/tillsynsmail/A 35681-2018.docx", "A 35681-2018")</f>
        <v/>
      </c>
    </row>
    <row r="213" ht="15" customHeight="1">
      <c r="A213" t="inlineStr">
        <is>
          <t>A 35376-2018</t>
        </is>
      </c>
      <c r="B213" s="1" t="n">
        <v>43325</v>
      </c>
      <c r="C213" s="1" t="n">
        <v>45190</v>
      </c>
      <c r="D213" t="inlineStr">
        <is>
          <t>KALMAR LÄN</t>
        </is>
      </c>
      <c r="E213" t="inlineStr">
        <is>
          <t>VÄSTERVIK</t>
        </is>
      </c>
      <c r="F213" t="inlineStr">
        <is>
          <t>Sveaskog</t>
        </is>
      </c>
      <c r="G213" t="n">
        <v>4.2</v>
      </c>
      <c r="H213" t="n">
        <v>2</v>
      </c>
      <c r="I213" t="n">
        <v>0</v>
      </c>
      <c r="J213" t="n">
        <v>2</v>
      </c>
      <c r="K213" t="n">
        <v>0</v>
      </c>
      <c r="L213" t="n">
        <v>0</v>
      </c>
      <c r="M213" t="n">
        <v>0</v>
      </c>
      <c r="N213" t="n">
        <v>0</v>
      </c>
      <c r="O213" t="n">
        <v>2</v>
      </c>
      <c r="P213" t="n">
        <v>0</v>
      </c>
      <c r="Q213" t="n">
        <v>2</v>
      </c>
      <c r="R213" s="2" t="inlineStr">
        <is>
          <t>Barbastell
Nordfladdermus</t>
        </is>
      </c>
      <c r="S213">
        <f>HYPERLINK("https://klasma.github.io/Logging_VASTERVIK/artfynd/A 35376-2018.xlsx", "A 35376-2018")</f>
        <v/>
      </c>
      <c r="T213">
        <f>HYPERLINK("https://klasma.github.io/Logging_VASTERVIK/kartor/A 35376-2018.png", "A 35376-2018")</f>
        <v/>
      </c>
      <c r="V213">
        <f>HYPERLINK("https://klasma.github.io/Logging_VASTERVIK/klagomål/A 35376-2018.docx", "A 35376-2018")</f>
        <v/>
      </c>
      <c r="W213">
        <f>HYPERLINK("https://klasma.github.io/Logging_VASTERVIK/klagomålsmail/A 35376-2018.docx", "A 35376-2018")</f>
        <v/>
      </c>
      <c r="X213">
        <f>HYPERLINK("https://klasma.github.io/Logging_VASTERVIK/tillsyn/A 35376-2018.docx", "A 35376-2018")</f>
        <v/>
      </c>
      <c r="Y213">
        <f>HYPERLINK("https://klasma.github.io/Logging_VASTERVIK/tillsynsmail/A 35376-2018.docx", "A 35376-2018")</f>
        <v/>
      </c>
    </row>
    <row r="214" ht="15" customHeight="1">
      <c r="A214" t="inlineStr">
        <is>
          <t>A 40087-2018</t>
        </is>
      </c>
      <c r="B214" s="1" t="n">
        <v>43343</v>
      </c>
      <c r="C214" s="1" t="n">
        <v>45190</v>
      </c>
      <c r="D214" t="inlineStr">
        <is>
          <t>KALMAR LÄN</t>
        </is>
      </c>
      <c r="E214" t="inlineStr">
        <is>
          <t>HULTSFRED</t>
        </is>
      </c>
      <c r="G214" t="n">
        <v>3</v>
      </c>
      <c r="H214" t="n">
        <v>0</v>
      </c>
      <c r="I214" t="n">
        <v>0</v>
      </c>
      <c r="J214" t="n">
        <v>1</v>
      </c>
      <c r="K214" t="n">
        <v>1</v>
      </c>
      <c r="L214" t="n">
        <v>0</v>
      </c>
      <c r="M214" t="n">
        <v>0</v>
      </c>
      <c r="N214" t="n">
        <v>0</v>
      </c>
      <c r="O214" t="n">
        <v>2</v>
      </c>
      <c r="P214" t="n">
        <v>1</v>
      </c>
      <c r="Q214" t="n">
        <v>2</v>
      </c>
      <c r="R214" s="2" t="inlineStr">
        <is>
          <t>Stoftfibbla
Nubbfibbla</t>
        </is>
      </c>
      <c r="S214">
        <f>HYPERLINK("https://klasma.github.io/Logging_HULTSFRED/artfynd/A 40087-2018.xlsx", "A 40087-2018")</f>
        <v/>
      </c>
      <c r="T214">
        <f>HYPERLINK("https://klasma.github.io/Logging_HULTSFRED/kartor/A 40087-2018.png", "A 40087-2018")</f>
        <v/>
      </c>
      <c r="V214">
        <f>HYPERLINK("https://klasma.github.io/Logging_HULTSFRED/klagomål/A 40087-2018.docx", "A 40087-2018")</f>
        <v/>
      </c>
      <c r="W214">
        <f>HYPERLINK("https://klasma.github.io/Logging_HULTSFRED/klagomålsmail/A 40087-2018.docx", "A 40087-2018")</f>
        <v/>
      </c>
      <c r="X214">
        <f>HYPERLINK("https://klasma.github.io/Logging_HULTSFRED/tillsyn/A 40087-2018.docx", "A 40087-2018")</f>
        <v/>
      </c>
      <c r="Y214">
        <f>HYPERLINK("https://klasma.github.io/Logging_HULTSFRED/tillsynsmail/A 40087-2018.docx", "A 40087-2018")</f>
        <v/>
      </c>
    </row>
    <row r="215" ht="15" customHeight="1">
      <c r="A215" t="inlineStr">
        <is>
          <t>A 57207-2018</t>
        </is>
      </c>
      <c r="B215" s="1" t="n">
        <v>43403</v>
      </c>
      <c r="C215" s="1" t="n">
        <v>45190</v>
      </c>
      <c r="D215" t="inlineStr">
        <is>
          <t>KALMAR LÄN</t>
        </is>
      </c>
      <c r="E215" t="inlineStr">
        <is>
          <t>BORGHOLM</t>
        </is>
      </c>
      <c r="G215" t="n">
        <v>3.6</v>
      </c>
      <c r="H215" t="n">
        <v>1</v>
      </c>
      <c r="I215" t="n">
        <v>1</v>
      </c>
      <c r="J215" t="n">
        <v>0</v>
      </c>
      <c r="K215" t="n">
        <v>1</v>
      </c>
      <c r="L215" t="n">
        <v>0</v>
      </c>
      <c r="M215" t="n">
        <v>0</v>
      </c>
      <c r="N215" t="n">
        <v>0</v>
      </c>
      <c r="O215" t="n">
        <v>1</v>
      </c>
      <c r="P215" t="n">
        <v>1</v>
      </c>
      <c r="Q215" t="n">
        <v>2</v>
      </c>
      <c r="R215" s="2" t="inlineStr">
        <is>
          <t>Luddvicker
Skogsknipprot</t>
        </is>
      </c>
      <c r="S215">
        <f>HYPERLINK("https://klasma.github.io/Logging_BORGHOLM/artfynd/A 57207-2018.xlsx", "A 57207-2018")</f>
        <v/>
      </c>
      <c r="T215">
        <f>HYPERLINK("https://klasma.github.io/Logging_BORGHOLM/kartor/A 57207-2018.png", "A 57207-2018")</f>
        <v/>
      </c>
      <c r="V215">
        <f>HYPERLINK("https://klasma.github.io/Logging_BORGHOLM/klagomål/A 57207-2018.docx", "A 57207-2018")</f>
        <v/>
      </c>
      <c r="W215">
        <f>HYPERLINK("https://klasma.github.io/Logging_BORGHOLM/klagomålsmail/A 57207-2018.docx", "A 57207-2018")</f>
        <v/>
      </c>
      <c r="X215">
        <f>HYPERLINK("https://klasma.github.io/Logging_BORGHOLM/tillsyn/A 57207-2018.docx", "A 57207-2018")</f>
        <v/>
      </c>
      <c r="Y215">
        <f>HYPERLINK("https://klasma.github.io/Logging_BORGHOLM/tillsynsmail/A 57207-2018.docx", "A 57207-2018")</f>
        <v/>
      </c>
    </row>
    <row r="216" ht="15" customHeight="1">
      <c r="A216" t="inlineStr">
        <is>
          <t>A 60296-2018</t>
        </is>
      </c>
      <c r="B216" s="1" t="n">
        <v>43405</v>
      </c>
      <c r="C216" s="1" t="n">
        <v>45190</v>
      </c>
      <c r="D216" t="inlineStr">
        <is>
          <t>KALMAR LÄN</t>
        </is>
      </c>
      <c r="E216" t="inlineStr">
        <is>
          <t>HULTSFRED</t>
        </is>
      </c>
      <c r="G216" t="n">
        <v>1.5</v>
      </c>
      <c r="H216" t="n">
        <v>0</v>
      </c>
      <c r="I216" t="n">
        <v>2</v>
      </c>
      <c r="J216" t="n">
        <v>0</v>
      </c>
      <c r="K216" t="n">
        <v>0</v>
      </c>
      <c r="L216" t="n">
        <v>0</v>
      </c>
      <c r="M216" t="n">
        <v>0</v>
      </c>
      <c r="N216" t="n">
        <v>0</v>
      </c>
      <c r="O216" t="n">
        <v>0</v>
      </c>
      <c r="P216" t="n">
        <v>0</v>
      </c>
      <c r="Q216" t="n">
        <v>2</v>
      </c>
      <c r="R216" s="2" t="inlineStr">
        <is>
          <t>Dvärgkällmossa
Källmossa</t>
        </is>
      </c>
      <c r="S216">
        <f>HYPERLINK("https://klasma.github.io/Logging_HULTSFRED/artfynd/A 60296-2018.xlsx", "A 60296-2018")</f>
        <v/>
      </c>
      <c r="T216">
        <f>HYPERLINK("https://klasma.github.io/Logging_HULTSFRED/kartor/A 60296-2018.png", "A 60296-2018")</f>
        <v/>
      </c>
      <c r="V216">
        <f>HYPERLINK("https://klasma.github.io/Logging_HULTSFRED/klagomål/A 60296-2018.docx", "A 60296-2018")</f>
        <v/>
      </c>
      <c r="W216">
        <f>HYPERLINK("https://klasma.github.io/Logging_HULTSFRED/klagomålsmail/A 60296-2018.docx", "A 60296-2018")</f>
        <v/>
      </c>
      <c r="X216">
        <f>HYPERLINK("https://klasma.github.io/Logging_HULTSFRED/tillsyn/A 60296-2018.docx", "A 60296-2018")</f>
        <v/>
      </c>
      <c r="Y216">
        <f>HYPERLINK("https://klasma.github.io/Logging_HULTSFRED/tillsynsmail/A 60296-2018.docx", "A 60296-2018")</f>
        <v/>
      </c>
    </row>
    <row r="217" ht="15" customHeight="1">
      <c r="A217" t="inlineStr">
        <is>
          <t>A 61489-2018</t>
        </is>
      </c>
      <c r="B217" s="1" t="n">
        <v>43413</v>
      </c>
      <c r="C217" s="1" t="n">
        <v>45190</v>
      </c>
      <c r="D217" t="inlineStr">
        <is>
          <t>KALMAR LÄN</t>
        </is>
      </c>
      <c r="E217" t="inlineStr">
        <is>
          <t>EMMABODA</t>
        </is>
      </c>
      <c r="G217" t="n">
        <v>2.3</v>
      </c>
      <c r="H217" t="n">
        <v>0</v>
      </c>
      <c r="I217" t="n">
        <v>0</v>
      </c>
      <c r="J217" t="n">
        <v>1</v>
      </c>
      <c r="K217" t="n">
        <v>1</v>
      </c>
      <c r="L217" t="n">
        <v>0</v>
      </c>
      <c r="M217" t="n">
        <v>0</v>
      </c>
      <c r="N217" t="n">
        <v>0</v>
      </c>
      <c r="O217" t="n">
        <v>2</v>
      </c>
      <c r="P217" t="n">
        <v>1</v>
      </c>
      <c r="Q217" t="n">
        <v>2</v>
      </c>
      <c r="R217" s="2" t="inlineStr">
        <is>
          <t>Åkerrättika
Linmåra/småsnärjmåra</t>
        </is>
      </c>
      <c r="S217">
        <f>HYPERLINK("https://klasma.github.io/Logging_EMMABODA/artfynd/A 61489-2018.xlsx", "A 61489-2018")</f>
        <v/>
      </c>
      <c r="T217">
        <f>HYPERLINK("https://klasma.github.io/Logging_EMMABODA/kartor/A 61489-2018.png", "A 61489-2018")</f>
        <v/>
      </c>
      <c r="V217">
        <f>HYPERLINK("https://klasma.github.io/Logging_EMMABODA/klagomål/A 61489-2018.docx", "A 61489-2018")</f>
        <v/>
      </c>
      <c r="W217">
        <f>HYPERLINK("https://klasma.github.io/Logging_EMMABODA/klagomålsmail/A 61489-2018.docx", "A 61489-2018")</f>
        <v/>
      </c>
      <c r="X217">
        <f>HYPERLINK("https://klasma.github.io/Logging_EMMABODA/tillsyn/A 61489-2018.docx", "A 61489-2018")</f>
        <v/>
      </c>
      <c r="Y217">
        <f>HYPERLINK("https://klasma.github.io/Logging_EMMABODA/tillsynsmail/A 61489-2018.docx", "A 61489-2018")</f>
        <v/>
      </c>
    </row>
    <row r="218" ht="15" customHeight="1">
      <c r="A218" t="inlineStr">
        <is>
          <t>A 63698-2018</t>
        </is>
      </c>
      <c r="B218" s="1" t="n">
        <v>43417</v>
      </c>
      <c r="C218" s="1" t="n">
        <v>45190</v>
      </c>
      <c r="D218" t="inlineStr">
        <is>
          <t>KALMAR LÄN</t>
        </is>
      </c>
      <c r="E218" t="inlineStr">
        <is>
          <t>VIMMERBY</t>
        </is>
      </c>
      <c r="G218" t="n">
        <v>8</v>
      </c>
      <c r="H218" t="n">
        <v>1</v>
      </c>
      <c r="I218" t="n">
        <v>0</v>
      </c>
      <c r="J218" t="n">
        <v>1</v>
      </c>
      <c r="K218" t="n">
        <v>0</v>
      </c>
      <c r="L218" t="n">
        <v>0</v>
      </c>
      <c r="M218" t="n">
        <v>0</v>
      </c>
      <c r="N218" t="n">
        <v>0</v>
      </c>
      <c r="O218" t="n">
        <v>1</v>
      </c>
      <c r="P218" t="n">
        <v>0</v>
      </c>
      <c r="Q218" t="n">
        <v>2</v>
      </c>
      <c r="R218" s="2" t="inlineStr">
        <is>
          <t>Solvända
Gullviva</t>
        </is>
      </c>
      <c r="S218">
        <f>HYPERLINK("https://klasma.github.io/Logging_VIMMERBY/artfynd/A 63698-2018.xlsx", "A 63698-2018")</f>
        <v/>
      </c>
      <c r="T218">
        <f>HYPERLINK("https://klasma.github.io/Logging_VIMMERBY/kartor/A 63698-2018.png", "A 63698-2018")</f>
        <v/>
      </c>
      <c r="V218">
        <f>HYPERLINK("https://klasma.github.io/Logging_VIMMERBY/klagomål/A 63698-2018.docx", "A 63698-2018")</f>
        <v/>
      </c>
      <c r="W218">
        <f>HYPERLINK("https://klasma.github.io/Logging_VIMMERBY/klagomålsmail/A 63698-2018.docx", "A 63698-2018")</f>
        <v/>
      </c>
      <c r="X218">
        <f>HYPERLINK("https://klasma.github.io/Logging_VIMMERBY/tillsyn/A 63698-2018.docx", "A 63698-2018")</f>
        <v/>
      </c>
      <c r="Y218">
        <f>HYPERLINK("https://klasma.github.io/Logging_VIMMERBY/tillsynsmail/A 63698-2018.docx", "A 63698-2018")</f>
        <v/>
      </c>
    </row>
    <row r="219" ht="15" customHeight="1">
      <c r="A219" t="inlineStr">
        <is>
          <t>A 63122-2018</t>
        </is>
      </c>
      <c r="B219" s="1" t="n">
        <v>43418</v>
      </c>
      <c r="C219" s="1" t="n">
        <v>45190</v>
      </c>
      <c r="D219" t="inlineStr">
        <is>
          <t>KALMAR LÄN</t>
        </is>
      </c>
      <c r="E219" t="inlineStr">
        <is>
          <t>HULTSFRED</t>
        </is>
      </c>
      <c r="G219" t="n">
        <v>3.1</v>
      </c>
      <c r="H219" t="n">
        <v>2</v>
      </c>
      <c r="I219" t="n">
        <v>0</v>
      </c>
      <c r="J219" t="n">
        <v>0</v>
      </c>
      <c r="K219" t="n">
        <v>0</v>
      </c>
      <c r="L219" t="n">
        <v>0</v>
      </c>
      <c r="M219" t="n">
        <v>0</v>
      </c>
      <c r="N219" t="n">
        <v>0</v>
      </c>
      <c r="O219" t="n">
        <v>0</v>
      </c>
      <c r="P219" t="n">
        <v>0</v>
      </c>
      <c r="Q219" t="n">
        <v>2</v>
      </c>
      <c r="R219" s="2" t="inlineStr">
        <is>
          <t>Lopplummer
Mattlummer</t>
        </is>
      </c>
      <c r="S219">
        <f>HYPERLINK("https://klasma.github.io/Logging_HULTSFRED/artfynd/A 63122-2018.xlsx", "A 63122-2018")</f>
        <v/>
      </c>
      <c r="T219">
        <f>HYPERLINK("https://klasma.github.io/Logging_HULTSFRED/kartor/A 63122-2018.png", "A 63122-2018")</f>
        <v/>
      </c>
      <c r="V219">
        <f>HYPERLINK("https://klasma.github.io/Logging_HULTSFRED/klagomål/A 63122-2018.docx", "A 63122-2018")</f>
        <v/>
      </c>
      <c r="W219">
        <f>HYPERLINK("https://klasma.github.io/Logging_HULTSFRED/klagomålsmail/A 63122-2018.docx", "A 63122-2018")</f>
        <v/>
      </c>
      <c r="X219">
        <f>HYPERLINK("https://klasma.github.io/Logging_HULTSFRED/tillsyn/A 63122-2018.docx", "A 63122-2018")</f>
        <v/>
      </c>
      <c r="Y219">
        <f>HYPERLINK("https://klasma.github.io/Logging_HULTSFRED/tillsynsmail/A 63122-2018.docx", "A 63122-2018")</f>
        <v/>
      </c>
    </row>
    <row r="220" ht="15" customHeight="1">
      <c r="A220" t="inlineStr">
        <is>
          <t>A 64053-2018</t>
        </is>
      </c>
      <c r="B220" s="1" t="n">
        <v>43418</v>
      </c>
      <c r="C220" s="1" t="n">
        <v>45190</v>
      </c>
      <c r="D220" t="inlineStr">
        <is>
          <t>KALMAR LÄN</t>
        </is>
      </c>
      <c r="E220" t="inlineStr">
        <is>
          <t>VÄSTERVIK</t>
        </is>
      </c>
      <c r="G220" t="n">
        <v>3</v>
      </c>
      <c r="H220" t="n">
        <v>0</v>
      </c>
      <c r="I220" t="n">
        <v>1</v>
      </c>
      <c r="J220" t="n">
        <v>1</v>
      </c>
      <c r="K220" t="n">
        <v>0</v>
      </c>
      <c r="L220" t="n">
        <v>0</v>
      </c>
      <c r="M220" t="n">
        <v>0</v>
      </c>
      <c r="N220" t="n">
        <v>0</v>
      </c>
      <c r="O220" t="n">
        <v>1</v>
      </c>
      <c r="P220" t="n">
        <v>0</v>
      </c>
      <c r="Q220" t="n">
        <v>2</v>
      </c>
      <c r="R220" s="2" t="inlineStr">
        <is>
          <t>Tallticka
Blåmossa</t>
        </is>
      </c>
      <c r="S220">
        <f>HYPERLINK("https://klasma.github.io/Logging_VASTERVIK/artfynd/A 64053-2018.xlsx", "A 64053-2018")</f>
        <v/>
      </c>
      <c r="T220">
        <f>HYPERLINK("https://klasma.github.io/Logging_VASTERVIK/kartor/A 64053-2018.png", "A 64053-2018")</f>
        <v/>
      </c>
      <c r="V220">
        <f>HYPERLINK("https://klasma.github.io/Logging_VASTERVIK/klagomål/A 64053-2018.docx", "A 64053-2018")</f>
        <v/>
      </c>
      <c r="W220">
        <f>HYPERLINK("https://klasma.github.io/Logging_VASTERVIK/klagomålsmail/A 64053-2018.docx", "A 64053-2018")</f>
        <v/>
      </c>
      <c r="X220">
        <f>HYPERLINK("https://klasma.github.io/Logging_VASTERVIK/tillsyn/A 64053-2018.docx", "A 64053-2018")</f>
        <v/>
      </c>
      <c r="Y220">
        <f>HYPERLINK("https://klasma.github.io/Logging_VASTERVIK/tillsynsmail/A 64053-2018.docx", "A 64053-2018")</f>
        <v/>
      </c>
    </row>
    <row r="221" ht="15" customHeight="1">
      <c r="A221" t="inlineStr">
        <is>
          <t>A 59943-2018</t>
        </is>
      </c>
      <c r="B221" s="1" t="n">
        <v>43419</v>
      </c>
      <c r="C221" s="1" t="n">
        <v>45190</v>
      </c>
      <c r="D221" t="inlineStr">
        <is>
          <t>KALMAR LÄN</t>
        </is>
      </c>
      <c r="E221" t="inlineStr">
        <is>
          <t>HULTSFRED</t>
        </is>
      </c>
      <c r="G221" t="n">
        <v>11.2</v>
      </c>
      <c r="H221" t="n">
        <v>1</v>
      </c>
      <c r="I221" t="n">
        <v>1</v>
      </c>
      <c r="J221" t="n">
        <v>0</v>
      </c>
      <c r="K221" t="n">
        <v>0</v>
      </c>
      <c r="L221" t="n">
        <v>1</v>
      </c>
      <c r="M221" t="n">
        <v>0</v>
      </c>
      <c r="N221" t="n">
        <v>0</v>
      </c>
      <c r="O221" t="n">
        <v>1</v>
      </c>
      <c r="P221" t="n">
        <v>1</v>
      </c>
      <c r="Q221" t="n">
        <v>2</v>
      </c>
      <c r="R221" s="2" t="inlineStr">
        <is>
          <t>Ryl
Plattlummer</t>
        </is>
      </c>
      <c r="S221">
        <f>HYPERLINK("https://klasma.github.io/Logging_HULTSFRED/artfynd/A 59943-2018.xlsx", "A 59943-2018")</f>
        <v/>
      </c>
      <c r="T221">
        <f>HYPERLINK("https://klasma.github.io/Logging_HULTSFRED/kartor/A 59943-2018.png", "A 59943-2018")</f>
        <v/>
      </c>
      <c r="V221">
        <f>HYPERLINK("https://klasma.github.io/Logging_HULTSFRED/klagomål/A 59943-2018.docx", "A 59943-2018")</f>
        <v/>
      </c>
      <c r="W221">
        <f>HYPERLINK("https://klasma.github.io/Logging_HULTSFRED/klagomålsmail/A 59943-2018.docx", "A 59943-2018")</f>
        <v/>
      </c>
      <c r="X221">
        <f>HYPERLINK("https://klasma.github.io/Logging_HULTSFRED/tillsyn/A 59943-2018.docx", "A 59943-2018")</f>
        <v/>
      </c>
      <c r="Y221">
        <f>HYPERLINK("https://klasma.github.io/Logging_HULTSFRED/tillsynsmail/A 59943-2018.docx", "A 59943-2018")</f>
        <v/>
      </c>
    </row>
    <row r="222" ht="15" customHeight="1">
      <c r="A222" t="inlineStr">
        <is>
          <t>A 62254-2018</t>
        </is>
      </c>
      <c r="B222" s="1" t="n">
        <v>43425</v>
      </c>
      <c r="C222" s="1" t="n">
        <v>45190</v>
      </c>
      <c r="D222" t="inlineStr">
        <is>
          <t>KALMAR LÄN</t>
        </is>
      </c>
      <c r="E222" t="inlineStr">
        <is>
          <t>MÖNSTERÅS</t>
        </is>
      </c>
      <c r="G222" t="n">
        <v>3</v>
      </c>
      <c r="H222" t="n">
        <v>1</v>
      </c>
      <c r="I222" t="n">
        <v>0</v>
      </c>
      <c r="J222" t="n">
        <v>1</v>
      </c>
      <c r="K222" t="n">
        <v>1</v>
      </c>
      <c r="L222" t="n">
        <v>0</v>
      </c>
      <c r="M222" t="n">
        <v>0</v>
      </c>
      <c r="N222" t="n">
        <v>0</v>
      </c>
      <c r="O222" t="n">
        <v>2</v>
      </c>
      <c r="P222" t="n">
        <v>1</v>
      </c>
      <c r="Q222" t="n">
        <v>2</v>
      </c>
      <c r="R222" s="2" t="inlineStr">
        <is>
          <t>Knärot
Gullklöver</t>
        </is>
      </c>
      <c r="S222">
        <f>HYPERLINK("https://klasma.github.io/Logging_MONSTERAS/artfynd/A 62254-2018.xlsx", "A 62254-2018")</f>
        <v/>
      </c>
      <c r="T222">
        <f>HYPERLINK("https://klasma.github.io/Logging_MONSTERAS/kartor/A 62254-2018.png", "A 62254-2018")</f>
        <v/>
      </c>
      <c r="U222">
        <f>HYPERLINK("https://klasma.github.io/Logging_MONSTERAS/knärot/A 62254-2018.png", "A 62254-2018")</f>
        <v/>
      </c>
      <c r="V222">
        <f>HYPERLINK("https://klasma.github.io/Logging_MONSTERAS/klagomål/A 62254-2018.docx", "A 62254-2018")</f>
        <v/>
      </c>
      <c r="W222">
        <f>HYPERLINK("https://klasma.github.io/Logging_MONSTERAS/klagomålsmail/A 62254-2018.docx", "A 62254-2018")</f>
        <v/>
      </c>
      <c r="X222">
        <f>HYPERLINK("https://klasma.github.io/Logging_MONSTERAS/tillsyn/A 62254-2018.docx", "A 62254-2018")</f>
        <v/>
      </c>
      <c r="Y222">
        <f>HYPERLINK("https://klasma.github.io/Logging_MONSTERAS/tillsynsmail/A 62254-2018.docx", "A 62254-2018")</f>
        <v/>
      </c>
    </row>
    <row r="223" ht="15" customHeight="1">
      <c r="A223" t="inlineStr">
        <is>
          <t>A 66214-2018</t>
        </is>
      </c>
      <c r="B223" s="1" t="n">
        <v>43434</v>
      </c>
      <c r="C223" s="1" t="n">
        <v>45190</v>
      </c>
      <c r="D223" t="inlineStr">
        <is>
          <t>KALMAR LÄN</t>
        </is>
      </c>
      <c r="E223" t="inlineStr">
        <is>
          <t>TORSÅS</t>
        </is>
      </c>
      <c r="G223" t="n">
        <v>5</v>
      </c>
      <c r="H223" t="n">
        <v>2</v>
      </c>
      <c r="I223" t="n">
        <v>1</v>
      </c>
      <c r="J223" t="n">
        <v>1</v>
      </c>
      <c r="K223" t="n">
        <v>0</v>
      </c>
      <c r="L223" t="n">
        <v>0</v>
      </c>
      <c r="M223" t="n">
        <v>0</v>
      </c>
      <c r="N223" t="n">
        <v>0</v>
      </c>
      <c r="O223" t="n">
        <v>1</v>
      </c>
      <c r="P223" t="n">
        <v>0</v>
      </c>
      <c r="Q223" t="n">
        <v>2</v>
      </c>
      <c r="R223" s="2" t="inlineStr">
        <is>
          <t>Långbensgroda
Korallrot</t>
        </is>
      </c>
      <c r="S223">
        <f>HYPERLINK("https://klasma.github.io/Logging_TORSAS/artfynd/A 66214-2018.xlsx", "A 66214-2018")</f>
        <v/>
      </c>
      <c r="T223">
        <f>HYPERLINK("https://klasma.github.io/Logging_TORSAS/kartor/A 66214-2018.png", "A 66214-2018")</f>
        <v/>
      </c>
      <c r="V223">
        <f>HYPERLINK("https://klasma.github.io/Logging_TORSAS/klagomål/A 66214-2018.docx", "A 66214-2018")</f>
        <v/>
      </c>
      <c r="W223">
        <f>HYPERLINK("https://klasma.github.io/Logging_TORSAS/klagomålsmail/A 66214-2018.docx", "A 66214-2018")</f>
        <v/>
      </c>
      <c r="X223">
        <f>HYPERLINK("https://klasma.github.io/Logging_TORSAS/tillsyn/A 66214-2018.docx", "A 66214-2018")</f>
        <v/>
      </c>
      <c r="Y223">
        <f>HYPERLINK("https://klasma.github.io/Logging_TORSAS/tillsynsmail/A 66214-2018.docx", "A 66214-2018")</f>
        <v/>
      </c>
    </row>
    <row r="224" ht="15" customHeight="1">
      <c r="A224" t="inlineStr">
        <is>
          <t>A 70416-2018</t>
        </is>
      </c>
      <c r="B224" s="1" t="n">
        <v>43447</v>
      </c>
      <c r="C224" s="1" t="n">
        <v>45190</v>
      </c>
      <c r="D224" t="inlineStr">
        <is>
          <t>KALMAR LÄN</t>
        </is>
      </c>
      <c r="E224" t="inlineStr">
        <is>
          <t>VIMMERBY</t>
        </is>
      </c>
      <c r="G224" t="n">
        <v>2.3</v>
      </c>
      <c r="H224" t="n">
        <v>1</v>
      </c>
      <c r="I224" t="n">
        <v>0</v>
      </c>
      <c r="J224" t="n">
        <v>1</v>
      </c>
      <c r="K224" t="n">
        <v>0</v>
      </c>
      <c r="L224" t="n">
        <v>0</v>
      </c>
      <c r="M224" t="n">
        <v>0</v>
      </c>
      <c r="N224" t="n">
        <v>0</v>
      </c>
      <c r="O224" t="n">
        <v>1</v>
      </c>
      <c r="P224" t="n">
        <v>0</v>
      </c>
      <c r="Q224" t="n">
        <v>2</v>
      </c>
      <c r="R224" s="2" t="inlineStr">
        <is>
          <t>Sommarfibbla
Fläcknycklar</t>
        </is>
      </c>
      <c r="S224">
        <f>HYPERLINK("https://klasma.github.io/Logging_VIMMERBY/artfynd/A 70416-2018.xlsx", "A 70416-2018")</f>
        <v/>
      </c>
      <c r="T224">
        <f>HYPERLINK("https://klasma.github.io/Logging_VIMMERBY/kartor/A 70416-2018.png", "A 70416-2018")</f>
        <v/>
      </c>
      <c r="V224">
        <f>HYPERLINK("https://klasma.github.io/Logging_VIMMERBY/klagomål/A 70416-2018.docx", "A 70416-2018")</f>
        <v/>
      </c>
      <c r="W224">
        <f>HYPERLINK("https://klasma.github.io/Logging_VIMMERBY/klagomålsmail/A 70416-2018.docx", "A 70416-2018")</f>
        <v/>
      </c>
      <c r="X224">
        <f>HYPERLINK("https://klasma.github.io/Logging_VIMMERBY/tillsyn/A 70416-2018.docx", "A 70416-2018")</f>
        <v/>
      </c>
      <c r="Y224">
        <f>HYPERLINK("https://klasma.github.io/Logging_VIMMERBY/tillsynsmail/A 70416-2018.docx", "A 70416-2018")</f>
        <v/>
      </c>
    </row>
    <row r="225" ht="15" customHeight="1">
      <c r="A225" t="inlineStr">
        <is>
          <t>A 70951-2018</t>
        </is>
      </c>
      <c r="B225" s="1" t="n">
        <v>43448</v>
      </c>
      <c r="C225" s="1" t="n">
        <v>45190</v>
      </c>
      <c r="D225" t="inlineStr">
        <is>
          <t>KALMAR LÄN</t>
        </is>
      </c>
      <c r="E225" t="inlineStr">
        <is>
          <t>KALMAR</t>
        </is>
      </c>
      <c r="G225" t="n">
        <v>6</v>
      </c>
      <c r="H225" t="n">
        <v>1</v>
      </c>
      <c r="I225" t="n">
        <v>1</v>
      </c>
      <c r="J225" t="n">
        <v>0</v>
      </c>
      <c r="K225" t="n">
        <v>0</v>
      </c>
      <c r="L225" t="n">
        <v>0</v>
      </c>
      <c r="M225" t="n">
        <v>0</v>
      </c>
      <c r="N225" t="n">
        <v>0</v>
      </c>
      <c r="O225" t="n">
        <v>0</v>
      </c>
      <c r="P225" t="n">
        <v>0</v>
      </c>
      <c r="Q225" t="n">
        <v>2</v>
      </c>
      <c r="R225" s="2" t="inlineStr">
        <is>
          <t>Sårläka
Blåsippa</t>
        </is>
      </c>
      <c r="S225">
        <f>HYPERLINK("https://klasma.github.io/Logging_KALMAR/artfynd/A 70951-2018.xlsx", "A 70951-2018")</f>
        <v/>
      </c>
      <c r="T225">
        <f>HYPERLINK("https://klasma.github.io/Logging_KALMAR/kartor/A 70951-2018.png", "A 70951-2018")</f>
        <v/>
      </c>
      <c r="V225">
        <f>HYPERLINK("https://klasma.github.io/Logging_KALMAR/klagomål/A 70951-2018.docx", "A 70951-2018")</f>
        <v/>
      </c>
      <c r="W225">
        <f>HYPERLINK("https://klasma.github.io/Logging_KALMAR/klagomålsmail/A 70951-2018.docx", "A 70951-2018")</f>
        <v/>
      </c>
      <c r="X225">
        <f>HYPERLINK("https://klasma.github.io/Logging_KALMAR/tillsyn/A 70951-2018.docx", "A 70951-2018")</f>
        <v/>
      </c>
      <c r="Y225">
        <f>HYPERLINK("https://klasma.github.io/Logging_KALMAR/tillsynsmail/A 70951-2018.docx", "A 70951-2018")</f>
        <v/>
      </c>
    </row>
    <row r="226" ht="15" customHeight="1">
      <c r="A226" t="inlineStr">
        <is>
          <t>A 70270-2018</t>
        </is>
      </c>
      <c r="B226" s="1" t="n">
        <v>43449</v>
      </c>
      <c r="C226" s="1" t="n">
        <v>45190</v>
      </c>
      <c r="D226" t="inlineStr">
        <is>
          <t>KALMAR LÄN</t>
        </is>
      </c>
      <c r="E226" t="inlineStr">
        <is>
          <t>NYBRO</t>
        </is>
      </c>
      <c r="G226" t="n">
        <v>2.7</v>
      </c>
      <c r="H226" t="n">
        <v>0</v>
      </c>
      <c r="I226" t="n">
        <v>0</v>
      </c>
      <c r="J226" t="n">
        <v>2</v>
      </c>
      <c r="K226" t="n">
        <v>0</v>
      </c>
      <c r="L226" t="n">
        <v>0</v>
      </c>
      <c r="M226" t="n">
        <v>0</v>
      </c>
      <c r="N226" t="n">
        <v>0</v>
      </c>
      <c r="O226" t="n">
        <v>2</v>
      </c>
      <c r="P226" t="n">
        <v>0</v>
      </c>
      <c r="Q226" t="n">
        <v>2</v>
      </c>
      <c r="R226" s="2" t="inlineStr">
        <is>
          <t>Mindre träfjäril
Tallticka</t>
        </is>
      </c>
      <c r="S226">
        <f>HYPERLINK("https://klasma.github.io/Logging_NYBRO/artfynd/A 70270-2018.xlsx", "A 70270-2018")</f>
        <v/>
      </c>
      <c r="T226">
        <f>HYPERLINK("https://klasma.github.io/Logging_NYBRO/kartor/A 70270-2018.png", "A 70270-2018")</f>
        <v/>
      </c>
      <c r="V226">
        <f>HYPERLINK("https://klasma.github.io/Logging_NYBRO/klagomål/A 70270-2018.docx", "A 70270-2018")</f>
        <v/>
      </c>
      <c r="W226">
        <f>HYPERLINK("https://klasma.github.io/Logging_NYBRO/klagomålsmail/A 70270-2018.docx", "A 70270-2018")</f>
        <v/>
      </c>
      <c r="X226">
        <f>HYPERLINK("https://klasma.github.io/Logging_NYBRO/tillsyn/A 70270-2018.docx", "A 70270-2018")</f>
        <v/>
      </c>
      <c r="Y226">
        <f>HYPERLINK("https://klasma.github.io/Logging_NYBRO/tillsynsmail/A 70270-2018.docx", "A 70270-2018")</f>
        <v/>
      </c>
    </row>
    <row r="227" ht="15" customHeight="1">
      <c r="A227" t="inlineStr">
        <is>
          <t>A 71214-2018</t>
        </is>
      </c>
      <c r="B227" s="1" t="n">
        <v>43453</v>
      </c>
      <c r="C227" s="1" t="n">
        <v>45190</v>
      </c>
      <c r="D227" t="inlineStr">
        <is>
          <t>KALMAR LÄN</t>
        </is>
      </c>
      <c r="E227" t="inlineStr">
        <is>
          <t>VIMMERBY</t>
        </is>
      </c>
      <c r="G227" t="n">
        <v>3.7</v>
      </c>
      <c r="H227" t="n">
        <v>1</v>
      </c>
      <c r="I227" t="n">
        <v>1</v>
      </c>
      <c r="J227" t="n">
        <v>0</v>
      </c>
      <c r="K227" t="n">
        <v>0</v>
      </c>
      <c r="L227" t="n">
        <v>0</v>
      </c>
      <c r="M227" t="n">
        <v>0</v>
      </c>
      <c r="N227" t="n">
        <v>0</v>
      </c>
      <c r="O227" t="n">
        <v>0</v>
      </c>
      <c r="P227" t="n">
        <v>0</v>
      </c>
      <c r="Q227" t="n">
        <v>2</v>
      </c>
      <c r="R227" s="2" t="inlineStr">
        <is>
          <t>Svavelriska
Revlummer</t>
        </is>
      </c>
      <c r="S227">
        <f>HYPERLINK("https://klasma.github.io/Logging_VIMMERBY/artfynd/A 71214-2018.xlsx", "A 71214-2018")</f>
        <v/>
      </c>
      <c r="T227">
        <f>HYPERLINK("https://klasma.github.io/Logging_VIMMERBY/kartor/A 71214-2018.png", "A 71214-2018")</f>
        <v/>
      </c>
      <c r="V227">
        <f>HYPERLINK("https://klasma.github.io/Logging_VIMMERBY/klagomål/A 71214-2018.docx", "A 71214-2018")</f>
        <v/>
      </c>
      <c r="W227">
        <f>HYPERLINK("https://klasma.github.io/Logging_VIMMERBY/klagomålsmail/A 71214-2018.docx", "A 71214-2018")</f>
        <v/>
      </c>
      <c r="X227">
        <f>HYPERLINK("https://klasma.github.io/Logging_VIMMERBY/tillsyn/A 71214-2018.docx", "A 71214-2018")</f>
        <v/>
      </c>
      <c r="Y227">
        <f>HYPERLINK("https://klasma.github.io/Logging_VIMMERBY/tillsynsmail/A 71214-2018.docx", "A 71214-2018")</f>
        <v/>
      </c>
    </row>
    <row r="228" ht="15" customHeight="1">
      <c r="A228" t="inlineStr">
        <is>
          <t>A 5642-2019</t>
        </is>
      </c>
      <c r="B228" s="1" t="n">
        <v>43489</v>
      </c>
      <c r="C228" s="1" t="n">
        <v>45190</v>
      </c>
      <c r="D228" t="inlineStr">
        <is>
          <t>KALMAR LÄN</t>
        </is>
      </c>
      <c r="E228" t="inlineStr">
        <is>
          <t>HULTSFRED</t>
        </is>
      </c>
      <c r="G228" t="n">
        <v>3.9</v>
      </c>
      <c r="H228" t="n">
        <v>2</v>
      </c>
      <c r="I228" t="n">
        <v>0</v>
      </c>
      <c r="J228" t="n">
        <v>1</v>
      </c>
      <c r="K228" t="n">
        <v>0</v>
      </c>
      <c r="L228" t="n">
        <v>1</v>
      </c>
      <c r="M228" t="n">
        <v>0</v>
      </c>
      <c r="N228" t="n">
        <v>0</v>
      </c>
      <c r="O228" t="n">
        <v>2</v>
      </c>
      <c r="P228" t="n">
        <v>1</v>
      </c>
      <c r="Q228" t="n">
        <v>2</v>
      </c>
      <c r="R228" s="2" t="inlineStr">
        <is>
          <t>Mosippa
Spillkråka</t>
        </is>
      </c>
      <c r="S228">
        <f>HYPERLINK("https://klasma.github.io/Logging_HULTSFRED/artfynd/A 5642-2019.xlsx", "A 5642-2019")</f>
        <v/>
      </c>
      <c r="T228">
        <f>HYPERLINK("https://klasma.github.io/Logging_HULTSFRED/kartor/A 5642-2019.png", "A 5642-2019")</f>
        <v/>
      </c>
      <c r="V228">
        <f>HYPERLINK("https://klasma.github.io/Logging_HULTSFRED/klagomål/A 5642-2019.docx", "A 5642-2019")</f>
        <v/>
      </c>
      <c r="W228">
        <f>HYPERLINK("https://klasma.github.io/Logging_HULTSFRED/klagomålsmail/A 5642-2019.docx", "A 5642-2019")</f>
        <v/>
      </c>
      <c r="X228">
        <f>HYPERLINK("https://klasma.github.io/Logging_HULTSFRED/tillsyn/A 5642-2019.docx", "A 5642-2019")</f>
        <v/>
      </c>
      <c r="Y228">
        <f>HYPERLINK("https://klasma.github.io/Logging_HULTSFRED/tillsynsmail/A 5642-2019.docx", "A 5642-2019")</f>
        <v/>
      </c>
    </row>
    <row r="229" ht="15" customHeight="1">
      <c r="A229" t="inlineStr">
        <is>
          <t>A 7907-2019</t>
        </is>
      </c>
      <c r="B229" s="1" t="n">
        <v>43500</v>
      </c>
      <c r="C229" s="1" t="n">
        <v>45190</v>
      </c>
      <c r="D229" t="inlineStr">
        <is>
          <t>KALMAR LÄN</t>
        </is>
      </c>
      <c r="E229" t="inlineStr">
        <is>
          <t>VÄSTERVIK</t>
        </is>
      </c>
      <c r="G229" t="n">
        <v>3</v>
      </c>
      <c r="H229" t="n">
        <v>0</v>
      </c>
      <c r="I229" t="n">
        <v>2</v>
      </c>
      <c r="J229" t="n">
        <v>0</v>
      </c>
      <c r="K229" t="n">
        <v>0</v>
      </c>
      <c r="L229" t="n">
        <v>0</v>
      </c>
      <c r="M229" t="n">
        <v>0</v>
      </c>
      <c r="N229" t="n">
        <v>0</v>
      </c>
      <c r="O229" t="n">
        <v>0</v>
      </c>
      <c r="P229" t="n">
        <v>0</v>
      </c>
      <c r="Q229" t="n">
        <v>2</v>
      </c>
      <c r="R229" s="2" t="inlineStr">
        <is>
          <t>Grov fjädermossa
Platt fjädermossa</t>
        </is>
      </c>
      <c r="S229">
        <f>HYPERLINK("https://klasma.github.io/Logging_VASTERVIK/artfynd/A 7907-2019.xlsx", "A 7907-2019")</f>
        <v/>
      </c>
      <c r="T229">
        <f>HYPERLINK("https://klasma.github.io/Logging_VASTERVIK/kartor/A 7907-2019.png", "A 7907-2019")</f>
        <v/>
      </c>
      <c r="V229">
        <f>HYPERLINK("https://klasma.github.io/Logging_VASTERVIK/klagomål/A 7907-2019.docx", "A 7907-2019")</f>
        <v/>
      </c>
      <c r="W229">
        <f>HYPERLINK("https://klasma.github.io/Logging_VASTERVIK/klagomålsmail/A 7907-2019.docx", "A 7907-2019")</f>
        <v/>
      </c>
      <c r="X229">
        <f>HYPERLINK("https://klasma.github.io/Logging_VASTERVIK/tillsyn/A 7907-2019.docx", "A 7907-2019")</f>
        <v/>
      </c>
      <c r="Y229">
        <f>HYPERLINK("https://klasma.github.io/Logging_VASTERVIK/tillsynsmail/A 7907-2019.docx", "A 7907-2019")</f>
        <v/>
      </c>
    </row>
    <row r="230" ht="15" customHeight="1">
      <c r="A230" t="inlineStr">
        <is>
          <t>A 13588-2019</t>
        </is>
      </c>
      <c r="B230" s="1" t="n">
        <v>43530</v>
      </c>
      <c r="C230" s="1" t="n">
        <v>45190</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13588-2019.xlsx", "A 13588-2019")</f>
        <v/>
      </c>
      <c r="T230">
        <f>HYPERLINK("https://klasma.github.io/Logging_VIMMERBY/kartor/A 13588-2019.png", "A 13588-2019")</f>
        <v/>
      </c>
      <c r="V230">
        <f>HYPERLINK("https://klasma.github.io/Logging_VIMMERBY/klagomål/A 13588-2019.docx", "A 13588-2019")</f>
        <v/>
      </c>
      <c r="W230">
        <f>HYPERLINK("https://klasma.github.io/Logging_VIMMERBY/klagomålsmail/A 13588-2019.docx", "A 13588-2019")</f>
        <v/>
      </c>
      <c r="X230">
        <f>HYPERLINK("https://klasma.github.io/Logging_VIMMERBY/tillsyn/A 13588-2019.docx", "A 13588-2019")</f>
        <v/>
      </c>
      <c r="Y230">
        <f>HYPERLINK("https://klasma.github.io/Logging_VIMMERBY/tillsynsmail/A 13588-2019.docx", "A 13588-2019")</f>
        <v/>
      </c>
    </row>
    <row r="231" ht="15" customHeight="1">
      <c r="A231" t="inlineStr">
        <is>
          <t>A 13596-2019</t>
        </is>
      </c>
      <c r="B231" s="1" t="n">
        <v>43530</v>
      </c>
      <c r="C231" s="1" t="n">
        <v>45190</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13596-2019.xlsx", "A 13596-2019")</f>
        <v/>
      </c>
      <c r="T231">
        <f>HYPERLINK("https://klasma.github.io/Logging_VIMMERBY/kartor/A 13596-2019.png", "A 13596-2019")</f>
        <v/>
      </c>
      <c r="V231">
        <f>HYPERLINK("https://klasma.github.io/Logging_VIMMERBY/klagomål/A 13596-2019.docx", "A 13596-2019")</f>
        <v/>
      </c>
      <c r="W231">
        <f>HYPERLINK("https://klasma.github.io/Logging_VIMMERBY/klagomålsmail/A 13596-2019.docx", "A 13596-2019")</f>
        <v/>
      </c>
      <c r="X231">
        <f>HYPERLINK("https://klasma.github.io/Logging_VIMMERBY/tillsyn/A 13596-2019.docx", "A 13596-2019")</f>
        <v/>
      </c>
      <c r="Y231">
        <f>HYPERLINK("https://klasma.github.io/Logging_VIMMERBY/tillsynsmail/A 13596-2019.docx", "A 13596-2019")</f>
        <v/>
      </c>
    </row>
    <row r="232" ht="15" customHeight="1">
      <c r="A232" t="inlineStr">
        <is>
          <t>A 16358-2019</t>
        </is>
      </c>
      <c r="B232" s="1" t="n">
        <v>43545</v>
      </c>
      <c r="C232" s="1" t="n">
        <v>45190</v>
      </c>
      <c r="D232" t="inlineStr">
        <is>
          <t>KALMAR LÄN</t>
        </is>
      </c>
      <c r="E232" t="inlineStr">
        <is>
          <t>OSKARSHAMN</t>
        </is>
      </c>
      <c r="G232" t="n">
        <v>19.5</v>
      </c>
      <c r="H232" t="n">
        <v>1</v>
      </c>
      <c r="I232" t="n">
        <v>1</v>
      </c>
      <c r="J232" t="n">
        <v>1</v>
      </c>
      <c r="K232" t="n">
        <v>0</v>
      </c>
      <c r="L232" t="n">
        <v>0</v>
      </c>
      <c r="M232" t="n">
        <v>0</v>
      </c>
      <c r="N232" t="n">
        <v>0</v>
      </c>
      <c r="O232" t="n">
        <v>1</v>
      </c>
      <c r="P232" t="n">
        <v>0</v>
      </c>
      <c r="Q232" t="n">
        <v>2</v>
      </c>
      <c r="R232" s="2" t="inlineStr">
        <is>
          <t>Talltita
Blåmossa</t>
        </is>
      </c>
      <c r="S232">
        <f>HYPERLINK("https://klasma.github.io/Logging_OSKARSHAMN/artfynd/A 16358-2019.xlsx", "A 16358-2019")</f>
        <v/>
      </c>
      <c r="T232">
        <f>HYPERLINK("https://klasma.github.io/Logging_OSKARSHAMN/kartor/A 16358-2019.png", "A 16358-2019")</f>
        <v/>
      </c>
      <c r="V232">
        <f>HYPERLINK("https://klasma.github.io/Logging_OSKARSHAMN/klagomål/A 16358-2019.docx", "A 16358-2019")</f>
        <v/>
      </c>
      <c r="W232">
        <f>HYPERLINK("https://klasma.github.io/Logging_OSKARSHAMN/klagomålsmail/A 16358-2019.docx", "A 16358-2019")</f>
        <v/>
      </c>
      <c r="X232">
        <f>HYPERLINK("https://klasma.github.io/Logging_OSKARSHAMN/tillsyn/A 16358-2019.docx", "A 16358-2019")</f>
        <v/>
      </c>
      <c r="Y232">
        <f>HYPERLINK("https://klasma.github.io/Logging_OSKARSHAMN/tillsynsmail/A 16358-2019.docx", "A 16358-2019")</f>
        <v/>
      </c>
    </row>
    <row r="233" ht="15" customHeight="1">
      <c r="A233" t="inlineStr">
        <is>
          <t>A 17437-2019</t>
        </is>
      </c>
      <c r="B233" s="1" t="n">
        <v>43553</v>
      </c>
      <c r="C233" s="1" t="n">
        <v>45190</v>
      </c>
      <c r="D233" t="inlineStr">
        <is>
          <t>KALMAR LÄN</t>
        </is>
      </c>
      <c r="E233" t="inlineStr">
        <is>
          <t>NYBRO</t>
        </is>
      </c>
      <c r="G233" t="n">
        <v>5.1</v>
      </c>
      <c r="H233" t="n">
        <v>0</v>
      </c>
      <c r="I233" t="n">
        <v>0</v>
      </c>
      <c r="J233" t="n">
        <v>1</v>
      </c>
      <c r="K233" t="n">
        <v>0</v>
      </c>
      <c r="L233" t="n">
        <v>0</v>
      </c>
      <c r="M233" t="n">
        <v>1</v>
      </c>
      <c r="N233" t="n">
        <v>0</v>
      </c>
      <c r="O233" t="n">
        <v>2</v>
      </c>
      <c r="P233" t="n">
        <v>1</v>
      </c>
      <c r="Q233" t="n">
        <v>2</v>
      </c>
      <c r="R233" s="2" t="inlineStr">
        <is>
          <t>Skogsalm
Vippärt</t>
        </is>
      </c>
      <c r="S233">
        <f>HYPERLINK("https://klasma.github.io/Logging_NYBRO/artfynd/A 17437-2019.xlsx", "A 17437-2019")</f>
        <v/>
      </c>
      <c r="T233">
        <f>HYPERLINK("https://klasma.github.io/Logging_NYBRO/kartor/A 17437-2019.png", "A 17437-2019")</f>
        <v/>
      </c>
      <c r="V233">
        <f>HYPERLINK("https://klasma.github.io/Logging_NYBRO/klagomål/A 17437-2019.docx", "A 17437-2019")</f>
        <v/>
      </c>
      <c r="W233">
        <f>HYPERLINK("https://klasma.github.io/Logging_NYBRO/klagomålsmail/A 17437-2019.docx", "A 17437-2019")</f>
        <v/>
      </c>
      <c r="X233">
        <f>HYPERLINK("https://klasma.github.io/Logging_NYBRO/tillsyn/A 17437-2019.docx", "A 17437-2019")</f>
        <v/>
      </c>
      <c r="Y233">
        <f>HYPERLINK("https://klasma.github.io/Logging_NYBRO/tillsynsmail/A 17437-2019.docx", "A 17437-2019")</f>
        <v/>
      </c>
    </row>
    <row r="234" ht="15" customHeight="1">
      <c r="A234" t="inlineStr">
        <is>
          <t>A 20824-2019</t>
        </is>
      </c>
      <c r="B234" s="1" t="n">
        <v>43573</v>
      </c>
      <c r="C234" s="1" t="n">
        <v>45190</v>
      </c>
      <c r="D234" t="inlineStr">
        <is>
          <t>KALMAR LÄN</t>
        </is>
      </c>
      <c r="E234" t="inlineStr">
        <is>
          <t>HÖGSBY</t>
        </is>
      </c>
      <c r="G234" t="n">
        <v>0.9</v>
      </c>
      <c r="H234" t="n">
        <v>0</v>
      </c>
      <c r="I234" t="n">
        <v>1</v>
      </c>
      <c r="J234" t="n">
        <v>0</v>
      </c>
      <c r="K234" t="n">
        <v>1</v>
      </c>
      <c r="L234" t="n">
        <v>0</v>
      </c>
      <c r="M234" t="n">
        <v>0</v>
      </c>
      <c r="N234" t="n">
        <v>0</v>
      </c>
      <c r="O234" t="n">
        <v>1</v>
      </c>
      <c r="P234" t="n">
        <v>1</v>
      </c>
      <c r="Q234" t="n">
        <v>2</v>
      </c>
      <c r="R234" s="2" t="inlineStr">
        <is>
          <t>Brandtaggsvamp
Skarp dropptaggsvamp</t>
        </is>
      </c>
      <c r="S234">
        <f>HYPERLINK("https://klasma.github.io/Logging_HOGSBY/artfynd/A 20824-2019.xlsx", "A 20824-2019")</f>
        <v/>
      </c>
      <c r="T234">
        <f>HYPERLINK("https://klasma.github.io/Logging_HOGSBY/kartor/A 20824-2019.png", "A 20824-2019")</f>
        <v/>
      </c>
      <c r="V234">
        <f>HYPERLINK("https://klasma.github.io/Logging_HOGSBY/klagomål/A 20824-2019.docx", "A 20824-2019")</f>
        <v/>
      </c>
      <c r="W234">
        <f>HYPERLINK("https://klasma.github.io/Logging_HOGSBY/klagomålsmail/A 20824-2019.docx", "A 20824-2019")</f>
        <v/>
      </c>
      <c r="X234">
        <f>HYPERLINK("https://klasma.github.io/Logging_HOGSBY/tillsyn/A 20824-2019.docx", "A 20824-2019")</f>
        <v/>
      </c>
      <c r="Y234">
        <f>HYPERLINK("https://klasma.github.io/Logging_HOGSBY/tillsynsmail/A 20824-2019.docx", "A 20824-2019")</f>
        <v/>
      </c>
    </row>
    <row r="235" ht="15" customHeight="1">
      <c r="A235" t="inlineStr">
        <is>
          <t>A 25729-2019</t>
        </is>
      </c>
      <c r="B235" s="1" t="n">
        <v>43608</v>
      </c>
      <c r="C235" s="1" t="n">
        <v>45190</v>
      </c>
      <c r="D235" t="inlineStr">
        <is>
          <t>KALMAR LÄN</t>
        </is>
      </c>
      <c r="E235" t="inlineStr">
        <is>
          <t>TORSÅS</t>
        </is>
      </c>
      <c r="G235" t="n">
        <v>1.1</v>
      </c>
      <c r="H235" t="n">
        <v>0</v>
      </c>
      <c r="I235" t="n">
        <v>2</v>
      </c>
      <c r="J235" t="n">
        <v>0</v>
      </c>
      <c r="K235" t="n">
        <v>0</v>
      </c>
      <c r="L235" t="n">
        <v>0</v>
      </c>
      <c r="M235" t="n">
        <v>0</v>
      </c>
      <c r="N235" t="n">
        <v>0</v>
      </c>
      <c r="O235" t="n">
        <v>0</v>
      </c>
      <c r="P235" t="n">
        <v>0</v>
      </c>
      <c r="Q235" t="n">
        <v>2</v>
      </c>
      <c r="R235" s="2" t="inlineStr">
        <is>
          <t>Sårläka
Ögonpyrola</t>
        </is>
      </c>
      <c r="S235">
        <f>HYPERLINK("https://klasma.github.io/Logging_TORSAS/artfynd/A 25729-2019.xlsx", "A 25729-2019")</f>
        <v/>
      </c>
      <c r="T235">
        <f>HYPERLINK("https://klasma.github.io/Logging_TORSAS/kartor/A 25729-2019.png", "A 25729-2019")</f>
        <v/>
      </c>
      <c r="V235">
        <f>HYPERLINK("https://klasma.github.io/Logging_TORSAS/klagomål/A 25729-2019.docx", "A 25729-2019")</f>
        <v/>
      </c>
      <c r="W235">
        <f>HYPERLINK("https://klasma.github.io/Logging_TORSAS/klagomålsmail/A 25729-2019.docx", "A 25729-2019")</f>
        <v/>
      </c>
      <c r="X235">
        <f>HYPERLINK("https://klasma.github.io/Logging_TORSAS/tillsyn/A 25729-2019.docx", "A 25729-2019")</f>
        <v/>
      </c>
      <c r="Y235">
        <f>HYPERLINK("https://klasma.github.io/Logging_TORSAS/tillsynsmail/A 25729-2019.docx", "A 25729-2019")</f>
        <v/>
      </c>
    </row>
    <row r="236" ht="15" customHeight="1">
      <c r="A236" t="inlineStr">
        <is>
          <t>A 31267-2019</t>
        </is>
      </c>
      <c r="B236" s="1" t="n">
        <v>43640</v>
      </c>
      <c r="C236" s="1" t="n">
        <v>45190</v>
      </c>
      <c r="D236" t="inlineStr">
        <is>
          <t>KALMAR LÄN</t>
        </is>
      </c>
      <c r="E236" t="inlineStr">
        <is>
          <t>KALMAR</t>
        </is>
      </c>
      <c r="G236" t="n">
        <v>2.1</v>
      </c>
      <c r="H236" t="n">
        <v>1</v>
      </c>
      <c r="I236" t="n">
        <v>1</v>
      </c>
      <c r="J236" t="n">
        <v>0</v>
      </c>
      <c r="K236" t="n">
        <v>1</v>
      </c>
      <c r="L236" t="n">
        <v>0</v>
      </c>
      <c r="M236" t="n">
        <v>0</v>
      </c>
      <c r="N236" t="n">
        <v>0</v>
      </c>
      <c r="O236" t="n">
        <v>1</v>
      </c>
      <c r="P236" t="n">
        <v>1</v>
      </c>
      <c r="Q236" t="n">
        <v>2</v>
      </c>
      <c r="R236" s="2" t="inlineStr">
        <is>
          <t>Knärot
Vedticka</t>
        </is>
      </c>
      <c r="S236">
        <f>HYPERLINK("https://klasma.github.io/Logging_KALMAR/artfynd/A 31267-2019.xlsx", "A 31267-2019")</f>
        <v/>
      </c>
      <c r="T236">
        <f>HYPERLINK("https://klasma.github.io/Logging_KALMAR/kartor/A 31267-2019.png", "A 31267-2019")</f>
        <v/>
      </c>
      <c r="U236">
        <f>HYPERLINK("https://klasma.github.io/Logging_KALMAR/knärot/A 31267-2019.png", "A 31267-2019")</f>
        <v/>
      </c>
      <c r="V236">
        <f>HYPERLINK("https://klasma.github.io/Logging_KALMAR/klagomål/A 31267-2019.docx", "A 31267-2019")</f>
        <v/>
      </c>
      <c r="W236">
        <f>HYPERLINK("https://klasma.github.io/Logging_KALMAR/klagomålsmail/A 31267-2019.docx", "A 31267-2019")</f>
        <v/>
      </c>
      <c r="X236">
        <f>HYPERLINK("https://klasma.github.io/Logging_KALMAR/tillsyn/A 31267-2019.docx", "A 31267-2019")</f>
        <v/>
      </c>
      <c r="Y236">
        <f>HYPERLINK("https://klasma.github.io/Logging_KALMAR/tillsynsmail/A 31267-2019.docx", "A 31267-2019")</f>
        <v/>
      </c>
    </row>
    <row r="237" ht="15" customHeight="1">
      <c r="A237" t="inlineStr">
        <is>
          <t>A 36531-2019</t>
        </is>
      </c>
      <c r="B237" s="1" t="n">
        <v>43663</v>
      </c>
      <c r="C237" s="1" t="n">
        <v>45190</v>
      </c>
      <c r="D237" t="inlineStr">
        <is>
          <t>KALMAR LÄN</t>
        </is>
      </c>
      <c r="E237" t="inlineStr">
        <is>
          <t>HÖGSBY</t>
        </is>
      </c>
      <c r="G237" t="n">
        <v>11.5</v>
      </c>
      <c r="H237" t="n">
        <v>1</v>
      </c>
      <c r="I237" t="n">
        <v>1</v>
      </c>
      <c r="J237" t="n">
        <v>0</v>
      </c>
      <c r="K237" t="n">
        <v>0</v>
      </c>
      <c r="L237" t="n">
        <v>0</v>
      </c>
      <c r="M237" t="n">
        <v>0</v>
      </c>
      <c r="N237" t="n">
        <v>0</v>
      </c>
      <c r="O237" t="n">
        <v>0</v>
      </c>
      <c r="P237" t="n">
        <v>0</v>
      </c>
      <c r="Q237" t="n">
        <v>2</v>
      </c>
      <c r="R237" s="2" t="inlineStr">
        <is>
          <t>Fällmossa
Blåsippa</t>
        </is>
      </c>
      <c r="S237">
        <f>HYPERLINK("https://klasma.github.io/Logging_HOGSBY/artfynd/A 36531-2019.xlsx", "A 36531-2019")</f>
        <v/>
      </c>
      <c r="T237">
        <f>HYPERLINK("https://klasma.github.io/Logging_HOGSBY/kartor/A 36531-2019.png", "A 36531-2019")</f>
        <v/>
      </c>
      <c r="V237">
        <f>HYPERLINK("https://klasma.github.io/Logging_HOGSBY/klagomål/A 36531-2019.docx", "A 36531-2019")</f>
        <v/>
      </c>
      <c r="W237">
        <f>HYPERLINK("https://klasma.github.io/Logging_HOGSBY/klagomålsmail/A 36531-2019.docx", "A 36531-2019")</f>
        <v/>
      </c>
      <c r="X237">
        <f>HYPERLINK("https://klasma.github.io/Logging_HOGSBY/tillsyn/A 36531-2019.docx", "A 36531-2019")</f>
        <v/>
      </c>
      <c r="Y237">
        <f>HYPERLINK("https://klasma.github.io/Logging_HOGSBY/tillsynsmail/A 36531-2019.docx", "A 36531-2019")</f>
        <v/>
      </c>
    </row>
    <row r="238" ht="15" customHeight="1">
      <c r="A238" t="inlineStr">
        <is>
          <t>A 36803-2019</t>
        </is>
      </c>
      <c r="B238" s="1" t="n">
        <v>43672</v>
      </c>
      <c r="C238" s="1" t="n">
        <v>45190</v>
      </c>
      <c r="D238" t="inlineStr">
        <is>
          <t>KALMAR LÄN</t>
        </is>
      </c>
      <c r="E238" t="inlineStr">
        <is>
          <t>VIMMERBY</t>
        </is>
      </c>
      <c r="G238" t="n">
        <v>3.8</v>
      </c>
      <c r="H238" t="n">
        <v>0</v>
      </c>
      <c r="I238" t="n">
        <v>1</v>
      </c>
      <c r="J238" t="n">
        <v>1</v>
      </c>
      <c r="K238" t="n">
        <v>0</v>
      </c>
      <c r="L238" t="n">
        <v>0</v>
      </c>
      <c r="M238" t="n">
        <v>0</v>
      </c>
      <c r="N238" t="n">
        <v>0</v>
      </c>
      <c r="O238" t="n">
        <v>1</v>
      </c>
      <c r="P238" t="n">
        <v>0</v>
      </c>
      <c r="Q238" t="n">
        <v>2</v>
      </c>
      <c r="R238" s="2" t="inlineStr">
        <is>
          <t>Tallticka
Dropptaggsvamp</t>
        </is>
      </c>
      <c r="S238">
        <f>HYPERLINK("https://klasma.github.io/Logging_VIMMERBY/artfynd/A 36803-2019.xlsx", "A 36803-2019")</f>
        <v/>
      </c>
      <c r="T238">
        <f>HYPERLINK("https://klasma.github.io/Logging_VIMMERBY/kartor/A 36803-2019.png", "A 36803-2019")</f>
        <v/>
      </c>
      <c r="V238">
        <f>HYPERLINK("https://klasma.github.io/Logging_VIMMERBY/klagomål/A 36803-2019.docx", "A 36803-2019")</f>
        <v/>
      </c>
      <c r="W238">
        <f>HYPERLINK("https://klasma.github.io/Logging_VIMMERBY/klagomålsmail/A 36803-2019.docx", "A 36803-2019")</f>
        <v/>
      </c>
      <c r="X238">
        <f>HYPERLINK("https://klasma.github.io/Logging_VIMMERBY/tillsyn/A 36803-2019.docx", "A 36803-2019")</f>
        <v/>
      </c>
      <c r="Y238">
        <f>HYPERLINK("https://klasma.github.io/Logging_VIMMERBY/tillsynsmail/A 36803-2019.docx", "A 36803-2019")</f>
        <v/>
      </c>
    </row>
    <row r="239" ht="15" customHeight="1">
      <c r="A239" t="inlineStr">
        <is>
          <t>A 37778-2019</t>
        </is>
      </c>
      <c r="B239" s="1" t="n">
        <v>43682</v>
      </c>
      <c r="C239" s="1" t="n">
        <v>45190</v>
      </c>
      <c r="D239" t="inlineStr">
        <is>
          <t>KALMAR LÄN</t>
        </is>
      </c>
      <c r="E239" t="inlineStr">
        <is>
          <t>HULTSFRED</t>
        </is>
      </c>
      <c r="G239" t="n">
        <v>1.1</v>
      </c>
      <c r="H239" t="n">
        <v>1</v>
      </c>
      <c r="I239" t="n">
        <v>0</v>
      </c>
      <c r="J239" t="n">
        <v>1</v>
      </c>
      <c r="K239" t="n">
        <v>0</v>
      </c>
      <c r="L239" t="n">
        <v>0</v>
      </c>
      <c r="M239" t="n">
        <v>0</v>
      </c>
      <c r="N239" t="n">
        <v>0</v>
      </c>
      <c r="O239" t="n">
        <v>1</v>
      </c>
      <c r="P239" t="n">
        <v>0</v>
      </c>
      <c r="Q239" t="n">
        <v>2</v>
      </c>
      <c r="R239" s="2" t="inlineStr">
        <is>
          <t>Solvända
Nattviol</t>
        </is>
      </c>
      <c r="S239">
        <f>HYPERLINK("https://klasma.github.io/Logging_HULTSFRED/artfynd/A 37778-2019.xlsx", "A 37778-2019")</f>
        <v/>
      </c>
      <c r="T239">
        <f>HYPERLINK("https://klasma.github.io/Logging_HULTSFRED/kartor/A 37778-2019.png", "A 37778-2019")</f>
        <v/>
      </c>
      <c r="V239">
        <f>HYPERLINK("https://klasma.github.io/Logging_HULTSFRED/klagomål/A 37778-2019.docx", "A 37778-2019")</f>
        <v/>
      </c>
      <c r="W239">
        <f>HYPERLINK("https://klasma.github.io/Logging_HULTSFRED/klagomålsmail/A 37778-2019.docx", "A 37778-2019")</f>
        <v/>
      </c>
      <c r="X239">
        <f>HYPERLINK("https://klasma.github.io/Logging_HULTSFRED/tillsyn/A 37778-2019.docx", "A 37778-2019")</f>
        <v/>
      </c>
      <c r="Y239">
        <f>HYPERLINK("https://klasma.github.io/Logging_HULTSFRED/tillsynsmail/A 37778-2019.docx", "A 37778-2019")</f>
        <v/>
      </c>
    </row>
    <row r="240" ht="15" customHeight="1">
      <c r="A240" t="inlineStr">
        <is>
          <t>A 38441-2019</t>
        </is>
      </c>
      <c r="B240" s="1" t="n">
        <v>43685</v>
      </c>
      <c r="C240" s="1" t="n">
        <v>45190</v>
      </c>
      <c r="D240" t="inlineStr">
        <is>
          <t>KALMAR LÄN</t>
        </is>
      </c>
      <c r="E240" t="inlineStr">
        <is>
          <t>MÖNSTERÅS</t>
        </is>
      </c>
      <c r="G240" t="n">
        <v>9.5</v>
      </c>
      <c r="H240" t="n">
        <v>2</v>
      </c>
      <c r="I240" t="n">
        <v>0</v>
      </c>
      <c r="J240" t="n">
        <v>2</v>
      </c>
      <c r="K240" t="n">
        <v>0</v>
      </c>
      <c r="L240" t="n">
        <v>0</v>
      </c>
      <c r="M240" t="n">
        <v>0</v>
      </c>
      <c r="N240" t="n">
        <v>0</v>
      </c>
      <c r="O240" t="n">
        <v>2</v>
      </c>
      <c r="P240" t="n">
        <v>0</v>
      </c>
      <c r="Q240" t="n">
        <v>2</v>
      </c>
      <c r="R240" s="2" t="inlineStr">
        <is>
          <t>Skrattmås
Spillkråka</t>
        </is>
      </c>
      <c r="S240">
        <f>HYPERLINK("https://klasma.github.io/Logging_MONSTERAS/artfynd/A 38441-2019.xlsx", "A 38441-2019")</f>
        <v/>
      </c>
      <c r="T240">
        <f>HYPERLINK("https://klasma.github.io/Logging_MONSTERAS/kartor/A 38441-2019.png", "A 38441-2019")</f>
        <v/>
      </c>
      <c r="V240">
        <f>HYPERLINK("https://klasma.github.io/Logging_MONSTERAS/klagomål/A 38441-2019.docx", "A 38441-2019")</f>
        <v/>
      </c>
      <c r="W240">
        <f>HYPERLINK("https://klasma.github.io/Logging_MONSTERAS/klagomålsmail/A 38441-2019.docx", "A 38441-2019")</f>
        <v/>
      </c>
      <c r="X240">
        <f>HYPERLINK("https://klasma.github.io/Logging_MONSTERAS/tillsyn/A 38441-2019.docx", "A 38441-2019")</f>
        <v/>
      </c>
      <c r="Y240">
        <f>HYPERLINK("https://klasma.github.io/Logging_MONSTERAS/tillsynsmail/A 38441-2019.docx", "A 38441-2019")</f>
        <v/>
      </c>
    </row>
    <row r="241" ht="15" customHeight="1">
      <c r="A241" t="inlineStr">
        <is>
          <t>A 38921-2019</t>
        </is>
      </c>
      <c r="B241" s="1" t="n">
        <v>43689</v>
      </c>
      <c r="C241" s="1" t="n">
        <v>45190</v>
      </c>
      <c r="D241" t="inlineStr">
        <is>
          <t>KALMAR LÄN</t>
        </is>
      </c>
      <c r="E241" t="inlineStr">
        <is>
          <t>VIMMERBY</t>
        </is>
      </c>
      <c r="G241" t="n">
        <v>1.4</v>
      </c>
      <c r="H241" t="n">
        <v>2</v>
      </c>
      <c r="I241" t="n">
        <v>0</v>
      </c>
      <c r="J241" t="n">
        <v>2</v>
      </c>
      <c r="K241" t="n">
        <v>0</v>
      </c>
      <c r="L241" t="n">
        <v>0</v>
      </c>
      <c r="M241" t="n">
        <v>0</v>
      </c>
      <c r="N241" t="n">
        <v>0</v>
      </c>
      <c r="O241" t="n">
        <v>2</v>
      </c>
      <c r="P241" t="n">
        <v>0</v>
      </c>
      <c r="Q241" t="n">
        <v>2</v>
      </c>
      <c r="R241" s="2" t="inlineStr">
        <is>
          <t>Barbastell
Nordfladdermus</t>
        </is>
      </c>
      <c r="S241">
        <f>HYPERLINK("https://klasma.github.io/Logging_VIMMERBY/artfynd/A 38921-2019.xlsx", "A 38921-2019")</f>
        <v/>
      </c>
      <c r="T241">
        <f>HYPERLINK("https://klasma.github.io/Logging_VIMMERBY/kartor/A 38921-2019.png", "A 38921-2019")</f>
        <v/>
      </c>
      <c r="V241">
        <f>HYPERLINK("https://klasma.github.io/Logging_VIMMERBY/klagomål/A 38921-2019.docx", "A 38921-2019")</f>
        <v/>
      </c>
      <c r="W241">
        <f>HYPERLINK("https://klasma.github.io/Logging_VIMMERBY/klagomålsmail/A 38921-2019.docx", "A 38921-2019")</f>
        <v/>
      </c>
      <c r="X241">
        <f>HYPERLINK("https://klasma.github.io/Logging_VIMMERBY/tillsyn/A 38921-2019.docx", "A 38921-2019")</f>
        <v/>
      </c>
      <c r="Y241">
        <f>HYPERLINK("https://klasma.github.io/Logging_VIMMERBY/tillsynsmail/A 38921-2019.docx", "A 38921-2019")</f>
        <v/>
      </c>
    </row>
    <row r="242" ht="15" customHeight="1">
      <c r="A242" t="inlineStr">
        <is>
          <t>A 39871-2019</t>
        </is>
      </c>
      <c r="B242" s="1" t="n">
        <v>43692</v>
      </c>
      <c r="C242" s="1" t="n">
        <v>45190</v>
      </c>
      <c r="D242" t="inlineStr">
        <is>
          <t>KALMAR LÄN</t>
        </is>
      </c>
      <c r="E242" t="inlineStr">
        <is>
          <t>EMMABODA</t>
        </is>
      </c>
      <c r="G242" t="n">
        <v>2.6</v>
      </c>
      <c r="H242" t="n">
        <v>0</v>
      </c>
      <c r="I242" t="n">
        <v>1</v>
      </c>
      <c r="J242" t="n">
        <v>0</v>
      </c>
      <c r="K242" t="n">
        <v>1</v>
      </c>
      <c r="L242" t="n">
        <v>0</v>
      </c>
      <c r="M242" t="n">
        <v>0</v>
      </c>
      <c r="N242" t="n">
        <v>0</v>
      </c>
      <c r="O242" t="n">
        <v>1</v>
      </c>
      <c r="P242" t="n">
        <v>1</v>
      </c>
      <c r="Q242" t="n">
        <v>2</v>
      </c>
      <c r="R242" s="2" t="inlineStr">
        <is>
          <t>Stortimjan
Grönpyrola</t>
        </is>
      </c>
      <c r="S242">
        <f>HYPERLINK("https://klasma.github.io/Logging_EMMABODA/artfynd/A 39871-2019.xlsx", "A 39871-2019")</f>
        <v/>
      </c>
      <c r="T242">
        <f>HYPERLINK("https://klasma.github.io/Logging_EMMABODA/kartor/A 39871-2019.png", "A 39871-2019")</f>
        <v/>
      </c>
      <c r="V242">
        <f>HYPERLINK("https://klasma.github.io/Logging_EMMABODA/klagomål/A 39871-2019.docx", "A 39871-2019")</f>
        <v/>
      </c>
      <c r="W242">
        <f>HYPERLINK("https://klasma.github.io/Logging_EMMABODA/klagomålsmail/A 39871-2019.docx", "A 39871-2019")</f>
        <v/>
      </c>
      <c r="X242">
        <f>HYPERLINK("https://klasma.github.io/Logging_EMMABODA/tillsyn/A 39871-2019.docx", "A 39871-2019")</f>
        <v/>
      </c>
      <c r="Y242">
        <f>HYPERLINK("https://klasma.github.io/Logging_EMMABODA/tillsynsmail/A 39871-2019.docx", "A 39871-2019")</f>
        <v/>
      </c>
    </row>
    <row r="243" ht="15" customHeight="1">
      <c r="A243" t="inlineStr">
        <is>
          <t>A 42206-2019</t>
        </is>
      </c>
      <c r="B243" s="1" t="n">
        <v>43703</v>
      </c>
      <c r="C243" s="1" t="n">
        <v>45190</v>
      </c>
      <c r="D243" t="inlineStr">
        <is>
          <t>KALMAR LÄN</t>
        </is>
      </c>
      <c r="E243" t="inlineStr">
        <is>
          <t>TORSÅS</t>
        </is>
      </c>
      <c r="G243" t="n">
        <v>13.3</v>
      </c>
      <c r="H243" t="n">
        <v>2</v>
      </c>
      <c r="I243" t="n">
        <v>0</v>
      </c>
      <c r="J243" t="n">
        <v>0</v>
      </c>
      <c r="K243" t="n">
        <v>0</v>
      </c>
      <c r="L243" t="n">
        <v>0</v>
      </c>
      <c r="M243" t="n">
        <v>0</v>
      </c>
      <c r="N243" t="n">
        <v>0</v>
      </c>
      <c r="O243" t="n">
        <v>0</v>
      </c>
      <c r="P243" t="n">
        <v>0</v>
      </c>
      <c r="Q243" t="n">
        <v>2</v>
      </c>
      <c r="R243" s="2" t="inlineStr">
        <is>
          <t>Hasselmus
Lopplummer</t>
        </is>
      </c>
      <c r="S243">
        <f>HYPERLINK("https://klasma.github.io/Logging_TORSAS/artfynd/A 42206-2019.xlsx", "A 42206-2019")</f>
        <v/>
      </c>
      <c r="T243">
        <f>HYPERLINK("https://klasma.github.io/Logging_TORSAS/kartor/A 42206-2019.png", "A 42206-2019")</f>
        <v/>
      </c>
      <c r="V243">
        <f>HYPERLINK("https://klasma.github.io/Logging_TORSAS/klagomål/A 42206-2019.docx", "A 42206-2019")</f>
        <v/>
      </c>
      <c r="W243">
        <f>HYPERLINK("https://klasma.github.io/Logging_TORSAS/klagomålsmail/A 42206-2019.docx", "A 42206-2019")</f>
        <v/>
      </c>
      <c r="X243">
        <f>HYPERLINK("https://klasma.github.io/Logging_TORSAS/tillsyn/A 42206-2019.docx", "A 42206-2019")</f>
        <v/>
      </c>
      <c r="Y243">
        <f>HYPERLINK("https://klasma.github.io/Logging_TORSAS/tillsynsmail/A 42206-2019.docx", "A 42206-2019")</f>
        <v/>
      </c>
    </row>
    <row r="244" ht="15" customHeight="1">
      <c r="A244" t="inlineStr">
        <is>
          <t>A 43150-2019</t>
        </is>
      </c>
      <c r="B244" s="1" t="n">
        <v>43705</v>
      </c>
      <c r="C244" s="1" t="n">
        <v>45190</v>
      </c>
      <c r="D244" t="inlineStr">
        <is>
          <t>KALMAR LÄN</t>
        </is>
      </c>
      <c r="E244" t="inlineStr">
        <is>
          <t>TORSÅS</t>
        </is>
      </c>
      <c r="F244" t="inlineStr">
        <is>
          <t>Övriga Aktiebolag</t>
        </is>
      </c>
      <c r="G244" t="n">
        <v>41.2</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HYPERLINK("https://klasma.github.io/Logging_TORSAS/artfynd/A 43150-2019.xlsx", "A 43150-2019")</f>
        <v/>
      </c>
      <c r="T244">
        <f>HYPERLINK("https://klasma.github.io/Logging_TORSAS/kartor/A 43150-2019.png", "A 43150-2019")</f>
        <v/>
      </c>
      <c r="V244">
        <f>HYPERLINK("https://klasma.github.io/Logging_TORSAS/klagomål/A 43150-2019.docx", "A 43150-2019")</f>
        <v/>
      </c>
      <c r="W244">
        <f>HYPERLINK("https://klasma.github.io/Logging_TORSAS/klagomålsmail/A 43150-2019.docx", "A 43150-2019")</f>
        <v/>
      </c>
      <c r="X244">
        <f>HYPERLINK("https://klasma.github.io/Logging_TORSAS/tillsyn/A 43150-2019.docx", "A 43150-2019")</f>
        <v/>
      </c>
      <c r="Y244">
        <f>HYPERLINK("https://klasma.github.io/Logging_TORSAS/tillsynsmail/A 43150-2019.docx", "A 43150-2019")</f>
        <v/>
      </c>
    </row>
    <row r="245" ht="15" customHeight="1">
      <c r="A245" t="inlineStr">
        <is>
          <t>A 43490-2019</t>
        </is>
      </c>
      <c r="B245" s="1" t="n">
        <v>43706</v>
      </c>
      <c r="C245" s="1" t="n">
        <v>45190</v>
      </c>
      <c r="D245" t="inlineStr">
        <is>
          <t>KALMAR LÄN</t>
        </is>
      </c>
      <c r="E245" t="inlineStr">
        <is>
          <t>MÖNSTERÅS</t>
        </is>
      </c>
      <c r="G245" t="n">
        <v>5.5</v>
      </c>
      <c r="H245" t="n">
        <v>0</v>
      </c>
      <c r="I245" t="n">
        <v>0</v>
      </c>
      <c r="J245" t="n">
        <v>2</v>
      </c>
      <c r="K245" t="n">
        <v>0</v>
      </c>
      <c r="L245" t="n">
        <v>0</v>
      </c>
      <c r="M245" t="n">
        <v>0</v>
      </c>
      <c r="N245" t="n">
        <v>0</v>
      </c>
      <c r="O245" t="n">
        <v>2</v>
      </c>
      <c r="P245" t="n">
        <v>0</v>
      </c>
      <c r="Q245" t="n">
        <v>2</v>
      </c>
      <c r="R245" s="2" t="inlineStr">
        <is>
          <t>Monkevivel
Timmertickgnagare</t>
        </is>
      </c>
      <c r="S245">
        <f>HYPERLINK("https://klasma.github.io/Logging_MONSTERAS/artfynd/A 43490-2019.xlsx", "A 43490-2019")</f>
        <v/>
      </c>
      <c r="T245">
        <f>HYPERLINK("https://klasma.github.io/Logging_MONSTERAS/kartor/A 43490-2019.png", "A 43490-2019")</f>
        <v/>
      </c>
      <c r="V245">
        <f>HYPERLINK("https://klasma.github.io/Logging_MONSTERAS/klagomål/A 43490-2019.docx", "A 43490-2019")</f>
        <v/>
      </c>
      <c r="W245">
        <f>HYPERLINK("https://klasma.github.io/Logging_MONSTERAS/klagomålsmail/A 43490-2019.docx", "A 43490-2019")</f>
        <v/>
      </c>
      <c r="X245">
        <f>HYPERLINK("https://klasma.github.io/Logging_MONSTERAS/tillsyn/A 43490-2019.docx", "A 43490-2019")</f>
        <v/>
      </c>
      <c r="Y245">
        <f>HYPERLINK("https://klasma.github.io/Logging_MONSTERAS/tillsynsmail/A 43490-2019.docx", "A 43490-2019")</f>
        <v/>
      </c>
    </row>
    <row r="246" ht="15" customHeight="1">
      <c r="A246" t="inlineStr">
        <is>
          <t>A 44711-2019</t>
        </is>
      </c>
      <c r="B246" s="1" t="n">
        <v>43712</v>
      </c>
      <c r="C246" s="1" t="n">
        <v>45190</v>
      </c>
      <c r="D246" t="inlineStr">
        <is>
          <t>KALMAR LÄN</t>
        </is>
      </c>
      <c r="E246" t="inlineStr">
        <is>
          <t>TORSÅS</t>
        </is>
      </c>
      <c r="G246" t="n">
        <v>2.3</v>
      </c>
      <c r="H246" t="n">
        <v>1</v>
      </c>
      <c r="I246" t="n">
        <v>1</v>
      </c>
      <c r="J246" t="n">
        <v>0</v>
      </c>
      <c r="K246" t="n">
        <v>0</v>
      </c>
      <c r="L246" t="n">
        <v>0</v>
      </c>
      <c r="M246" t="n">
        <v>0</v>
      </c>
      <c r="N246" t="n">
        <v>0</v>
      </c>
      <c r="O246" t="n">
        <v>0</v>
      </c>
      <c r="P246" t="n">
        <v>0</v>
      </c>
      <c r="Q246" t="n">
        <v>2</v>
      </c>
      <c r="R246" s="2" t="inlineStr">
        <is>
          <t>Murgröna
Blåsippa</t>
        </is>
      </c>
      <c r="S246">
        <f>HYPERLINK("https://klasma.github.io/Logging_TORSAS/artfynd/A 44711-2019.xlsx", "A 44711-2019")</f>
        <v/>
      </c>
      <c r="T246">
        <f>HYPERLINK("https://klasma.github.io/Logging_TORSAS/kartor/A 44711-2019.png", "A 44711-2019")</f>
        <v/>
      </c>
      <c r="V246">
        <f>HYPERLINK("https://klasma.github.io/Logging_TORSAS/klagomål/A 44711-2019.docx", "A 44711-2019")</f>
        <v/>
      </c>
      <c r="W246">
        <f>HYPERLINK("https://klasma.github.io/Logging_TORSAS/klagomålsmail/A 44711-2019.docx", "A 44711-2019")</f>
        <v/>
      </c>
      <c r="X246">
        <f>HYPERLINK("https://klasma.github.io/Logging_TORSAS/tillsyn/A 44711-2019.docx", "A 44711-2019")</f>
        <v/>
      </c>
      <c r="Y246">
        <f>HYPERLINK("https://klasma.github.io/Logging_TORSAS/tillsynsmail/A 44711-2019.docx", "A 44711-2019")</f>
        <v/>
      </c>
    </row>
    <row r="247" ht="15" customHeight="1">
      <c r="A247" t="inlineStr">
        <is>
          <t>A 46727-2019</t>
        </is>
      </c>
      <c r="B247" s="1" t="n">
        <v>43719</v>
      </c>
      <c r="C247" s="1" t="n">
        <v>45190</v>
      </c>
      <c r="D247" t="inlineStr">
        <is>
          <t>KALMAR LÄN</t>
        </is>
      </c>
      <c r="E247" t="inlineStr">
        <is>
          <t>KALMAR</t>
        </is>
      </c>
      <c r="G247" t="n">
        <v>14.7</v>
      </c>
      <c r="H247" t="n">
        <v>1</v>
      </c>
      <c r="I247" t="n">
        <v>1</v>
      </c>
      <c r="J247" t="n">
        <v>0</v>
      </c>
      <c r="K247" t="n">
        <v>0</v>
      </c>
      <c r="L247" t="n">
        <v>0</v>
      </c>
      <c r="M247" t="n">
        <v>0</v>
      </c>
      <c r="N247" t="n">
        <v>0</v>
      </c>
      <c r="O247" t="n">
        <v>0</v>
      </c>
      <c r="P247" t="n">
        <v>0</v>
      </c>
      <c r="Q247" t="n">
        <v>2</v>
      </c>
      <c r="R247" s="2" t="inlineStr">
        <is>
          <t>Murgröna
Blåsippa</t>
        </is>
      </c>
      <c r="S247">
        <f>HYPERLINK("https://klasma.github.io/Logging_KALMAR/artfynd/A 46727-2019.xlsx", "A 46727-2019")</f>
        <v/>
      </c>
      <c r="T247">
        <f>HYPERLINK("https://klasma.github.io/Logging_KALMAR/kartor/A 46727-2019.png", "A 46727-2019")</f>
        <v/>
      </c>
      <c r="V247">
        <f>HYPERLINK("https://klasma.github.io/Logging_KALMAR/klagomål/A 46727-2019.docx", "A 46727-2019")</f>
        <v/>
      </c>
      <c r="W247">
        <f>HYPERLINK("https://klasma.github.io/Logging_KALMAR/klagomålsmail/A 46727-2019.docx", "A 46727-2019")</f>
        <v/>
      </c>
      <c r="X247">
        <f>HYPERLINK("https://klasma.github.io/Logging_KALMAR/tillsyn/A 46727-2019.docx", "A 46727-2019")</f>
        <v/>
      </c>
      <c r="Y247">
        <f>HYPERLINK("https://klasma.github.io/Logging_KALMAR/tillsynsmail/A 46727-2019.docx", "A 46727-2019")</f>
        <v/>
      </c>
    </row>
    <row r="248" ht="15" customHeight="1">
      <c r="A248" t="inlineStr">
        <is>
          <t>A 53578-2019</t>
        </is>
      </c>
      <c r="B248" s="1" t="n">
        <v>43748</v>
      </c>
      <c r="C248" s="1" t="n">
        <v>45190</v>
      </c>
      <c r="D248" t="inlineStr">
        <is>
          <t>KALMAR LÄN</t>
        </is>
      </c>
      <c r="E248" t="inlineStr">
        <is>
          <t>HÖGSBY</t>
        </is>
      </c>
      <c r="G248" t="n">
        <v>12</v>
      </c>
      <c r="H248" t="n">
        <v>1</v>
      </c>
      <c r="I248" t="n">
        <v>1</v>
      </c>
      <c r="J248" t="n">
        <v>1</v>
      </c>
      <c r="K248" t="n">
        <v>0</v>
      </c>
      <c r="L248" t="n">
        <v>0</v>
      </c>
      <c r="M248" t="n">
        <v>0</v>
      </c>
      <c r="N248" t="n">
        <v>0</v>
      </c>
      <c r="O248" t="n">
        <v>1</v>
      </c>
      <c r="P248" t="n">
        <v>0</v>
      </c>
      <c r="Q248" t="n">
        <v>2</v>
      </c>
      <c r="R248" s="2" t="inlineStr">
        <is>
          <t>Talltita
Rävticka</t>
        </is>
      </c>
      <c r="S248">
        <f>HYPERLINK("https://klasma.github.io/Logging_HOGSBY/artfynd/A 53578-2019.xlsx", "A 53578-2019")</f>
        <v/>
      </c>
      <c r="T248">
        <f>HYPERLINK("https://klasma.github.io/Logging_HOGSBY/kartor/A 53578-2019.png", "A 53578-2019")</f>
        <v/>
      </c>
      <c r="V248">
        <f>HYPERLINK("https://klasma.github.io/Logging_HOGSBY/klagomål/A 53578-2019.docx", "A 53578-2019")</f>
        <v/>
      </c>
      <c r="W248">
        <f>HYPERLINK("https://klasma.github.io/Logging_HOGSBY/klagomålsmail/A 53578-2019.docx", "A 53578-2019")</f>
        <v/>
      </c>
      <c r="X248">
        <f>HYPERLINK("https://klasma.github.io/Logging_HOGSBY/tillsyn/A 53578-2019.docx", "A 53578-2019")</f>
        <v/>
      </c>
      <c r="Y248">
        <f>HYPERLINK("https://klasma.github.io/Logging_HOGSBY/tillsynsmail/A 53578-2019.docx", "A 53578-2019")</f>
        <v/>
      </c>
    </row>
    <row r="249" ht="15" customHeight="1">
      <c r="A249" t="inlineStr">
        <is>
          <t>A 58914-2019</t>
        </is>
      </c>
      <c r="B249" s="1" t="n">
        <v>43774</v>
      </c>
      <c r="C249" s="1" t="n">
        <v>45190</v>
      </c>
      <c r="D249" t="inlineStr">
        <is>
          <t>KALMAR LÄN</t>
        </is>
      </c>
      <c r="E249" t="inlineStr">
        <is>
          <t>NYBRO</t>
        </is>
      </c>
      <c r="F249" t="inlineStr">
        <is>
          <t>Kommuner</t>
        </is>
      </c>
      <c r="G249" t="n">
        <v>2.4</v>
      </c>
      <c r="H249" t="n">
        <v>0</v>
      </c>
      <c r="I249" t="n">
        <v>0</v>
      </c>
      <c r="J249" t="n">
        <v>1</v>
      </c>
      <c r="K249" t="n">
        <v>1</v>
      </c>
      <c r="L249" t="n">
        <v>0</v>
      </c>
      <c r="M249" t="n">
        <v>0</v>
      </c>
      <c r="N249" t="n">
        <v>0</v>
      </c>
      <c r="O249" t="n">
        <v>2</v>
      </c>
      <c r="P249" t="n">
        <v>1</v>
      </c>
      <c r="Q249" t="n">
        <v>2</v>
      </c>
      <c r="R249" s="2" t="inlineStr">
        <is>
          <t>Åkerrättika
Veckticka</t>
        </is>
      </c>
      <c r="S249">
        <f>HYPERLINK("https://klasma.github.io/Logging_NYBRO/artfynd/A 58914-2019.xlsx", "A 58914-2019")</f>
        <v/>
      </c>
      <c r="T249">
        <f>HYPERLINK("https://klasma.github.io/Logging_NYBRO/kartor/A 58914-2019.png", "A 58914-2019")</f>
        <v/>
      </c>
      <c r="V249">
        <f>HYPERLINK("https://klasma.github.io/Logging_NYBRO/klagomål/A 58914-2019.docx", "A 58914-2019")</f>
        <v/>
      </c>
      <c r="W249">
        <f>HYPERLINK("https://klasma.github.io/Logging_NYBRO/klagomålsmail/A 58914-2019.docx", "A 58914-2019")</f>
        <v/>
      </c>
      <c r="X249">
        <f>HYPERLINK("https://klasma.github.io/Logging_NYBRO/tillsyn/A 58914-2019.docx", "A 58914-2019")</f>
        <v/>
      </c>
      <c r="Y249">
        <f>HYPERLINK("https://klasma.github.io/Logging_NYBRO/tillsynsmail/A 58914-2019.docx", "A 58914-2019")</f>
        <v/>
      </c>
    </row>
    <row r="250" ht="15" customHeight="1">
      <c r="A250" t="inlineStr">
        <is>
          <t>A 62128-2019</t>
        </is>
      </c>
      <c r="B250" s="1" t="n">
        <v>43782</v>
      </c>
      <c r="C250" s="1" t="n">
        <v>45190</v>
      </c>
      <c r="D250" t="inlineStr">
        <is>
          <t>KALMAR LÄN</t>
        </is>
      </c>
      <c r="E250" t="inlineStr">
        <is>
          <t>VÄSTERVIK</t>
        </is>
      </c>
      <c r="G250" t="n">
        <v>7.5</v>
      </c>
      <c r="H250" t="n">
        <v>0</v>
      </c>
      <c r="I250" t="n">
        <v>1</v>
      </c>
      <c r="J250" t="n">
        <v>1</v>
      </c>
      <c r="K250" t="n">
        <v>0</v>
      </c>
      <c r="L250" t="n">
        <v>0</v>
      </c>
      <c r="M250" t="n">
        <v>0</v>
      </c>
      <c r="N250" t="n">
        <v>0</v>
      </c>
      <c r="O250" t="n">
        <v>1</v>
      </c>
      <c r="P250" t="n">
        <v>0</v>
      </c>
      <c r="Q250" t="n">
        <v>2</v>
      </c>
      <c r="R250" s="2" t="inlineStr">
        <is>
          <t>Ullticka
Kattfotslav</t>
        </is>
      </c>
      <c r="S250">
        <f>HYPERLINK("https://klasma.github.io/Logging_VASTERVIK/artfynd/A 62128-2019.xlsx", "A 62128-2019")</f>
        <v/>
      </c>
      <c r="T250">
        <f>HYPERLINK("https://klasma.github.io/Logging_VASTERVIK/kartor/A 62128-2019.png", "A 62128-2019")</f>
        <v/>
      </c>
      <c r="V250">
        <f>HYPERLINK("https://klasma.github.io/Logging_VASTERVIK/klagomål/A 62128-2019.docx", "A 62128-2019")</f>
        <v/>
      </c>
      <c r="W250">
        <f>HYPERLINK("https://klasma.github.io/Logging_VASTERVIK/klagomålsmail/A 62128-2019.docx", "A 62128-2019")</f>
        <v/>
      </c>
      <c r="X250">
        <f>HYPERLINK("https://klasma.github.io/Logging_VASTERVIK/tillsyn/A 62128-2019.docx", "A 62128-2019")</f>
        <v/>
      </c>
      <c r="Y250">
        <f>HYPERLINK("https://klasma.github.io/Logging_VASTERVIK/tillsynsmail/A 62128-2019.docx", "A 62128-2019")</f>
        <v/>
      </c>
    </row>
    <row r="251" ht="15" customHeight="1">
      <c r="A251" t="inlineStr">
        <is>
          <t>A 63949-2019</t>
        </is>
      </c>
      <c r="B251" s="1" t="n">
        <v>43796</v>
      </c>
      <c r="C251" s="1" t="n">
        <v>45190</v>
      </c>
      <c r="D251" t="inlineStr">
        <is>
          <t>KALMAR LÄN</t>
        </is>
      </c>
      <c r="E251" t="inlineStr">
        <is>
          <t>KALMAR</t>
        </is>
      </c>
      <c r="F251" t="inlineStr">
        <is>
          <t>Kommuner</t>
        </is>
      </c>
      <c r="G251" t="n">
        <v>2.5</v>
      </c>
      <c r="H251" t="n">
        <v>2</v>
      </c>
      <c r="I251" t="n">
        <v>0</v>
      </c>
      <c r="J251" t="n">
        <v>1</v>
      </c>
      <c r="K251" t="n">
        <v>0</v>
      </c>
      <c r="L251" t="n">
        <v>1</v>
      </c>
      <c r="M251" t="n">
        <v>0</v>
      </c>
      <c r="N251" t="n">
        <v>0</v>
      </c>
      <c r="O251" t="n">
        <v>2</v>
      </c>
      <c r="P251" t="n">
        <v>1</v>
      </c>
      <c r="Q251" t="n">
        <v>2</v>
      </c>
      <c r="R251" s="2" t="inlineStr">
        <is>
          <t>Tornseglare
Entita</t>
        </is>
      </c>
      <c r="S251">
        <f>HYPERLINK("https://klasma.github.io/Logging_KALMAR/artfynd/A 63949-2019.xlsx", "A 63949-2019")</f>
        <v/>
      </c>
      <c r="T251">
        <f>HYPERLINK("https://klasma.github.io/Logging_KALMAR/kartor/A 63949-2019.png", "A 63949-2019")</f>
        <v/>
      </c>
      <c r="V251">
        <f>HYPERLINK("https://klasma.github.io/Logging_KALMAR/klagomål/A 63949-2019.docx", "A 63949-2019")</f>
        <v/>
      </c>
      <c r="W251">
        <f>HYPERLINK("https://klasma.github.io/Logging_KALMAR/klagomålsmail/A 63949-2019.docx", "A 63949-2019")</f>
        <v/>
      </c>
      <c r="X251">
        <f>HYPERLINK("https://klasma.github.io/Logging_KALMAR/tillsyn/A 63949-2019.docx", "A 63949-2019")</f>
        <v/>
      </c>
      <c r="Y251">
        <f>HYPERLINK("https://klasma.github.io/Logging_KALMAR/tillsynsmail/A 63949-2019.docx", "A 63949-2019")</f>
        <v/>
      </c>
    </row>
    <row r="252" ht="15" customHeight="1">
      <c r="A252" t="inlineStr">
        <is>
          <t>A 8898-2020</t>
        </is>
      </c>
      <c r="B252" s="1" t="n">
        <v>43878</v>
      </c>
      <c r="C252" s="1" t="n">
        <v>45190</v>
      </c>
      <c r="D252" t="inlineStr">
        <is>
          <t>KALMAR LÄN</t>
        </is>
      </c>
      <c r="E252" t="inlineStr">
        <is>
          <t>MÖNSTERÅS</t>
        </is>
      </c>
      <c r="G252" t="n">
        <v>5.1</v>
      </c>
      <c r="H252" t="n">
        <v>2</v>
      </c>
      <c r="I252" t="n">
        <v>0</v>
      </c>
      <c r="J252" t="n">
        <v>0</v>
      </c>
      <c r="K252" t="n">
        <v>0</v>
      </c>
      <c r="L252" t="n">
        <v>0</v>
      </c>
      <c r="M252" t="n">
        <v>0</v>
      </c>
      <c r="N252" t="n">
        <v>0</v>
      </c>
      <c r="O252" t="n">
        <v>0</v>
      </c>
      <c r="P252" t="n">
        <v>0</v>
      </c>
      <c r="Q252" t="n">
        <v>2</v>
      </c>
      <c r="R252" s="2" t="inlineStr">
        <is>
          <t>Nattviol
Lopplummer</t>
        </is>
      </c>
      <c r="S252">
        <f>HYPERLINK("https://klasma.github.io/Logging_MONSTERAS/artfynd/A 8898-2020.xlsx", "A 8898-2020")</f>
        <v/>
      </c>
      <c r="T252">
        <f>HYPERLINK("https://klasma.github.io/Logging_MONSTERAS/kartor/A 8898-2020.png", "A 8898-2020")</f>
        <v/>
      </c>
      <c r="V252">
        <f>HYPERLINK("https://klasma.github.io/Logging_MONSTERAS/klagomål/A 8898-2020.docx", "A 8898-2020")</f>
        <v/>
      </c>
      <c r="W252">
        <f>HYPERLINK("https://klasma.github.io/Logging_MONSTERAS/klagomålsmail/A 8898-2020.docx", "A 8898-2020")</f>
        <v/>
      </c>
      <c r="X252">
        <f>HYPERLINK("https://klasma.github.io/Logging_MONSTERAS/tillsyn/A 8898-2020.docx", "A 8898-2020")</f>
        <v/>
      </c>
      <c r="Y252">
        <f>HYPERLINK("https://klasma.github.io/Logging_MONSTERAS/tillsynsmail/A 8898-2020.docx", "A 8898-2020")</f>
        <v/>
      </c>
    </row>
    <row r="253" ht="15" customHeight="1">
      <c r="A253" t="inlineStr">
        <is>
          <t>A 12722-2020</t>
        </is>
      </c>
      <c r="B253" s="1" t="n">
        <v>43899</v>
      </c>
      <c r="C253" s="1" t="n">
        <v>45190</v>
      </c>
      <c r="D253" t="inlineStr">
        <is>
          <t>KALMAR LÄN</t>
        </is>
      </c>
      <c r="E253" t="inlineStr">
        <is>
          <t>EMMABODA</t>
        </is>
      </c>
      <c r="G253" t="n">
        <v>2.2</v>
      </c>
      <c r="H253" t="n">
        <v>1</v>
      </c>
      <c r="I253" t="n">
        <v>0</v>
      </c>
      <c r="J253" t="n">
        <v>0</v>
      </c>
      <c r="K253" t="n">
        <v>0</v>
      </c>
      <c r="L253" t="n">
        <v>1</v>
      </c>
      <c r="M253" t="n">
        <v>0</v>
      </c>
      <c r="N253" t="n">
        <v>0</v>
      </c>
      <c r="O253" t="n">
        <v>1</v>
      </c>
      <c r="P253" t="n">
        <v>1</v>
      </c>
      <c r="Q253" t="n">
        <v>2</v>
      </c>
      <c r="R253" s="2" t="inlineStr">
        <is>
          <t>Ask
Revlummer</t>
        </is>
      </c>
      <c r="S253">
        <f>HYPERLINK("https://klasma.github.io/Logging_EMMABODA/artfynd/A 12722-2020.xlsx", "A 12722-2020")</f>
        <v/>
      </c>
      <c r="T253">
        <f>HYPERLINK("https://klasma.github.io/Logging_EMMABODA/kartor/A 12722-2020.png", "A 12722-2020")</f>
        <v/>
      </c>
      <c r="V253">
        <f>HYPERLINK("https://klasma.github.io/Logging_EMMABODA/klagomål/A 12722-2020.docx", "A 12722-2020")</f>
        <v/>
      </c>
      <c r="W253">
        <f>HYPERLINK("https://klasma.github.io/Logging_EMMABODA/klagomålsmail/A 12722-2020.docx", "A 12722-2020")</f>
        <v/>
      </c>
      <c r="X253">
        <f>HYPERLINK("https://klasma.github.io/Logging_EMMABODA/tillsyn/A 12722-2020.docx", "A 12722-2020")</f>
        <v/>
      </c>
      <c r="Y253">
        <f>HYPERLINK("https://klasma.github.io/Logging_EMMABODA/tillsynsmail/A 12722-2020.docx", "A 12722-2020")</f>
        <v/>
      </c>
    </row>
    <row r="254" ht="15" customHeight="1">
      <c r="A254" t="inlineStr">
        <is>
          <t>A 33362-2020</t>
        </is>
      </c>
      <c r="B254" s="1" t="n">
        <v>44021</v>
      </c>
      <c r="C254" s="1" t="n">
        <v>45190</v>
      </c>
      <c r="D254" t="inlineStr">
        <is>
          <t>KALMAR LÄN</t>
        </is>
      </c>
      <c r="E254" t="inlineStr">
        <is>
          <t>MÖNSTERÅS</t>
        </is>
      </c>
      <c r="G254" t="n">
        <v>2.6</v>
      </c>
      <c r="H254" t="n">
        <v>0</v>
      </c>
      <c r="I254" t="n">
        <v>0</v>
      </c>
      <c r="J254" t="n">
        <v>2</v>
      </c>
      <c r="K254" t="n">
        <v>0</v>
      </c>
      <c r="L254" t="n">
        <v>0</v>
      </c>
      <c r="M254" t="n">
        <v>0</v>
      </c>
      <c r="N254" t="n">
        <v>0</v>
      </c>
      <c r="O254" t="n">
        <v>2</v>
      </c>
      <c r="P254" t="n">
        <v>0</v>
      </c>
      <c r="Q254" t="n">
        <v>2</v>
      </c>
      <c r="R254" s="2" t="inlineStr">
        <is>
          <t>Ekgrenbock
Smalvingad blombock</t>
        </is>
      </c>
      <c r="S254">
        <f>HYPERLINK("https://klasma.github.io/Logging_MONSTERAS/artfynd/A 33362-2020.xlsx", "A 33362-2020")</f>
        <v/>
      </c>
      <c r="T254">
        <f>HYPERLINK("https://klasma.github.io/Logging_MONSTERAS/kartor/A 33362-2020.png", "A 33362-2020")</f>
        <v/>
      </c>
      <c r="V254">
        <f>HYPERLINK("https://klasma.github.io/Logging_MONSTERAS/klagomål/A 33362-2020.docx", "A 33362-2020")</f>
        <v/>
      </c>
      <c r="W254">
        <f>HYPERLINK("https://klasma.github.io/Logging_MONSTERAS/klagomålsmail/A 33362-2020.docx", "A 33362-2020")</f>
        <v/>
      </c>
      <c r="X254">
        <f>HYPERLINK("https://klasma.github.io/Logging_MONSTERAS/tillsyn/A 33362-2020.docx", "A 33362-2020")</f>
        <v/>
      </c>
      <c r="Y254">
        <f>HYPERLINK("https://klasma.github.io/Logging_MONSTERAS/tillsynsmail/A 33362-2020.docx", "A 33362-2020")</f>
        <v/>
      </c>
    </row>
    <row r="255" ht="15" customHeight="1">
      <c r="A255" t="inlineStr">
        <is>
          <t>A 38434-2020</t>
        </is>
      </c>
      <c r="B255" s="1" t="n">
        <v>44060</v>
      </c>
      <c r="C255" s="1" t="n">
        <v>45190</v>
      </c>
      <c r="D255" t="inlineStr">
        <is>
          <t>KALMAR LÄN</t>
        </is>
      </c>
      <c r="E255" t="inlineStr">
        <is>
          <t>HULTSFRED</t>
        </is>
      </c>
      <c r="G255" t="n">
        <v>2.3</v>
      </c>
      <c r="H255" t="n">
        <v>1</v>
      </c>
      <c r="I255" t="n">
        <v>1</v>
      </c>
      <c r="J255" t="n">
        <v>0</v>
      </c>
      <c r="K255" t="n">
        <v>0</v>
      </c>
      <c r="L255" t="n">
        <v>0</v>
      </c>
      <c r="M255" t="n">
        <v>0</v>
      </c>
      <c r="N255" t="n">
        <v>0</v>
      </c>
      <c r="O255" t="n">
        <v>0</v>
      </c>
      <c r="P255" t="n">
        <v>0</v>
      </c>
      <c r="Q255" t="n">
        <v>2</v>
      </c>
      <c r="R255" s="2" t="inlineStr">
        <is>
          <t>Sårläka
Blåsippa</t>
        </is>
      </c>
      <c r="S255">
        <f>HYPERLINK("https://klasma.github.io/Logging_HULTSFRED/artfynd/A 38434-2020.xlsx", "A 38434-2020")</f>
        <v/>
      </c>
      <c r="T255">
        <f>HYPERLINK("https://klasma.github.io/Logging_HULTSFRED/kartor/A 38434-2020.png", "A 38434-2020")</f>
        <v/>
      </c>
      <c r="V255">
        <f>HYPERLINK("https://klasma.github.io/Logging_HULTSFRED/klagomål/A 38434-2020.docx", "A 38434-2020")</f>
        <v/>
      </c>
      <c r="W255">
        <f>HYPERLINK("https://klasma.github.io/Logging_HULTSFRED/klagomålsmail/A 38434-2020.docx", "A 38434-2020")</f>
        <v/>
      </c>
      <c r="X255">
        <f>HYPERLINK("https://klasma.github.io/Logging_HULTSFRED/tillsyn/A 38434-2020.docx", "A 38434-2020")</f>
        <v/>
      </c>
      <c r="Y255">
        <f>HYPERLINK("https://klasma.github.io/Logging_HULTSFRED/tillsynsmail/A 38434-2020.docx", "A 38434-2020")</f>
        <v/>
      </c>
    </row>
    <row r="256" ht="15" customHeight="1">
      <c r="A256" t="inlineStr">
        <is>
          <t>A 43921-2020</t>
        </is>
      </c>
      <c r="B256" s="1" t="n">
        <v>44083</v>
      </c>
      <c r="C256" s="1" t="n">
        <v>45190</v>
      </c>
      <c r="D256" t="inlineStr">
        <is>
          <t>KALMAR LÄN</t>
        </is>
      </c>
      <c r="E256" t="inlineStr">
        <is>
          <t>HULTSFRED</t>
        </is>
      </c>
      <c r="G256" t="n">
        <v>0.7</v>
      </c>
      <c r="H256" t="n">
        <v>1</v>
      </c>
      <c r="I256" t="n">
        <v>0</v>
      </c>
      <c r="J256" t="n">
        <v>0</v>
      </c>
      <c r="K256" t="n">
        <v>0</v>
      </c>
      <c r="L256" t="n">
        <v>1</v>
      </c>
      <c r="M256" t="n">
        <v>0</v>
      </c>
      <c r="N256" t="n">
        <v>0</v>
      </c>
      <c r="O256" t="n">
        <v>1</v>
      </c>
      <c r="P256" t="n">
        <v>1</v>
      </c>
      <c r="Q256" t="n">
        <v>2</v>
      </c>
      <c r="R256" s="2" t="inlineStr">
        <is>
          <t>Ask
Blåsippa</t>
        </is>
      </c>
      <c r="S256">
        <f>HYPERLINK("https://klasma.github.io/Logging_HULTSFRED/artfynd/A 43921-2020.xlsx", "A 43921-2020")</f>
        <v/>
      </c>
      <c r="T256">
        <f>HYPERLINK("https://klasma.github.io/Logging_HULTSFRED/kartor/A 43921-2020.png", "A 43921-2020")</f>
        <v/>
      </c>
      <c r="V256">
        <f>HYPERLINK("https://klasma.github.io/Logging_HULTSFRED/klagomål/A 43921-2020.docx", "A 43921-2020")</f>
        <v/>
      </c>
      <c r="W256">
        <f>HYPERLINK("https://klasma.github.io/Logging_HULTSFRED/klagomålsmail/A 43921-2020.docx", "A 43921-2020")</f>
        <v/>
      </c>
      <c r="X256">
        <f>HYPERLINK("https://klasma.github.io/Logging_HULTSFRED/tillsyn/A 43921-2020.docx", "A 43921-2020")</f>
        <v/>
      </c>
      <c r="Y256">
        <f>HYPERLINK("https://klasma.github.io/Logging_HULTSFRED/tillsynsmail/A 43921-2020.docx", "A 43921-2020")</f>
        <v/>
      </c>
    </row>
    <row r="257" ht="15" customHeight="1">
      <c r="A257" t="inlineStr">
        <is>
          <t>A 47493-2020</t>
        </is>
      </c>
      <c r="B257" s="1" t="n">
        <v>44098</v>
      </c>
      <c r="C257" s="1" t="n">
        <v>45190</v>
      </c>
      <c r="D257" t="inlineStr">
        <is>
          <t>KALMAR LÄN</t>
        </is>
      </c>
      <c r="E257" t="inlineStr">
        <is>
          <t>HULTSFRED</t>
        </is>
      </c>
      <c r="G257" t="n">
        <v>1.3</v>
      </c>
      <c r="H257" t="n">
        <v>2</v>
      </c>
      <c r="I257" t="n">
        <v>1</v>
      </c>
      <c r="J257" t="n">
        <v>0</v>
      </c>
      <c r="K257" t="n">
        <v>1</v>
      </c>
      <c r="L257" t="n">
        <v>0</v>
      </c>
      <c r="M257" t="n">
        <v>0</v>
      </c>
      <c r="N257" t="n">
        <v>0</v>
      </c>
      <c r="O257" t="n">
        <v>1</v>
      </c>
      <c r="P257" t="n">
        <v>1</v>
      </c>
      <c r="Q257" t="n">
        <v>2</v>
      </c>
      <c r="R257" s="2" t="inlineStr">
        <is>
          <t>Knärot
Plattlummer</t>
        </is>
      </c>
      <c r="S257">
        <f>HYPERLINK("https://klasma.github.io/Logging_HULTSFRED/artfynd/A 47493-2020.xlsx", "A 47493-2020")</f>
        <v/>
      </c>
      <c r="T257">
        <f>HYPERLINK("https://klasma.github.io/Logging_HULTSFRED/kartor/A 47493-2020.png", "A 47493-2020")</f>
        <v/>
      </c>
      <c r="U257">
        <f>HYPERLINK("https://klasma.github.io/Logging_HULTSFRED/knärot/A 47493-2020.png", "A 47493-2020")</f>
        <v/>
      </c>
      <c r="V257">
        <f>HYPERLINK("https://klasma.github.io/Logging_HULTSFRED/klagomål/A 47493-2020.docx", "A 47493-2020")</f>
        <v/>
      </c>
      <c r="W257">
        <f>HYPERLINK("https://klasma.github.io/Logging_HULTSFRED/klagomålsmail/A 47493-2020.docx", "A 47493-2020")</f>
        <v/>
      </c>
      <c r="X257">
        <f>HYPERLINK("https://klasma.github.io/Logging_HULTSFRED/tillsyn/A 47493-2020.docx", "A 47493-2020")</f>
        <v/>
      </c>
      <c r="Y257">
        <f>HYPERLINK("https://klasma.github.io/Logging_HULTSFRED/tillsynsmail/A 47493-2020.docx", "A 47493-2020")</f>
        <v/>
      </c>
    </row>
    <row r="258" ht="15" customHeight="1">
      <c r="A258" t="inlineStr">
        <is>
          <t>A 51270-2020</t>
        </is>
      </c>
      <c r="B258" s="1" t="n">
        <v>44112</v>
      </c>
      <c r="C258" s="1" t="n">
        <v>45190</v>
      </c>
      <c r="D258" t="inlineStr">
        <is>
          <t>KALMAR LÄN</t>
        </is>
      </c>
      <c r="E258" t="inlineStr">
        <is>
          <t>NYBRO</t>
        </is>
      </c>
      <c r="G258" t="n">
        <v>7.2</v>
      </c>
      <c r="H258" t="n">
        <v>1</v>
      </c>
      <c r="I258" t="n">
        <v>0</v>
      </c>
      <c r="J258" t="n">
        <v>1</v>
      </c>
      <c r="K258" t="n">
        <v>1</v>
      </c>
      <c r="L258" t="n">
        <v>0</v>
      </c>
      <c r="M258" t="n">
        <v>0</v>
      </c>
      <c r="N258" t="n">
        <v>0</v>
      </c>
      <c r="O258" t="n">
        <v>2</v>
      </c>
      <c r="P258" t="n">
        <v>1</v>
      </c>
      <c r="Q258" t="n">
        <v>2</v>
      </c>
      <c r="R258" s="2" t="inlineStr">
        <is>
          <t>Knärot
Ullticka</t>
        </is>
      </c>
      <c r="S258">
        <f>HYPERLINK("https://klasma.github.io/Logging_NYBRO/artfynd/A 51270-2020.xlsx", "A 51270-2020")</f>
        <v/>
      </c>
      <c r="T258">
        <f>HYPERLINK("https://klasma.github.io/Logging_NYBRO/kartor/A 51270-2020.png", "A 51270-2020")</f>
        <v/>
      </c>
      <c r="U258">
        <f>HYPERLINK("https://klasma.github.io/Logging_NYBRO/knärot/A 51270-2020.png", "A 51270-2020")</f>
        <v/>
      </c>
      <c r="V258">
        <f>HYPERLINK("https://klasma.github.io/Logging_NYBRO/klagomål/A 51270-2020.docx", "A 51270-2020")</f>
        <v/>
      </c>
      <c r="W258">
        <f>HYPERLINK("https://klasma.github.io/Logging_NYBRO/klagomålsmail/A 51270-2020.docx", "A 51270-2020")</f>
        <v/>
      </c>
      <c r="X258">
        <f>HYPERLINK("https://klasma.github.io/Logging_NYBRO/tillsyn/A 51270-2020.docx", "A 51270-2020")</f>
        <v/>
      </c>
      <c r="Y258">
        <f>HYPERLINK("https://klasma.github.io/Logging_NYBRO/tillsynsmail/A 51270-2020.docx", "A 51270-2020")</f>
        <v/>
      </c>
    </row>
    <row r="259" ht="15" customHeight="1">
      <c r="A259" t="inlineStr">
        <is>
          <t>A 53115-2020</t>
        </is>
      </c>
      <c r="B259" s="1" t="n">
        <v>44120</v>
      </c>
      <c r="C259" s="1" t="n">
        <v>45190</v>
      </c>
      <c r="D259" t="inlineStr">
        <is>
          <t>KALMAR LÄN</t>
        </is>
      </c>
      <c r="E259" t="inlineStr">
        <is>
          <t>NYBRO</t>
        </is>
      </c>
      <c r="G259" t="n">
        <v>6.2</v>
      </c>
      <c r="H259" t="n">
        <v>1</v>
      </c>
      <c r="I259" t="n">
        <v>1</v>
      </c>
      <c r="J259" t="n">
        <v>1</v>
      </c>
      <c r="K259" t="n">
        <v>0</v>
      </c>
      <c r="L259" t="n">
        <v>0</v>
      </c>
      <c r="M259" t="n">
        <v>0</v>
      </c>
      <c r="N259" t="n">
        <v>0</v>
      </c>
      <c r="O259" t="n">
        <v>1</v>
      </c>
      <c r="P259" t="n">
        <v>0</v>
      </c>
      <c r="Q259" t="n">
        <v>2</v>
      </c>
      <c r="R259" s="2" t="inlineStr">
        <is>
          <t>Granticka
Grön sköldmossa</t>
        </is>
      </c>
      <c r="S259">
        <f>HYPERLINK("https://klasma.github.io/Logging_NYBRO/artfynd/A 53115-2020.xlsx", "A 53115-2020")</f>
        <v/>
      </c>
      <c r="T259">
        <f>HYPERLINK("https://klasma.github.io/Logging_NYBRO/kartor/A 53115-2020.png", "A 53115-2020")</f>
        <v/>
      </c>
      <c r="V259">
        <f>HYPERLINK("https://klasma.github.io/Logging_NYBRO/klagomål/A 53115-2020.docx", "A 53115-2020")</f>
        <v/>
      </c>
      <c r="W259">
        <f>HYPERLINK("https://klasma.github.io/Logging_NYBRO/klagomålsmail/A 53115-2020.docx", "A 53115-2020")</f>
        <v/>
      </c>
      <c r="X259">
        <f>HYPERLINK("https://klasma.github.io/Logging_NYBRO/tillsyn/A 53115-2020.docx", "A 53115-2020")</f>
        <v/>
      </c>
      <c r="Y259">
        <f>HYPERLINK("https://klasma.github.io/Logging_NYBRO/tillsynsmail/A 53115-2020.docx", "A 53115-2020")</f>
        <v/>
      </c>
    </row>
    <row r="260" ht="15" customHeight="1">
      <c r="A260" t="inlineStr">
        <is>
          <t>A 56180-2020</t>
        </is>
      </c>
      <c r="B260" s="1" t="n">
        <v>44133</v>
      </c>
      <c r="C260" s="1" t="n">
        <v>45190</v>
      </c>
      <c r="D260" t="inlineStr">
        <is>
          <t>KALMAR LÄN</t>
        </is>
      </c>
      <c r="E260" t="inlineStr">
        <is>
          <t>VÄSTERVIK</t>
        </is>
      </c>
      <c r="G260" t="n">
        <v>9.199999999999999</v>
      </c>
      <c r="H260" t="n">
        <v>2</v>
      </c>
      <c r="I260" t="n">
        <v>0</v>
      </c>
      <c r="J260" t="n">
        <v>0</v>
      </c>
      <c r="K260" t="n">
        <v>1</v>
      </c>
      <c r="L260" t="n">
        <v>0</v>
      </c>
      <c r="M260" t="n">
        <v>0</v>
      </c>
      <c r="N260" t="n">
        <v>0</v>
      </c>
      <c r="O260" t="n">
        <v>1</v>
      </c>
      <c r="P260" t="n">
        <v>1</v>
      </c>
      <c r="Q260" t="n">
        <v>2</v>
      </c>
      <c r="R260" s="2" t="inlineStr">
        <is>
          <t>Hasselsnok
Mattlummer</t>
        </is>
      </c>
      <c r="S260">
        <f>HYPERLINK("https://klasma.github.io/Logging_VASTERVIK/artfynd/A 56180-2020.xlsx", "A 56180-2020")</f>
        <v/>
      </c>
      <c r="T260">
        <f>HYPERLINK("https://klasma.github.io/Logging_VASTERVIK/kartor/A 56180-2020.png", "A 56180-2020")</f>
        <v/>
      </c>
      <c r="V260">
        <f>HYPERLINK("https://klasma.github.io/Logging_VASTERVIK/klagomål/A 56180-2020.docx", "A 56180-2020")</f>
        <v/>
      </c>
      <c r="W260">
        <f>HYPERLINK("https://klasma.github.io/Logging_VASTERVIK/klagomålsmail/A 56180-2020.docx", "A 56180-2020")</f>
        <v/>
      </c>
      <c r="X260">
        <f>HYPERLINK("https://klasma.github.io/Logging_VASTERVIK/tillsyn/A 56180-2020.docx", "A 56180-2020")</f>
        <v/>
      </c>
      <c r="Y260">
        <f>HYPERLINK("https://klasma.github.io/Logging_VASTERVIK/tillsynsmail/A 56180-2020.docx", "A 56180-2020")</f>
        <v/>
      </c>
    </row>
    <row r="261" ht="15" customHeight="1">
      <c r="A261" t="inlineStr">
        <is>
          <t>A 58410-2020</t>
        </is>
      </c>
      <c r="B261" s="1" t="n">
        <v>44145</v>
      </c>
      <c r="C261" s="1" t="n">
        <v>45190</v>
      </c>
      <c r="D261" t="inlineStr">
        <is>
          <t>KALMAR LÄN</t>
        </is>
      </c>
      <c r="E261" t="inlineStr">
        <is>
          <t>NYBRO</t>
        </is>
      </c>
      <c r="G261" t="n">
        <v>4.5</v>
      </c>
      <c r="H261" t="n">
        <v>0</v>
      </c>
      <c r="I261" t="n">
        <v>2</v>
      </c>
      <c r="J261" t="n">
        <v>0</v>
      </c>
      <c r="K261" t="n">
        <v>0</v>
      </c>
      <c r="L261" t="n">
        <v>0</v>
      </c>
      <c r="M261" t="n">
        <v>0</v>
      </c>
      <c r="N261" t="n">
        <v>0</v>
      </c>
      <c r="O261" t="n">
        <v>0</v>
      </c>
      <c r="P261" t="n">
        <v>0</v>
      </c>
      <c r="Q261" t="n">
        <v>2</v>
      </c>
      <c r="R261" s="2" t="inlineStr">
        <is>
          <t>Fjällig taggsvamp s.str.
Tjockfotad fingersvamp</t>
        </is>
      </c>
      <c r="S261">
        <f>HYPERLINK("https://klasma.github.io/Logging_NYBRO/artfynd/A 58410-2020.xlsx", "A 58410-2020")</f>
        <v/>
      </c>
      <c r="T261">
        <f>HYPERLINK("https://klasma.github.io/Logging_NYBRO/kartor/A 58410-2020.png", "A 58410-2020")</f>
        <v/>
      </c>
      <c r="V261">
        <f>HYPERLINK("https://klasma.github.io/Logging_NYBRO/klagomål/A 58410-2020.docx", "A 58410-2020")</f>
        <v/>
      </c>
      <c r="W261">
        <f>HYPERLINK("https://klasma.github.io/Logging_NYBRO/klagomålsmail/A 58410-2020.docx", "A 58410-2020")</f>
        <v/>
      </c>
      <c r="X261">
        <f>HYPERLINK("https://klasma.github.io/Logging_NYBRO/tillsyn/A 58410-2020.docx", "A 58410-2020")</f>
        <v/>
      </c>
      <c r="Y261">
        <f>HYPERLINK("https://klasma.github.io/Logging_NYBRO/tillsynsmail/A 58410-2020.docx", "A 58410-2020")</f>
        <v/>
      </c>
    </row>
    <row r="262" ht="15" customHeight="1">
      <c r="A262" t="inlineStr">
        <is>
          <t>A 62745-2020</t>
        </is>
      </c>
      <c r="B262" s="1" t="n">
        <v>44161</v>
      </c>
      <c r="C262" s="1" t="n">
        <v>45190</v>
      </c>
      <c r="D262" t="inlineStr">
        <is>
          <t>KALMAR LÄN</t>
        </is>
      </c>
      <c r="E262" t="inlineStr">
        <is>
          <t>OSKARSHAMN</t>
        </is>
      </c>
      <c r="G262" t="n">
        <v>3.3</v>
      </c>
      <c r="H262" t="n">
        <v>1</v>
      </c>
      <c r="I262" t="n">
        <v>0</v>
      </c>
      <c r="J262" t="n">
        <v>1</v>
      </c>
      <c r="K262" t="n">
        <v>0</v>
      </c>
      <c r="L262" t="n">
        <v>1</v>
      </c>
      <c r="M262" t="n">
        <v>0</v>
      </c>
      <c r="N262" t="n">
        <v>0</v>
      </c>
      <c r="O262" t="n">
        <v>2</v>
      </c>
      <c r="P262" t="n">
        <v>1</v>
      </c>
      <c r="Q262" t="n">
        <v>2</v>
      </c>
      <c r="R262" s="2" t="inlineStr">
        <is>
          <t>Tornseglare
Klubbsprötad bastardsvärmare</t>
        </is>
      </c>
      <c r="S262">
        <f>HYPERLINK("https://klasma.github.io/Logging_OSKARSHAMN/artfynd/A 62745-2020.xlsx", "A 62745-2020")</f>
        <v/>
      </c>
      <c r="T262">
        <f>HYPERLINK("https://klasma.github.io/Logging_OSKARSHAMN/kartor/A 62745-2020.png", "A 62745-2020")</f>
        <v/>
      </c>
      <c r="V262">
        <f>HYPERLINK("https://klasma.github.io/Logging_OSKARSHAMN/klagomål/A 62745-2020.docx", "A 62745-2020")</f>
        <v/>
      </c>
      <c r="W262">
        <f>HYPERLINK("https://klasma.github.io/Logging_OSKARSHAMN/klagomålsmail/A 62745-2020.docx", "A 62745-2020")</f>
        <v/>
      </c>
      <c r="X262">
        <f>HYPERLINK("https://klasma.github.io/Logging_OSKARSHAMN/tillsyn/A 62745-2020.docx", "A 62745-2020")</f>
        <v/>
      </c>
      <c r="Y262">
        <f>HYPERLINK("https://klasma.github.io/Logging_OSKARSHAMN/tillsynsmail/A 62745-2020.docx", "A 62745-2020")</f>
        <v/>
      </c>
    </row>
    <row r="263" ht="15" customHeight="1">
      <c r="A263" t="inlineStr">
        <is>
          <t>A 1955-2021</t>
        </is>
      </c>
      <c r="B263" s="1" t="n">
        <v>44210</v>
      </c>
      <c r="C263" s="1" t="n">
        <v>45190</v>
      </c>
      <c r="D263" t="inlineStr">
        <is>
          <t>KALMAR LÄN</t>
        </is>
      </c>
      <c r="E263" t="inlineStr">
        <is>
          <t>VÄSTERVIK</t>
        </is>
      </c>
      <c r="G263" t="n">
        <v>5.3</v>
      </c>
      <c r="H263" t="n">
        <v>2</v>
      </c>
      <c r="I263" t="n">
        <v>0</v>
      </c>
      <c r="J263" t="n">
        <v>2</v>
      </c>
      <c r="K263" t="n">
        <v>0</v>
      </c>
      <c r="L263" t="n">
        <v>0</v>
      </c>
      <c r="M263" t="n">
        <v>0</v>
      </c>
      <c r="N263" t="n">
        <v>0</v>
      </c>
      <c r="O263" t="n">
        <v>2</v>
      </c>
      <c r="P263" t="n">
        <v>0</v>
      </c>
      <c r="Q263" t="n">
        <v>2</v>
      </c>
      <c r="R263" s="2" t="inlineStr">
        <is>
          <t>Spillkråka
Talltita</t>
        </is>
      </c>
      <c r="S263">
        <f>HYPERLINK("https://klasma.github.io/Logging_VASTERVIK/artfynd/A 1955-2021.xlsx", "A 1955-2021")</f>
        <v/>
      </c>
      <c r="T263">
        <f>HYPERLINK("https://klasma.github.io/Logging_VASTERVIK/kartor/A 1955-2021.png", "A 1955-2021")</f>
        <v/>
      </c>
      <c r="V263">
        <f>HYPERLINK("https://klasma.github.io/Logging_VASTERVIK/klagomål/A 1955-2021.docx", "A 1955-2021")</f>
        <v/>
      </c>
      <c r="W263">
        <f>HYPERLINK("https://klasma.github.io/Logging_VASTERVIK/klagomålsmail/A 1955-2021.docx", "A 1955-2021")</f>
        <v/>
      </c>
      <c r="X263">
        <f>HYPERLINK("https://klasma.github.io/Logging_VASTERVIK/tillsyn/A 1955-2021.docx", "A 1955-2021")</f>
        <v/>
      </c>
      <c r="Y263">
        <f>HYPERLINK("https://klasma.github.io/Logging_VASTERVIK/tillsynsmail/A 1955-2021.docx", "A 1955-2021")</f>
        <v/>
      </c>
    </row>
    <row r="264" ht="15" customHeight="1">
      <c r="A264" t="inlineStr">
        <is>
          <t>A 3238-2021</t>
        </is>
      </c>
      <c r="B264" s="1" t="n">
        <v>44215</v>
      </c>
      <c r="C264" s="1" t="n">
        <v>45190</v>
      </c>
      <c r="D264" t="inlineStr">
        <is>
          <t>KALMAR LÄN</t>
        </is>
      </c>
      <c r="E264" t="inlineStr">
        <is>
          <t>MÖNSTERÅS</t>
        </is>
      </c>
      <c r="G264" t="n">
        <v>17.1</v>
      </c>
      <c r="H264" t="n">
        <v>1</v>
      </c>
      <c r="I264" t="n">
        <v>1</v>
      </c>
      <c r="J264" t="n">
        <v>0</v>
      </c>
      <c r="K264" t="n">
        <v>0</v>
      </c>
      <c r="L264" t="n">
        <v>0</v>
      </c>
      <c r="M264" t="n">
        <v>0</v>
      </c>
      <c r="N264" t="n">
        <v>0</v>
      </c>
      <c r="O264" t="n">
        <v>0</v>
      </c>
      <c r="P264" t="n">
        <v>0</v>
      </c>
      <c r="Q264" t="n">
        <v>2</v>
      </c>
      <c r="R264" s="2" t="inlineStr">
        <is>
          <t>Granbarkgnagare
Mattlummer</t>
        </is>
      </c>
      <c r="S264">
        <f>HYPERLINK("https://klasma.github.io/Logging_MONSTERAS/artfynd/A 3238-2021.xlsx", "A 3238-2021")</f>
        <v/>
      </c>
      <c r="T264">
        <f>HYPERLINK("https://klasma.github.io/Logging_MONSTERAS/kartor/A 3238-2021.png", "A 3238-2021")</f>
        <v/>
      </c>
      <c r="V264">
        <f>HYPERLINK("https://klasma.github.io/Logging_MONSTERAS/klagomål/A 3238-2021.docx", "A 3238-2021")</f>
        <v/>
      </c>
      <c r="W264">
        <f>HYPERLINK("https://klasma.github.io/Logging_MONSTERAS/klagomålsmail/A 3238-2021.docx", "A 3238-2021")</f>
        <v/>
      </c>
      <c r="X264">
        <f>HYPERLINK("https://klasma.github.io/Logging_MONSTERAS/tillsyn/A 3238-2021.docx", "A 3238-2021")</f>
        <v/>
      </c>
      <c r="Y264">
        <f>HYPERLINK("https://klasma.github.io/Logging_MONSTERAS/tillsynsmail/A 3238-2021.docx", "A 3238-2021")</f>
        <v/>
      </c>
    </row>
    <row r="265" ht="15" customHeight="1">
      <c r="A265" t="inlineStr">
        <is>
          <t>A 2921-2021</t>
        </is>
      </c>
      <c r="B265" s="1" t="n">
        <v>44216</v>
      </c>
      <c r="C265" s="1" t="n">
        <v>45190</v>
      </c>
      <c r="D265" t="inlineStr">
        <is>
          <t>KALMAR LÄN</t>
        </is>
      </c>
      <c r="E265" t="inlineStr">
        <is>
          <t>TORSÅS</t>
        </is>
      </c>
      <c r="G265" t="n">
        <v>2.7</v>
      </c>
      <c r="H265" t="n">
        <v>2</v>
      </c>
      <c r="I265" t="n">
        <v>0</v>
      </c>
      <c r="J265" t="n">
        <v>1</v>
      </c>
      <c r="K265" t="n">
        <v>0</v>
      </c>
      <c r="L265" t="n">
        <v>0</v>
      </c>
      <c r="M265" t="n">
        <v>0</v>
      </c>
      <c r="N265" t="n">
        <v>0</v>
      </c>
      <c r="O265" t="n">
        <v>1</v>
      </c>
      <c r="P265" t="n">
        <v>0</v>
      </c>
      <c r="Q265" t="n">
        <v>2</v>
      </c>
      <c r="R265" s="2" t="inlineStr">
        <is>
          <t>Nordfladdermus
Gråskimlig fladdermus</t>
        </is>
      </c>
      <c r="S265">
        <f>HYPERLINK("https://klasma.github.io/Logging_TORSAS/artfynd/A 2921-2021.xlsx", "A 2921-2021")</f>
        <v/>
      </c>
      <c r="T265">
        <f>HYPERLINK("https://klasma.github.io/Logging_TORSAS/kartor/A 2921-2021.png", "A 2921-2021")</f>
        <v/>
      </c>
      <c r="V265">
        <f>HYPERLINK("https://klasma.github.io/Logging_TORSAS/klagomål/A 2921-2021.docx", "A 2921-2021")</f>
        <v/>
      </c>
      <c r="W265">
        <f>HYPERLINK("https://klasma.github.io/Logging_TORSAS/klagomålsmail/A 2921-2021.docx", "A 2921-2021")</f>
        <v/>
      </c>
      <c r="X265">
        <f>HYPERLINK("https://klasma.github.io/Logging_TORSAS/tillsyn/A 2921-2021.docx", "A 2921-2021")</f>
        <v/>
      </c>
      <c r="Y265">
        <f>HYPERLINK("https://klasma.github.io/Logging_TORSAS/tillsynsmail/A 2921-2021.docx", "A 2921-2021")</f>
        <v/>
      </c>
    </row>
    <row r="266" ht="15" customHeight="1">
      <c r="A266" t="inlineStr">
        <is>
          <t>A 3975-2021</t>
        </is>
      </c>
      <c r="B266" s="1" t="n">
        <v>44222</v>
      </c>
      <c r="C266" s="1" t="n">
        <v>45190</v>
      </c>
      <c r="D266" t="inlineStr">
        <is>
          <t>KALMAR LÄN</t>
        </is>
      </c>
      <c r="E266" t="inlineStr">
        <is>
          <t>MÖRBYLÅNGA</t>
        </is>
      </c>
      <c r="G266" t="n">
        <v>6</v>
      </c>
      <c r="H266" t="n">
        <v>0</v>
      </c>
      <c r="I266" t="n">
        <v>1</v>
      </c>
      <c r="J266" t="n">
        <v>0</v>
      </c>
      <c r="K266" t="n">
        <v>0</v>
      </c>
      <c r="L266" t="n">
        <v>0</v>
      </c>
      <c r="M266" t="n">
        <v>1</v>
      </c>
      <c r="N266" t="n">
        <v>0</v>
      </c>
      <c r="O266" t="n">
        <v>1</v>
      </c>
      <c r="P266" t="n">
        <v>1</v>
      </c>
      <c r="Q266" t="n">
        <v>2</v>
      </c>
      <c r="R266" s="2" t="inlineStr">
        <is>
          <t>Järnek
Sårläka</t>
        </is>
      </c>
      <c r="S266">
        <f>HYPERLINK("https://klasma.github.io/Logging_MORBYLANGA/artfynd/A 3975-2021.xlsx", "A 3975-2021")</f>
        <v/>
      </c>
      <c r="T266">
        <f>HYPERLINK("https://klasma.github.io/Logging_MORBYLANGA/kartor/A 3975-2021.png", "A 3975-2021")</f>
        <v/>
      </c>
      <c r="V266">
        <f>HYPERLINK("https://klasma.github.io/Logging_MORBYLANGA/klagomål/A 3975-2021.docx", "A 3975-2021")</f>
        <v/>
      </c>
      <c r="W266">
        <f>HYPERLINK("https://klasma.github.io/Logging_MORBYLANGA/klagomålsmail/A 3975-2021.docx", "A 3975-2021")</f>
        <v/>
      </c>
      <c r="X266">
        <f>HYPERLINK("https://klasma.github.io/Logging_MORBYLANGA/tillsyn/A 3975-2021.docx", "A 3975-2021")</f>
        <v/>
      </c>
      <c r="Y266">
        <f>HYPERLINK("https://klasma.github.io/Logging_MORBYLANGA/tillsynsmail/A 3975-2021.docx", "A 3975-2021")</f>
        <v/>
      </c>
    </row>
    <row r="267" ht="15" customHeight="1">
      <c r="A267" t="inlineStr">
        <is>
          <t>A 6384-2021</t>
        </is>
      </c>
      <c r="B267" s="1" t="n">
        <v>44235</v>
      </c>
      <c r="C267" s="1" t="n">
        <v>45190</v>
      </c>
      <c r="D267" t="inlineStr">
        <is>
          <t>KALMAR LÄN</t>
        </is>
      </c>
      <c r="E267" t="inlineStr">
        <is>
          <t>HULTSFRED</t>
        </is>
      </c>
      <c r="G267" t="n">
        <v>10.8</v>
      </c>
      <c r="H267" t="n">
        <v>2</v>
      </c>
      <c r="I267" t="n">
        <v>0</v>
      </c>
      <c r="J267" t="n">
        <v>1</v>
      </c>
      <c r="K267" t="n">
        <v>0</v>
      </c>
      <c r="L267" t="n">
        <v>0</v>
      </c>
      <c r="M267" t="n">
        <v>0</v>
      </c>
      <c r="N267" t="n">
        <v>0</v>
      </c>
      <c r="O267" t="n">
        <v>1</v>
      </c>
      <c r="P267" t="n">
        <v>0</v>
      </c>
      <c r="Q267" t="n">
        <v>2</v>
      </c>
      <c r="R267" s="2" t="inlineStr">
        <is>
          <t>Spillkråka
Vanlig padda</t>
        </is>
      </c>
      <c r="S267">
        <f>HYPERLINK("https://klasma.github.io/Logging_HULTSFRED/artfynd/A 6384-2021.xlsx", "A 6384-2021")</f>
        <v/>
      </c>
      <c r="T267">
        <f>HYPERLINK("https://klasma.github.io/Logging_HULTSFRED/kartor/A 6384-2021.png", "A 6384-2021")</f>
        <v/>
      </c>
      <c r="V267">
        <f>HYPERLINK("https://klasma.github.io/Logging_HULTSFRED/klagomål/A 6384-2021.docx", "A 6384-2021")</f>
        <v/>
      </c>
      <c r="W267">
        <f>HYPERLINK("https://klasma.github.io/Logging_HULTSFRED/klagomålsmail/A 6384-2021.docx", "A 6384-2021")</f>
        <v/>
      </c>
      <c r="X267">
        <f>HYPERLINK("https://klasma.github.io/Logging_HULTSFRED/tillsyn/A 6384-2021.docx", "A 6384-2021")</f>
        <v/>
      </c>
      <c r="Y267">
        <f>HYPERLINK("https://klasma.github.io/Logging_HULTSFRED/tillsynsmail/A 6384-2021.docx", "A 6384-2021")</f>
        <v/>
      </c>
    </row>
    <row r="268" ht="15" customHeight="1">
      <c r="A268" t="inlineStr">
        <is>
          <t>A 6396-2021</t>
        </is>
      </c>
      <c r="B268" s="1" t="n">
        <v>44235</v>
      </c>
      <c r="C268" s="1" t="n">
        <v>45190</v>
      </c>
      <c r="D268" t="inlineStr">
        <is>
          <t>KALMAR LÄN</t>
        </is>
      </c>
      <c r="E268" t="inlineStr">
        <is>
          <t>HULTSFRED</t>
        </is>
      </c>
      <c r="G268" t="n">
        <v>0.6</v>
      </c>
      <c r="H268" t="n">
        <v>2</v>
      </c>
      <c r="I268" t="n">
        <v>0</v>
      </c>
      <c r="J268" t="n">
        <v>1</v>
      </c>
      <c r="K268" t="n">
        <v>0</v>
      </c>
      <c r="L268" t="n">
        <v>0</v>
      </c>
      <c r="M268" t="n">
        <v>0</v>
      </c>
      <c r="N268" t="n">
        <v>0</v>
      </c>
      <c r="O268" t="n">
        <v>1</v>
      </c>
      <c r="P268" t="n">
        <v>0</v>
      </c>
      <c r="Q268" t="n">
        <v>2</v>
      </c>
      <c r="R268" s="2" t="inlineStr">
        <is>
          <t>Spillkråka
Revlummer</t>
        </is>
      </c>
      <c r="S268">
        <f>HYPERLINK("https://klasma.github.io/Logging_HULTSFRED/artfynd/A 6396-2021.xlsx", "A 6396-2021")</f>
        <v/>
      </c>
      <c r="T268">
        <f>HYPERLINK("https://klasma.github.io/Logging_HULTSFRED/kartor/A 6396-2021.png", "A 6396-2021")</f>
        <v/>
      </c>
      <c r="V268">
        <f>HYPERLINK("https://klasma.github.io/Logging_HULTSFRED/klagomål/A 6396-2021.docx", "A 6396-2021")</f>
        <v/>
      </c>
      <c r="W268">
        <f>HYPERLINK("https://klasma.github.io/Logging_HULTSFRED/klagomålsmail/A 6396-2021.docx", "A 6396-2021")</f>
        <v/>
      </c>
      <c r="X268">
        <f>HYPERLINK("https://klasma.github.io/Logging_HULTSFRED/tillsyn/A 6396-2021.docx", "A 6396-2021")</f>
        <v/>
      </c>
      <c r="Y268">
        <f>HYPERLINK("https://klasma.github.io/Logging_HULTSFRED/tillsynsmail/A 6396-2021.docx", "A 6396-2021")</f>
        <v/>
      </c>
    </row>
    <row r="269" ht="15" customHeight="1">
      <c r="A269" t="inlineStr">
        <is>
          <t>A 12093-2021</t>
        </is>
      </c>
      <c r="B269" s="1" t="n">
        <v>44266</v>
      </c>
      <c r="C269" s="1" t="n">
        <v>45190</v>
      </c>
      <c r="D269" t="inlineStr">
        <is>
          <t>KALMAR LÄN</t>
        </is>
      </c>
      <c r="E269" t="inlineStr">
        <is>
          <t>NYBRO</t>
        </is>
      </c>
      <c r="G269" t="n">
        <v>1.3</v>
      </c>
      <c r="H269" t="n">
        <v>0</v>
      </c>
      <c r="I269" t="n">
        <v>0</v>
      </c>
      <c r="J269" t="n">
        <v>2</v>
      </c>
      <c r="K269" t="n">
        <v>0</v>
      </c>
      <c r="L269" t="n">
        <v>0</v>
      </c>
      <c r="M269" t="n">
        <v>0</v>
      </c>
      <c r="N269" t="n">
        <v>0</v>
      </c>
      <c r="O269" t="n">
        <v>2</v>
      </c>
      <c r="P269" t="n">
        <v>0</v>
      </c>
      <c r="Q269" t="n">
        <v>2</v>
      </c>
      <c r="R269" s="2" t="inlineStr">
        <is>
          <t>Spindelört
Spindelörtskinnbagge</t>
        </is>
      </c>
      <c r="S269">
        <f>HYPERLINK("https://klasma.github.io/Logging_NYBRO/artfynd/A 12093-2021.xlsx", "A 12093-2021")</f>
        <v/>
      </c>
      <c r="T269">
        <f>HYPERLINK("https://klasma.github.io/Logging_NYBRO/kartor/A 12093-2021.png", "A 12093-2021")</f>
        <v/>
      </c>
      <c r="V269">
        <f>HYPERLINK("https://klasma.github.io/Logging_NYBRO/klagomål/A 12093-2021.docx", "A 12093-2021")</f>
        <v/>
      </c>
      <c r="W269">
        <f>HYPERLINK("https://klasma.github.io/Logging_NYBRO/klagomålsmail/A 12093-2021.docx", "A 12093-2021")</f>
        <v/>
      </c>
      <c r="X269">
        <f>HYPERLINK("https://klasma.github.io/Logging_NYBRO/tillsyn/A 12093-2021.docx", "A 12093-2021")</f>
        <v/>
      </c>
      <c r="Y269">
        <f>HYPERLINK("https://klasma.github.io/Logging_NYBRO/tillsynsmail/A 12093-2021.docx", "A 12093-2021")</f>
        <v/>
      </c>
    </row>
    <row r="270" ht="15" customHeight="1">
      <c r="A270" t="inlineStr">
        <is>
          <t>A 14246-2021</t>
        </is>
      </c>
      <c r="B270" s="1" t="n">
        <v>44278</v>
      </c>
      <c r="C270" s="1" t="n">
        <v>45190</v>
      </c>
      <c r="D270" t="inlineStr">
        <is>
          <t>KALMAR LÄN</t>
        </is>
      </c>
      <c r="E270" t="inlineStr">
        <is>
          <t>HULTSFRED</t>
        </is>
      </c>
      <c r="G270" t="n">
        <v>5</v>
      </c>
      <c r="H270" t="n">
        <v>1</v>
      </c>
      <c r="I270" t="n">
        <v>2</v>
      </c>
      <c r="J270" t="n">
        <v>0</v>
      </c>
      <c r="K270" t="n">
        <v>0</v>
      </c>
      <c r="L270" t="n">
        <v>0</v>
      </c>
      <c r="M270" t="n">
        <v>0</v>
      </c>
      <c r="N270" t="n">
        <v>0</v>
      </c>
      <c r="O270" t="n">
        <v>0</v>
      </c>
      <c r="P270" t="n">
        <v>0</v>
      </c>
      <c r="Q270" t="n">
        <v>2</v>
      </c>
      <c r="R270" s="2" t="inlineStr">
        <is>
          <t>Purpurknipprot
Underviol</t>
        </is>
      </c>
      <c r="S270">
        <f>HYPERLINK("https://klasma.github.io/Logging_HULTSFRED/artfynd/A 14246-2021.xlsx", "A 14246-2021")</f>
        <v/>
      </c>
      <c r="T270">
        <f>HYPERLINK("https://klasma.github.io/Logging_HULTSFRED/kartor/A 14246-2021.png", "A 14246-2021")</f>
        <v/>
      </c>
      <c r="V270">
        <f>HYPERLINK("https://klasma.github.io/Logging_HULTSFRED/klagomål/A 14246-2021.docx", "A 14246-2021")</f>
        <v/>
      </c>
      <c r="W270">
        <f>HYPERLINK("https://klasma.github.io/Logging_HULTSFRED/klagomålsmail/A 14246-2021.docx", "A 14246-2021")</f>
        <v/>
      </c>
      <c r="X270">
        <f>HYPERLINK("https://klasma.github.io/Logging_HULTSFRED/tillsyn/A 14246-2021.docx", "A 14246-2021")</f>
        <v/>
      </c>
      <c r="Y270">
        <f>HYPERLINK("https://klasma.github.io/Logging_HULTSFRED/tillsynsmail/A 14246-2021.docx", "A 14246-2021")</f>
        <v/>
      </c>
    </row>
    <row r="271" ht="15" customHeight="1">
      <c r="A271" t="inlineStr">
        <is>
          <t>A 14626-2021</t>
        </is>
      </c>
      <c r="B271" s="1" t="n">
        <v>44280</v>
      </c>
      <c r="C271" s="1" t="n">
        <v>45190</v>
      </c>
      <c r="D271" t="inlineStr">
        <is>
          <t>KALMAR LÄN</t>
        </is>
      </c>
      <c r="E271" t="inlineStr">
        <is>
          <t>HULTSFRED</t>
        </is>
      </c>
      <c r="G271" t="n">
        <v>19.3</v>
      </c>
      <c r="H271" t="n">
        <v>0</v>
      </c>
      <c r="I271" t="n">
        <v>1</v>
      </c>
      <c r="J271" t="n">
        <v>1</v>
      </c>
      <c r="K271" t="n">
        <v>0</v>
      </c>
      <c r="L271" t="n">
        <v>0</v>
      </c>
      <c r="M271" t="n">
        <v>0</v>
      </c>
      <c r="N271" t="n">
        <v>0</v>
      </c>
      <c r="O271" t="n">
        <v>1</v>
      </c>
      <c r="P271" t="n">
        <v>0</v>
      </c>
      <c r="Q271" t="n">
        <v>2</v>
      </c>
      <c r="R271" s="2" t="inlineStr">
        <is>
          <t>Skogshare
Jättesvampmal</t>
        </is>
      </c>
      <c r="S271">
        <f>HYPERLINK("https://klasma.github.io/Logging_HULTSFRED/artfynd/A 14626-2021.xlsx", "A 14626-2021")</f>
        <v/>
      </c>
      <c r="T271">
        <f>HYPERLINK("https://klasma.github.io/Logging_HULTSFRED/kartor/A 14626-2021.png", "A 14626-2021")</f>
        <v/>
      </c>
      <c r="V271">
        <f>HYPERLINK("https://klasma.github.io/Logging_HULTSFRED/klagomål/A 14626-2021.docx", "A 14626-2021")</f>
        <v/>
      </c>
      <c r="W271">
        <f>HYPERLINK("https://klasma.github.io/Logging_HULTSFRED/klagomålsmail/A 14626-2021.docx", "A 14626-2021")</f>
        <v/>
      </c>
      <c r="X271">
        <f>HYPERLINK("https://klasma.github.io/Logging_HULTSFRED/tillsyn/A 14626-2021.docx", "A 14626-2021")</f>
        <v/>
      </c>
      <c r="Y271">
        <f>HYPERLINK("https://klasma.github.io/Logging_HULTSFRED/tillsynsmail/A 14626-2021.docx", "A 14626-2021")</f>
        <v/>
      </c>
    </row>
    <row r="272" ht="15" customHeight="1">
      <c r="A272" t="inlineStr">
        <is>
          <t>A 21665-2021</t>
        </is>
      </c>
      <c r="B272" s="1" t="n">
        <v>44322</v>
      </c>
      <c r="C272" s="1" t="n">
        <v>45190</v>
      </c>
      <c r="D272" t="inlineStr">
        <is>
          <t>KALMAR LÄN</t>
        </is>
      </c>
      <c r="E272" t="inlineStr">
        <is>
          <t>VÄSTERVIK</t>
        </is>
      </c>
      <c r="G272" t="n">
        <v>18.9</v>
      </c>
      <c r="H272" t="n">
        <v>0</v>
      </c>
      <c r="I272" t="n">
        <v>0</v>
      </c>
      <c r="J272" t="n">
        <v>2</v>
      </c>
      <c r="K272" t="n">
        <v>0</v>
      </c>
      <c r="L272" t="n">
        <v>0</v>
      </c>
      <c r="M272" t="n">
        <v>0</v>
      </c>
      <c r="N272" t="n">
        <v>0</v>
      </c>
      <c r="O272" t="n">
        <v>2</v>
      </c>
      <c r="P272" t="n">
        <v>0</v>
      </c>
      <c r="Q272" t="n">
        <v>2</v>
      </c>
      <c r="R272" s="2" t="inlineStr">
        <is>
          <t>Klubbsprötad bastardsvärmare
Smalsprötad bastardsvärmare</t>
        </is>
      </c>
      <c r="S272">
        <f>HYPERLINK("https://klasma.github.io/Logging_VASTERVIK/artfynd/A 21665-2021.xlsx", "A 21665-2021")</f>
        <v/>
      </c>
      <c r="T272">
        <f>HYPERLINK("https://klasma.github.io/Logging_VASTERVIK/kartor/A 21665-2021.png", "A 21665-2021")</f>
        <v/>
      </c>
      <c r="V272">
        <f>HYPERLINK("https://klasma.github.io/Logging_VASTERVIK/klagomål/A 21665-2021.docx", "A 21665-2021")</f>
        <v/>
      </c>
      <c r="W272">
        <f>HYPERLINK("https://klasma.github.io/Logging_VASTERVIK/klagomålsmail/A 21665-2021.docx", "A 21665-2021")</f>
        <v/>
      </c>
      <c r="X272">
        <f>HYPERLINK("https://klasma.github.io/Logging_VASTERVIK/tillsyn/A 21665-2021.docx", "A 21665-2021")</f>
        <v/>
      </c>
      <c r="Y272">
        <f>HYPERLINK("https://klasma.github.io/Logging_VASTERVIK/tillsynsmail/A 21665-2021.docx", "A 21665-2021")</f>
        <v/>
      </c>
    </row>
    <row r="273" ht="15" customHeight="1">
      <c r="A273" t="inlineStr">
        <is>
          <t>A 24774-2021</t>
        </is>
      </c>
      <c r="B273" s="1" t="n">
        <v>44340</v>
      </c>
      <c r="C273" s="1" t="n">
        <v>45190</v>
      </c>
      <c r="D273" t="inlineStr">
        <is>
          <t>KALMAR LÄN</t>
        </is>
      </c>
      <c r="E273" t="inlineStr">
        <is>
          <t>OSKARSHAMN</t>
        </is>
      </c>
      <c r="G273" t="n">
        <v>3.8</v>
      </c>
      <c r="H273" t="n">
        <v>1</v>
      </c>
      <c r="I273" t="n">
        <v>1</v>
      </c>
      <c r="J273" t="n">
        <v>1</v>
      </c>
      <c r="K273" t="n">
        <v>0</v>
      </c>
      <c r="L273" t="n">
        <v>0</v>
      </c>
      <c r="M273" t="n">
        <v>0</v>
      </c>
      <c r="N273" t="n">
        <v>0</v>
      </c>
      <c r="O273" t="n">
        <v>1</v>
      </c>
      <c r="P273" t="n">
        <v>0</v>
      </c>
      <c r="Q273" t="n">
        <v>2</v>
      </c>
      <c r="R273" s="2" t="inlineStr">
        <is>
          <t>Spillkråka
Blåmossa</t>
        </is>
      </c>
      <c r="S273">
        <f>HYPERLINK("https://klasma.github.io/Logging_OSKARSHAMN/artfynd/A 24774-2021.xlsx", "A 24774-2021")</f>
        <v/>
      </c>
      <c r="T273">
        <f>HYPERLINK("https://klasma.github.io/Logging_OSKARSHAMN/kartor/A 24774-2021.png", "A 24774-2021")</f>
        <v/>
      </c>
      <c r="V273">
        <f>HYPERLINK("https://klasma.github.io/Logging_OSKARSHAMN/klagomål/A 24774-2021.docx", "A 24774-2021")</f>
        <v/>
      </c>
      <c r="W273">
        <f>HYPERLINK("https://klasma.github.io/Logging_OSKARSHAMN/klagomålsmail/A 24774-2021.docx", "A 24774-2021")</f>
        <v/>
      </c>
      <c r="X273">
        <f>HYPERLINK("https://klasma.github.io/Logging_OSKARSHAMN/tillsyn/A 24774-2021.docx", "A 24774-2021")</f>
        <v/>
      </c>
      <c r="Y273">
        <f>HYPERLINK("https://klasma.github.io/Logging_OSKARSHAMN/tillsynsmail/A 24774-2021.docx", "A 24774-2021")</f>
        <v/>
      </c>
    </row>
    <row r="274" ht="15" customHeight="1">
      <c r="A274" t="inlineStr">
        <is>
          <t>A 26367-2021</t>
        </is>
      </c>
      <c r="B274" s="1" t="n">
        <v>44347</v>
      </c>
      <c r="C274" s="1" t="n">
        <v>45190</v>
      </c>
      <c r="D274" t="inlineStr">
        <is>
          <t>KALMAR LÄN</t>
        </is>
      </c>
      <c r="E274" t="inlineStr">
        <is>
          <t>NYBRO</t>
        </is>
      </c>
      <c r="G274" t="n">
        <v>23.7</v>
      </c>
      <c r="H274" t="n">
        <v>0</v>
      </c>
      <c r="I274" t="n">
        <v>1</v>
      </c>
      <c r="J274" t="n">
        <v>1</v>
      </c>
      <c r="K274" t="n">
        <v>0</v>
      </c>
      <c r="L274" t="n">
        <v>0</v>
      </c>
      <c r="M274" t="n">
        <v>0</v>
      </c>
      <c r="N274" t="n">
        <v>0</v>
      </c>
      <c r="O274" t="n">
        <v>1</v>
      </c>
      <c r="P274" t="n">
        <v>0</v>
      </c>
      <c r="Q274" t="n">
        <v>2</v>
      </c>
      <c r="R274" s="2" t="inlineStr">
        <is>
          <t>Ullticka
Grovticka</t>
        </is>
      </c>
      <c r="S274">
        <f>HYPERLINK("https://klasma.github.io/Logging_NYBRO/artfynd/A 26367-2021.xlsx", "A 26367-2021")</f>
        <v/>
      </c>
      <c r="T274">
        <f>HYPERLINK("https://klasma.github.io/Logging_NYBRO/kartor/A 26367-2021.png", "A 26367-2021")</f>
        <v/>
      </c>
      <c r="V274">
        <f>HYPERLINK("https://klasma.github.io/Logging_NYBRO/klagomål/A 26367-2021.docx", "A 26367-2021")</f>
        <v/>
      </c>
      <c r="W274">
        <f>HYPERLINK("https://klasma.github.io/Logging_NYBRO/klagomålsmail/A 26367-2021.docx", "A 26367-2021")</f>
        <v/>
      </c>
      <c r="X274">
        <f>HYPERLINK("https://klasma.github.io/Logging_NYBRO/tillsyn/A 26367-2021.docx", "A 26367-2021")</f>
        <v/>
      </c>
      <c r="Y274">
        <f>HYPERLINK("https://klasma.github.io/Logging_NYBRO/tillsynsmail/A 26367-2021.docx", "A 26367-2021")</f>
        <v/>
      </c>
    </row>
    <row r="275" ht="15" customHeight="1">
      <c r="A275" t="inlineStr">
        <is>
          <t>A 38695-2021</t>
        </is>
      </c>
      <c r="B275" s="1" t="n">
        <v>44410</v>
      </c>
      <c r="C275" s="1" t="n">
        <v>45190</v>
      </c>
      <c r="D275" t="inlineStr">
        <is>
          <t>KALMAR LÄN</t>
        </is>
      </c>
      <c r="E275" t="inlineStr">
        <is>
          <t>TORSÅS</t>
        </is>
      </c>
      <c r="G275" t="n">
        <v>17.2</v>
      </c>
      <c r="H275" t="n">
        <v>1</v>
      </c>
      <c r="I275" t="n">
        <v>1</v>
      </c>
      <c r="J275" t="n">
        <v>0</v>
      </c>
      <c r="K275" t="n">
        <v>0</v>
      </c>
      <c r="L275" t="n">
        <v>0</v>
      </c>
      <c r="M275" t="n">
        <v>0</v>
      </c>
      <c r="N275" t="n">
        <v>0</v>
      </c>
      <c r="O275" t="n">
        <v>0</v>
      </c>
      <c r="P275" t="n">
        <v>0</v>
      </c>
      <c r="Q275" t="n">
        <v>2</v>
      </c>
      <c r="R275" s="2" t="inlineStr">
        <is>
          <t>Murgröna
Blåsippa</t>
        </is>
      </c>
      <c r="S275">
        <f>HYPERLINK("https://klasma.github.io/Logging_TORSAS/artfynd/A 38695-2021.xlsx", "A 38695-2021")</f>
        <v/>
      </c>
      <c r="T275">
        <f>HYPERLINK("https://klasma.github.io/Logging_TORSAS/kartor/A 38695-2021.png", "A 38695-2021")</f>
        <v/>
      </c>
      <c r="V275">
        <f>HYPERLINK("https://klasma.github.io/Logging_TORSAS/klagomål/A 38695-2021.docx", "A 38695-2021")</f>
        <v/>
      </c>
      <c r="W275">
        <f>HYPERLINK("https://klasma.github.io/Logging_TORSAS/klagomålsmail/A 38695-2021.docx", "A 38695-2021")</f>
        <v/>
      </c>
      <c r="X275">
        <f>HYPERLINK("https://klasma.github.io/Logging_TORSAS/tillsyn/A 38695-2021.docx", "A 38695-2021")</f>
        <v/>
      </c>
      <c r="Y275">
        <f>HYPERLINK("https://klasma.github.io/Logging_TORSAS/tillsynsmail/A 38695-2021.docx", "A 38695-2021")</f>
        <v/>
      </c>
    </row>
    <row r="276" ht="15" customHeight="1">
      <c r="A276" t="inlineStr">
        <is>
          <t>A 41398-2021</t>
        </is>
      </c>
      <c r="B276" s="1" t="n">
        <v>44424</v>
      </c>
      <c r="C276" s="1" t="n">
        <v>45190</v>
      </c>
      <c r="D276" t="inlineStr">
        <is>
          <t>KALMAR LÄN</t>
        </is>
      </c>
      <c r="E276" t="inlineStr">
        <is>
          <t>VIMMERBY</t>
        </is>
      </c>
      <c r="G276" t="n">
        <v>14.1</v>
      </c>
      <c r="H276" t="n">
        <v>0</v>
      </c>
      <c r="I276" t="n">
        <v>0</v>
      </c>
      <c r="J276" t="n">
        <v>2</v>
      </c>
      <c r="K276" t="n">
        <v>0</v>
      </c>
      <c r="L276" t="n">
        <v>0</v>
      </c>
      <c r="M276" t="n">
        <v>0</v>
      </c>
      <c r="N276" t="n">
        <v>0</v>
      </c>
      <c r="O276" t="n">
        <v>2</v>
      </c>
      <c r="P276" t="n">
        <v>0</v>
      </c>
      <c r="Q276" t="n">
        <v>2</v>
      </c>
      <c r="R276" s="2" t="inlineStr">
        <is>
          <t>Klasefibbla
Sommarfibbla</t>
        </is>
      </c>
      <c r="S276">
        <f>HYPERLINK("https://klasma.github.io/Logging_VIMMERBY/artfynd/A 41398-2021.xlsx", "A 41398-2021")</f>
        <v/>
      </c>
      <c r="T276">
        <f>HYPERLINK("https://klasma.github.io/Logging_VIMMERBY/kartor/A 41398-2021.png", "A 41398-2021")</f>
        <v/>
      </c>
      <c r="V276">
        <f>HYPERLINK("https://klasma.github.io/Logging_VIMMERBY/klagomål/A 41398-2021.docx", "A 41398-2021")</f>
        <v/>
      </c>
      <c r="W276">
        <f>HYPERLINK("https://klasma.github.io/Logging_VIMMERBY/klagomålsmail/A 41398-2021.docx", "A 41398-2021")</f>
        <v/>
      </c>
      <c r="X276">
        <f>HYPERLINK("https://klasma.github.io/Logging_VIMMERBY/tillsyn/A 41398-2021.docx", "A 41398-2021")</f>
        <v/>
      </c>
      <c r="Y276">
        <f>HYPERLINK("https://klasma.github.io/Logging_VIMMERBY/tillsynsmail/A 41398-2021.docx", "A 41398-2021")</f>
        <v/>
      </c>
    </row>
    <row r="277" ht="15" customHeight="1">
      <c r="A277" t="inlineStr">
        <is>
          <t>A 44667-2021</t>
        </is>
      </c>
      <c r="B277" s="1" t="n">
        <v>44438</v>
      </c>
      <c r="C277" s="1" t="n">
        <v>45190</v>
      </c>
      <c r="D277" t="inlineStr">
        <is>
          <t>KALMAR LÄN</t>
        </is>
      </c>
      <c r="E277" t="inlineStr">
        <is>
          <t>VÄSTERVIK</t>
        </is>
      </c>
      <c r="G277" t="n">
        <v>1.7</v>
      </c>
      <c r="H277" t="n">
        <v>1</v>
      </c>
      <c r="I277" t="n">
        <v>1</v>
      </c>
      <c r="J277" t="n">
        <v>1</v>
      </c>
      <c r="K277" t="n">
        <v>0</v>
      </c>
      <c r="L277" t="n">
        <v>0</v>
      </c>
      <c r="M277" t="n">
        <v>0</v>
      </c>
      <c r="N277" t="n">
        <v>0</v>
      </c>
      <c r="O277" t="n">
        <v>1</v>
      </c>
      <c r="P277" t="n">
        <v>0</v>
      </c>
      <c r="Q277" t="n">
        <v>2</v>
      </c>
      <c r="R277" s="2" t="inlineStr">
        <is>
          <t>Järpe
Fjällig taggsvamp s.str.</t>
        </is>
      </c>
      <c r="S277">
        <f>HYPERLINK("https://klasma.github.io/Logging_VASTERVIK/artfynd/A 44667-2021.xlsx", "A 44667-2021")</f>
        <v/>
      </c>
      <c r="T277">
        <f>HYPERLINK("https://klasma.github.io/Logging_VASTERVIK/kartor/A 44667-2021.png", "A 44667-2021")</f>
        <v/>
      </c>
      <c r="V277">
        <f>HYPERLINK("https://klasma.github.io/Logging_VASTERVIK/klagomål/A 44667-2021.docx", "A 44667-2021")</f>
        <v/>
      </c>
      <c r="W277">
        <f>HYPERLINK("https://klasma.github.io/Logging_VASTERVIK/klagomålsmail/A 44667-2021.docx", "A 44667-2021")</f>
        <v/>
      </c>
      <c r="X277">
        <f>HYPERLINK("https://klasma.github.io/Logging_VASTERVIK/tillsyn/A 44667-2021.docx", "A 44667-2021")</f>
        <v/>
      </c>
      <c r="Y277">
        <f>HYPERLINK("https://klasma.github.io/Logging_VASTERVIK/tillsynsmail/A 44667-2021.docx", "A 44667-2021")</f>
        <v/>
      </c>
    </row>
    <row r="278" ht="15" customHeight="1">
      <c r="A278" t="inlineStr">
        <is>
          <t>A 51833-2021</t>
        </is>
      </c>
      <c r="B278" s="1" t="n">
        <v>44462</v>
      </c>
      <c r="C278" s="1" t="n">
        <v>45190</v>
      </c>
      <c r="D278" t="inlineStr">
        <is>
          <t>KALMAR LÄN</t>
        </is>
      </c>
      <c r="E278" t="inlineStr">
        <is>
          <t>VÄSTERVIK</t>
        </is>
      </c>
      <c r="G278" t="n">
        <v>4</v>
      </c>
      <c r="H278" t="n">
        <v>1</v>
      </c>
      <c r="I278" t="n">
        <v>0</v>
      </c>
      <c r="J278" t="n">
        <v>1</v>
      </c>
      <c r="K278" t="n">
        <v>0</v>
      </c>
      <c r="L278" t="n">
        <v>0</v>
      </c>
      <c r="M278" t="n">
        <v>0</v>
      </c>
      <c r="N278" t="n">
        <v>0</v>
      </c>
      <c r="O278" t="n">
        <v>1</v>
      </c>
      <c r="P278" t="n">
        <v>0</v>
      </c>
      <c r="Q278" t="n">
        <v>2</v>
      </c>
      <c r="R278" s="2" t="inlineStr">
        <is>
          <t>Motaggsvamp
Fläcknycklar</t>
        </is>
      </c>
      <c r="S278">
        <f>HYPERLINK("https://klasma.github.io/Logging_VASTERVIK/artfynd/A 51833-2021.xlsx", "A 51833-2021")</f>
        <v/>
      </c>
      <c r="T278">
        <f>HYPERLINK("https://klasma.github.io/Logging_VASTERVIK/kartor/A 51833-2021.png", "A 51833-2021")</f>
        <v/>
      </c>
      <c r="V278">
        <f>HYPERLINK("https://klasma.github.io/Logging_VASTERVIK/klagomål/A 51833-2021.docx", "A 51833-2021")</f>
        <v/>
      </c>
      <c r="W278">
        <f>HYPERLINK("https://klasma.github.io/Logging_VASTERVIK/klagomålsmail/A 51833-2021.docx", "A 51833-2021")</f>
        <v/>
      </c>
      <c r="X278">
        <f>HYPERLINK("https://klasma.github.io/Logging_VASTERVIK/tillsyn/A 51833-2021.docx", "A 51833-2021")</f>
        <v/>
      </c>
      <c r="Y278">
        <f>HYPERLINK("https://klasma.github.io/Logging_VASTERVIK/tillsynsmail/A 51833-2021.docx", "A 51833-2021")</f>
        <v/>
      </c>
    </row>
    <row r="279" ht="15" customHeight="1">
      <c r="A279" t="inlineStr">
        <is>
          <t>A 53769-2021</t>
        </is>
      </c>
      <c r="B279" s="1" t="n">
        <v>44467</v>
      </c>
      <c r="C279" s="1" t="n">
        <v>45190</v>
      </c>
      <c r="D279" t="inlineStr">
        <is>
          <t>KALMAR LÄN</t>
        </is>
      </c>
      <c r="E279" t="inlineStr">
        <is>
          <t>VÄSTERVIK</t>
        </is>
      </c>
      <c r="G279" t="n">
        <v>2.2</v>
      </c>
      <c r="H279" t="n">
        <v>1</v>
      </c>
      <c r="I279" t="n">
        <v>2</v>
      </c>
      <c r="J279" t="n">
        <v>0</v>
      </c>
      <c r="K279" t="n">
        <v>0</v>
      </c>
      <c r="L279" t="n">
        <v>0</v>
      </c>
      <c r="M279" t="n">
        <v>0</v>
      </c>
      <c r="N279" t="n">
        <v>0</v>
      </c>
      <c r="O279" t="n">
        <v>0</v>
      </c>
      <c r="P279" t="n">
        <v>0</v>
      </c>
      <c r="Q279" t="n">
        <v>2</v>
      </c>
      <c r="R279" s="2" t="inlineStr">
        <is>
          <t>Grön sköldmossa
Stubbspretmossa</t>
        </is>
      </c>
      <c r="S279">
        <f>HYPERLINK("https://klasma.github.io/Logging_VASTERVIK/artfynd/A 53769-2021.xlsx", "A 53769-2021")</f>
        <v/>
      </c>
      <c r="T279">
        <f>HYPERLINK("https://klasma.github.io/Logging_VASTERVIK/kartor/A 53769-2021.png", "A 53769-2021")</f>
        <v/>
      </c>
      <c r="V279">
        <f>HYPERLINK("https://klasma.github.io/Logging_VASTERVIK/klagomål/A 53769-2021.docx", "A 53769-2021")</f>
        <v/>
      </c>
      <c r="W279">
        <f>HYPERLINK("https://klasma.github.io/Logging_VASTERVIK/klagomålsmail/A 53769-2021.docx", "A 53769-2021")</f>
        <v/>
      </c>
      <c r="X279">
        <f>HYPERLINK("https://klasma.github.io/Logging_VASTERVIK/tillsyn/A 53769-2021.docx", "A 53769-2021")</f>
        <v/>
      </c>
      <c r="Y279">
        <f>HYPERLINK("https://klasma.github.io/Logging_VASTERVIK/tillsynsmail/A 53769-2021.docx", "A 53769-2021")</f>
        <v/>
      </c>
    </row>
    <row r="280" ht="15" customHeight="1">
      <c r="A280" t="inlineStr">
        <is>
          <t>A 52906-2021</t>
        </is>
      </c>
      <c r="B280" s="1" t="n">
        <v>44467</v>
      </c>
      <c r="C280" s="1" t="n">
        <v>45190</v>
      </c>
      <c r="D280" t="inlineStr">
        <is>
          <t>KALMAR LÄN</t>
        </is>
      </c>
      <c r="E280" t="inlineStr">
        <is>
          <t>MÖRBYLÅNGA</t>
        </is>
      </c>
      <c r="G280" t="n">
        <v>2.1</v>
      </c>
      <c r="H280" t="n">
        <v>2</v>
      </c>
      <c r="I280" t="n">
        <v>0</v>
      </c>
      <c r="J280" t="n">
        <v>2</v>
      </c>
      <c r="K280" t="n">
        <v>0</v>
      </c>
      <c r="L280" t="n">
        <v>0</v>
      </c>
      <c r="M280" t="n">
        <v>0</v>
      </c>
      <c r="N280" t="n">
        <v>0</v>
      </c>
      <c r="O280" t="n">
        <v>2</v>
      </c>
      <c r="P280" t="n">
        <v>0</v>
      </c>
      <c r="Q280" t="n">
        <v>2</v>
      </c>
      <c r="R280" s="2" t="inlineStr">
        <is>
          <t>Gulsparv
Rödvingetrast</t>
        </is>
      </c>
      <c r="S280">
        <f>HYPERLINK("https://klasma.github.io/Logging_MORBYLANGA/artfynd/A 52906-2021.xlsx", "A 52906-2021")</f>
        <v/>
      </c>
      <c r="T280">
        <f>HYPERLINK("https://klasma.github.io/Logging_MORBYLANGA/kartor/A 52906-2021.png", "A 52906-2021")</f>
        <v/>
      </c>
      <c r="V280">
        <f>HYPERLINK("https://klasma.github.io/Logging_MORBYLANGA/klagomål/A 52906-2021.docx", "A 52906-2021")</f>
        <v/>
      </c>
      <c r="W280">
        <f>HYPERLINK("https://klasma.github.io/Logging_MORBYLANGA/klagomålsmail/A 52906-2021.docx", "A 52906-2021")</f>
        <v/>
      </c>
      <c r="X280">
        <f>HYPERLINK("https://klasma.github.io/Logging_MORBYLANGA/tillsyn/A 52906-2021.docx", "A 52906-2021")</f>
        <v/>
      </c>
      <c r="Y280">
        <f>HYPERLINK("https://klasma.github.io/Logging_MORBYLANGA/tillsynsmail/A 52906-2021.docx", "A 52906-2021")</f>
        <v/>
      </c>
    </row>
    <row r="281" ht="15" customHeight="1">
      <c r="A281" t="inlineStr">
        <is>
          <t>A 53295-2021</t>
        </is>
      </c>
      <c r="B281" s="1" t="n">
        <v>44468</v>
      </c>
      <c r="C281" s="1" t="n">
        <v>45190</v>
      </c>
      <c r="D281" t="inlineStr">
        <is>
          <t>KALMAR LÄN</t>
        </is>
      </c>
      <c r="E281" t="inlineStr">
        <is>
          <t>HULTSFRED</t>
        </is>
      </c>
      <c r="F281" t="inlineStr">
        <is>
          <t>Sveaskog</t>
        </is>
      </c>
      <c r="G281" t="n">
        <v>2.2</v>
      </c>
      <c r="H281" t="n">
        <v>1</v>
      </c>
      <c r="I281" t="n">
        <v>0</v>
      </c>
      <c r="J281" t="n">
        <v>1</v>
      </c>
      <c r="K281" t="n">
        <v>0</v>
      </c>
      <c r="L281" t="n">
        <v>0</v>
      </c>
      <c r="M281" t="n">
        <v>0</v>
      </c>
      <c r="N281" t="n">
        <v>0</v>
      </c>
      <c r="O281" t="n">
        <v>1</v>
      </c>
      <c r="P281" t="n">
        <v>0</v>
      </c>
      <c r="Q281" t="n">
        <v>2</v>
      </c>
      <c r="R281" s="2" t="inlineStr">
        <is>
          <t>Vedskivlav
Blåsippa</t>
        </is>
      </c>
      <c r="S281">
        <f>HYPERLINK("https://klasma.github.io/Logging_HULTSFRED/artfynd/A 53295-2021.xlsx", "A 53295-2021")</f>
        <v/>
      </c>
      <c r="T281">
        <f>HYPERLINK("https://klasma.github.io/Logging_HULTSFRED/kartor/A 53295-2021.png", "A 53295-2021")</f>
        <v/>
      </c>
      <c r="V281">
        <f>HYPERLINK("https://klasma.github.io/Logging_HULTSFRED/klagomål/A 53295-2021.docx", "A 53295-2021")</f>
        <v/>
      </c>
      <c r="W281">
        <f>HYPERLINK("https://klasma.github.io/Logging_HULTSFRED/klagomålsmail/A 53295-2021.docx", "A 53295-2021")</f>
        <v/>
      </c>
      <c r="X281">
        <f>HYPERLINK("https://klasma.github.io/Logging_HULTSFRED/tillsyn/A 53295-2021.docx", "A 53295-2021")</f>
        <v/>
      </c>
      <c r="Y281">
        <f>HYPERLINK("https://klasma.github.io/Logging_HULTSFRED/tillsynsmail/A 53295-2021.docx", "A 53295-2021")</f>
        <v/>
      </c>
    </row>
    <row r="282" ht="15" customHeight="1">
      <c r="A282" t="inlineStr">
        <is>
          <t>A 56616-2021</t>
        </is>
      </c>
      <c r="B282" s="1" t="n">
        <v>44480</v>
      </c>
      <c r="C282" s="1" t="n">
        <v>45190</v>
      </c>
      <c r="D282" t="inlineStr">
        <is>
          <t>KALMAR LÄN</t>
        </is>
      </c>
      <c r="E282" t="inlineStr">
        <is>
          <t>VÄSTERVIK</t>
        </is>
      </c>
      <c r="G282" t="n">
        <v>0.7</v>
      </c>
      <c r="H282" t="n">
        <v>0</v>
      </c>
      <c r="I282" t="n">
        <v>0</v>
      </c>
      <c r="J282" t="n">
        <v>2</v>
      </c>
      <c r="K282" t="n">
        <v>0</v>
      </c>
      <c r="L282" t="n">
        <v>0</v>
      </c>
      <c r="M282" t="n">
        <v>0</v>
      </c>
      <c r="N282" t="n">
        <v>0</v>
      </c>
      <c r="O282" t="n">
        <v>2</v>
      </c>
      <c r="P282" t="n">
        <v>0</v>
      </c>
      <c r="Q282" t="n">
        <v>2</v>
      </c>
      <c r="R282" s="2" t="inlineStr">
        <is>
          <t>Gullklöver
Vippärt</t>
        </is>
      </c>
      <c r="S282">
        <f>HYPERLINK("https://klasma.github.io/Logging_VASTERVIK/artfynd/A 56616-2021.xlsx", "A 56616-2021")</f>
        <v/>
      </c>
      <c r="T282">
        <f>HYPERLINK("https://klasma.github.io/Logging_VASTERVIK/kartor/A 56616-2021.png", "A 56616-2021")</f>
        <v/>
      </c>
      <c r="V282">
        <f>HYPERLINK("https://klasma.github.io/Logging_VASTERVIK/klagomål/A 56616-2021.docx", "A 56616-2021")</f>
        <v/>
      </c>
      <c r="W282">
        <f>HYPERLINK("https://klasma.github.io/Logging_VASTERVIK/klagomålsmail/A 56616-2021.docx", "A 56616-2021")</f>
        <v/>
      </c>
      <c r="X282">
        <f>HYPERLINK("https://klasma.github.io/Logging_VASTERVIK/tillsyn/A 56616-2021.docx", "A 56616-2021")</f>
        <v/>
      </c>
      <c r="Y282">
        <f>HYPERLINK("https://klasma.github.io/Logging_VASTERVIK/tillsynsmail/A 56616-2021.docx", "A 56616-2021")</f>
        <v/>
      </c>
    </row>
    <row r="283" ht="15" customHeight="1">
      <c r="A283" t="inlineStr">
        <is>
          <t>A 59940-2021</t>
        </is>
      </c>
      <c r="B283" s="1" t="n">
        <v>44494</v>
      </c>
      <c r="C283" s="1" t="n">
        <v>45190</v>
      </c>
      <c r="D283" t="inlineStr">
        <is>
          <t>KALMAR LÄN</t>
        </is>
      </c>
      <c r="E283" t="inlineStr">
        <is>
          <t>VÄSTERVIK</t>
        </is>
      </c>
      <c r="G283" t="n">
        <v>4.3</v>
      </c>
      <c r="H283" t="n">
        <v>1</v>
      </c>
      <c r="I283" t="n">
        <v>1</v>
      </c>
      <c r="J283" t="n">
        <v>0</v>
      </c>
      <c r="K283" t="n">
        <v>1</v>
      </c>
      <c r="L283" t="n">
        <v>0</v>
      </c>
      <c r="M283" t="n">
        <v>0</v>
      </c>
      <c r="N283" t="n">
        <v>0</v>
      </c>
      <c r="O283" t="n">
        <v>1</v>
      </c>
      <c r="P283" t="n">
        <v>1</v>
      </c>
      <c r="Q283" t="n">
        <v>2</v>
      </c>
      <c r="R283" s="2" t="inlineStr">
        <is>
          <t>Knärot
Grönpyrola</t>
        </is>
      </c>
      <c r="S283">
        <f>HYPERLINK("https://klasma.github.io/Logging_VASTERVIK/artfynd/A 59940-2021.xlsx", "A 59940-2021")</f>
        <v/>
      </c>
      <c r="T283">
        <f>HYPERLINK("https://klasma.github.io/Logging_VASTERVIK/kartor/A 59940-2021.png", "A 59940-2021")</f>
        <v/>
      </c>
      <c r="U283">
        <f>HYPERLINK("https://klasma.github.io/Logging_VASTERVIK/knärot/A 59940-2021.png", "A 59940-2021")</f>
        <v/>
      </c>
      <c r="V283">
        <f>HYPERLINK("https://klasma.github.io/Logging_VASTERVIK/klagomål/A 59940-2021.docx", "A 59940-2021")</f>
        <v/>
      </c>
      <c r="W283">
        <f>HYPERLINK("https://klasma.github.io/Logging_VASTERVIK/klagomålsmail/A 59940-2021.docx", "A 59940-2021")</f>
        <v/>
      </c>
      <c r="X283">
        <f>HYPERLINK("https://klasma.github.io/Logging_VASTERVIK/tillsyn/A 59940-2021.docx", "A 59940-2021")</f>
        <v/>
      </c>
      <c r="Y283">
        <f>HYPERLINK("https://klasma.github.io/Logging_VASTERVIK/tillsynsmail/A 59940-2021.docx", "A 59940-2021")</f>
        <v/>
      </c>
    </row>
    <row r="284" ht="15" customHeight="1">
      <c r="A284" t="inlineStr">
        <is>
          <t>A 65169-2021</t>
        </is>
      </c>
      <c r="B284" s="1" t="n">
        <v>44515</v>
      </c>
      <c r="C284" s="1" t="n">
        <v>45190</v>
      </c>
      <c r="D284" t="inlineStr">
        <is>
          <t>KALMAR LÄN</t>
        </is>
      </c>
      <c r="E284" t="inlineStr">
        <is>
          <t>OSKARSHAMN</t>
        </is>
      </c>
      <c r="G284" t="n">
        <v>1.6</v>
      </c>
      <c r="H284" t="n">
        <v>0</v>
      </c>
      <c r="I284" t="n">
        <v>1</v>
      </c>
      <c r="J284" t="n">
        <v>1</v>
      </c>
      <c r="K284" t="n">
        <v>0</v>
      </c>
      <c r="L284" t="n">
        <v>0</v>
      </c>
      <c r="M284" t="n">
        <v>0</v>
      </c>
      <c r="N284" t="n">
        <v>0</v>
      </c>
      <c r="O284" t="n">
        <v>1</v>
      </c>
      <c r="P284" t="n">
        <v>0</v>
      </c>
      <c r="Q284" t="n">
        <v>2</v>
      </c>
      <c r="R284" s="2" t="inlineStr">
        <is>
          <t>Svinrot
Svart trolldruva</t>
        </is>
      </c>
      <c r="S284">
        <f>HYPERLINK("https://klasma.github.io/Logging_OSKARSHAMN/artfynd/A 65169-2021.xlsx", "A 65169-2021")</f>
        <v/>
      </c>
      <c r="T284">
        <f>HYPERLINK("https://klasma.github.io/Logging_OSKARSHAMN/kartor/A 65169-2021.png", "A 65169-2021")</f>
        <v/>
      </c>
      <c r="V284">
        <f>HYPERLINK("https://klasma.github.io/Logging_OSKARSHAMN/klagomål/A 65169-2021.docx", "A 65169-2021")</f>
        <v/>
      </c>
      <c r="W284">
        <f>HYPERLINK("https://klasma.github.io/Logging_OSKARSHAMN/klagomålsmail/A 65169-2021.docx", "A 65169-2021")</f>
        <v/>
      </c>
      <c r="X284">
        <f>HYPERLINK("https://klasma.github.io/Logging_OSKARSHAMN/tillsyn/A 65169-2021.docx", "A 65169-2021")</f>
        <v/>
      </c>
      <c r="Y284">
        <f>HYPERLINK("https://klasma.github.io/Logging_OSKARSHAMN/tillsynsmail/A 65169-2021.docx", "A 65169-2021")</f>
        <v/>
      </c>
    </row>
    <row r="285" ht="15" customHeight="1">
      <c r="A285" t="inlineStr">
        <is>
          <t>A 73602-2021</t>
        </is>
      </c>
      <c r="B285" s="1" t="n">
        <v>44552</v>
      </c>
      <c r="C285" s="1" t="n">
        <v>45190</v>
      </c>
      <c r="D285" t="inlineStr">
        <is>
          <t>KALMAR LÄN</t>
        </is>
      </c>
      <c r="E285" t="inlineStr">
        <is>
          <t>OSKARSHAMN</t>
        </is>
      </c>
      <c r="G285" t="n">
        <v>4.5</v>
      </c>
      <c r="H285" t="n">
        <v>1</v>
      </c>
      <c r="I285" t="n">
        <v>0</v>
      </c>
      <c r="J285" t="n">
        <v>1</v>
      </c>
      <c r="K285" t="n">
        <v>0</v>
      </c>
      <c r="L285" t="n">
        <v>0</v>
      </c>
      <c r="M285" t="n">
        <v>0</v>
      </c>
      <c r="N285" t="n">
        <v>0</v>
      </c>
      <c r="O285" t="n">
        <v>1</v>
      </c>
      <c r="P285" t="n">
        <v>0</v>
      </c>
      <c r="Q285" t="n">
        <v>2</v>
      </c>
      <c r="R285" s="2" t="inlineStr">
        <is>
          <t>Skogssvingel
Blåsippa</t>
        </is>
      </c>
      <c r="S285">
        <f>HYPERLINK("https://klasma.github.io/Logging_OSKARSHAMN/artfynd/A 73602-2021.xlsx", "A 73602-2021")</f>
        <v/>
      </c>
      <c r="T285">
        <f>HYPERLINK("https://klasma.github.io/Logging_OSKARSHAMN/kartor/A 73602-2021.png", "A 73602-2021")</f>
        <v/>
      </c>
      <c r="V285">
        <f>HYPERLINK("https://klasma.github.io/Logging_OSKARSHAMN/klagomål/A 73602-2021.docx", "A 73602-2021")</f>
        <v/>
      </c>
      <c r="W285">
        <f>HYPERLINK("https://klasma.github.io/Logging_OSKARSHAMN/klagomålsmail/A 73602-2021.docx", "A 73602-2021")</f>
        <v/>
      </c>
      <c r="X285">
        <f>HYPERLINK("https://klasma.github.io/Logging_OSKARSHAMN/tillsyn/A 73602-2021.docx", "A 73602-2021")</f>
        <v/>
      </c>
      <c r="Y285">
        <f>HYPERLINK("https://klasma.github.io/Logging_OSKARSHAMN/tillsynsmail/A 73602-2021.docx", "A 73602-2021")</f>
        <v/>
      </c>
    </row>
    <row r="286" ht="15" customHeight="1">
      <c r="A286" t="inlineStr">
        <is>
          <t>A 74390-2021</t>
        </is>
      </c>
      <c r="B286" s="1" t="n">
        <v>44559</v>
      </c>
      <c r="C286" s="1" t="n">
        <v>45190</v>
      </c>
      <c r="D286" t="inlineStr">
        <is>
          <t>KALMAR LÄN</t>
        </is>
      </c>
      <c r="E286" t="inlineStr">
        <is>
          <t>HULTSFRED</t>
        </is>
      </c>
      <c r="G286" t="n">
        <v>1.6</v>
      </c>
      <c r="H286" t="n">
        <v>0</v>
      </c>
      <c r="I286" t="n">
        <v>2</v>
      </c>
      <c r="J286" t="n">
        <v>0</v>
      </c>
      <c r="K286" t="n">
        <v>0</v>
      </c>
      <c r="L286" t="n">
        <v>0</v>
      </c>
      <c r="M286" t="n">
        <v>0</v>
      </c>
      <c r="N286" t="n">
        <v>0</v>
      </c>
      <c r="O286" t="n">
        <v>0</v>
      </c>
      <c r="P286" t="n">
        <v>0</v>
      </c>
      <c r="Q286" t="n">
        <v>2</v>
      </c>
      <c r="R286" s="2" t="inlineStr">
        <is>
          <t>Dvärgkällmossa
Källmossa</t>
        </is>
      </c>
      <c r="S286">
        <f>HYPERLINK("https://klasma.github.io/Logging_HULTSFRED/artfynd/A 74390-2021.xlsx", "A 74390-2021")</f>
        <v/>
      </c>
      <c r="T286">
        <f>HYPERLINK("https://klasma.github.io/Logging_HULTSFRED/kartor/A 74390-2021.png", "A 74390-2021")</f>
        <v/>
      </c>
      <c r="V286">
        <f>HYPERLINK("https://klasma.github.io/Logging_HULTSFRED/klagomål/A 74390-2021.docx", "A 74390-2021")</f>
        <v/>
      </c>
      <c r="W286">
        <f>HYPERLINK("https://klasma.github.io/Logging_HULTSFRED/klagomålsmail/A 74390-2021.docx", "A 74390-2021")</f>
        <v/>
      </c>
      <c r="X286">
        <f>HYPERLINK("https://klasma.github.io/Logging_HULTSFRED/tillsyn/A 74390-2021.docx", "A 74390-2021")</f>
        <v/>
      </c>
      <c r="Y286">
        <f>HYPERLINK("https://klasma.github.io/Logging_HULTSFRED/tillsynsmail/A 74390-2021.docx", "A 74390-2021")</f>
        <v/>
      </c>
    </row>
    <row r="287" ht="15" customHeight="1">
      <c r="A287" t="inlineStr">
        <is>
          <t>A 251-2022</t>
        </is>
      </c>
      <c r="B287" s="1" t="n">
        <v>44565</v>
      </c>
      <c r="C287" s="1" t="n">
        <v>45190</v>
      </c>
      <c r="D287" t="inlineStr">
        <is>
          <t>KALMAR LÄN</t>
        </is>
      </c>
      <c r="E287" t="inlineStr">
        <is>
          <t>HULTSFRED</t>
        </is>
      </c>
      <c r="G287" t="n">
        <v>10.4</v>
      </c>
      <c r="H287" t="n">
        <v>1</v>
      </c>
      <c r="I287" t="n">
        <v>1</v>
      </c>
      <c r="J287" t="n">
        <v>1</v>
      </c>
      <c r="K287" t="n">
        <v>0</v>
      </c>
      <c r="L287" t="n">
        <v>0</v>
      </c>
      <c r="M287" t="n">
        <v>0</v>
      </c>
      <c r="N287" t="n">
        <v>0</v>
      </c>
      <c r="O287" t="n">
        <v>1</v>
      </c>
      <c r="P287" t="n">
        <v>0</v>
      </c>
      <c r="Q287" t="n">
        <v>2</v>
      </c>
      <c r="R287" s="2" t="inlineStr">
        <is>
          <t>Entita
Blåmossa</t>
        </is>
      </c>
      <c r="S287">
        <f>HYPERLINK("https://klasma.github.io/Logging_HULTSFRED/artfynd/A 251-2022.xlsx", "A 251-2022")</f>
        <v/>
      </c>
      <c r="T287">
        <f>HYPERLINK("https://klasma.github.io/Logging_HULTSFRED/kartor/A 251-2022.png", "A 251-2022")</f>
        <v/>
      </c>
      <c r="V287">
        <f>HYPERLINK("https://klasma.github.io/Logging_HULTSFRED/klagomål/A 251-2022.docx", "A 251-2022")</f>
        <v/>
      </c>
      <c r="W287">
        <f>HYPERLINK("https://klasma.github.io/Logging_HULTSFRED/klagomålsmail/A 251-2022.docx", "A 251-2022")</f>
        <v/>
      </c>
      <c r="X287">
        <f>HYPERLINK("https://klasma.github.io/Logging_HULTSFRED/tillsyn/A 251-2022.docx", "A 251-2022")</f>
        <v/>
      </c>
      <c r="Y287">
        <f>HYPERLINK("https://klasma.github.io/Logging_HULTSFRED/tillsynsmail/A 251-2022.docx", "A 251-2022")</f>
        <v/>
      </c>
    </row>
    <row r="288" ht="15" customHeight="1">
      <c r="A288" t="inlineStr">
        <is>
          <t>A 942-2022</t>
        </is>
      </c>
      <c r="B288" s="1" t="n">
        <v>44568</v>
      </c>
      <c r="C288" s="1" t="n">
        <v>45190</v>
      </c>
      <c r="D288" t="inlineStr">
        <is>
          <t>KALMAR LÄN</t>
        </is>
      </c>
      <c r="E288" t="inlineStr">
        <is>
          <t>TORSÅS</t>
        </is>
      </c>
      <c r="G288" t="n">
        <v>4.7</v>
      </c>
      <c r="H288" t="n">
        <v>0</v>
      </c>
      <c r="I288" t="n">
        <v>1</v>
      </c>
      <c r="J288" t="n">
        <v>1</v>
      </c>
      <c r="K288" t="n">
        <v>0</v>
      </c>
      <c r="L288" t="n">
        <v>0</v>
      </c>
      <c r="M288" t="n">
        <v>0</v>
      </c>
      <c r="N288" t="n">
        <v>0</v>
      </c>
      <c r="O288" t="n">
        <v>1</v>
      </c>
      <c r="P288" t="n">
        <v>0</v>
      </c>
      <c r="Q288" t="n">
        <v>2</v>
      </c>
      <c r="R288" s="2" t="inlineStr">
        <is>
          <t>Tallticka
Brandticka</t>
        </is>
      </c>
      <c r="S288">
        <f>HYPERLINK("https://klasma.github.io/Logging_TORSAS/artfynd/A 942-2022.xlsx", "A 942-2022")</f>
        <v/>
      </c>
      <c r="T288">
        <f>HYPERLINK("https://klasma.github.io/Logging_TORSAS/kartor/A 942-2022.png", "A 942-2022")</f>
        <v/>
      </c>
      <c r="V288">
        <f>HYPERLINK("https://klasma.github.io/Logging_TORSAS/klagomål/A 942-2022.docx", "A 942-2022")</f>
        <v/>
      </c>
      <c r="W288">
        <f>HYPERLINK("https://klasma.github.io/Logging_TORSAS/klagomålsmail/A 942-2022.docx", "A 942-2022")</f>
        <v/>
      </c>
      <c r="X288">
        <f>HYPERLINK("https://klasma.github.io/Logging_TORSAS/tillsyn/A 942-2022.docx", "A 942-2022")</f>
        <v/>
      </c>
      <c r="Y288">
        <f>HYPERLINK("https://klasma.github.io/Logging_TORSAS/tillsynsmail/A 942-2022.docx", "A 942-2022")</f>
        <v/>
      </c>
    </row>
    <row r="289" ht="15" customHeight="1">
      <c r="A289" t="inlineStr">
        <is>
          <t>A 14927-2022</t>
        </is>
      </c>
      <c r="B289" s="1" t="n">
        <v>44657</v>
      </c>
      <c r="C289" s="1" t="n">
        <v>45190</v>
      </c>
      <c r="D289" t="inlineStr">
        <is>
          <t>KALMAR LÄN</t>
        </is>
      </c>
      <c r="E289" t="inlineStr">
        <is>
          <t>VÄSTERVIK</t>
        </is>
      </c>
      <c r="F289" t="inlineStr">
        <is>
          <t>Holmen skog AB</t>
        </is>
      </c>
      <c r="G289" t="n">
        <v>1.1</v>
      </c>
      <c r="H289" t="n">
        <v>2</v>
      </c>
      <c r="I289" t="n">
        <v>1</v>
      </c>
      <c r="J289" t="n">
        <v>0</v>
      </c>
      <c r="K289" t="n">
        <v>0</v>
      </c>
      <c r="L289" t="n">
        <v>0</v>
      </c>
      <c r="M289" t="n">
        <v>0</v>
      </c>
      <c r="N289" t="n">
        <v>0</v>
      </c>
      <c r="O289" t="n">
        <v>0</v>
      </c>
      <c r="P289" t="n">
        <v>0</v>
      </c>
      <c r="Q289" t="n">
        <v>2</v>
      </c>
      <c r="R289" s="2" t="inlineStr">
        <is>
          <t>Ekoxe
Revlummer</t>
        </is>
      </c>
      <c r="S289">
        <f>HYPERLINK("https://klasma.github.io/Logging_VASTERVIK/artfynd/A 14927-2022.xlsx", "A 14927-2022")</f>
        <v/>
      </c>
      <c r="T289">
        <f>HYPERLINK("https://klasma.github.io/Logging_VASTERVIK/kartor/A 14927-2022.png", "A 14927-2022")</f>
        <v/>
      </c>
      <c r="V289">
        <f>HYPERLINK("https://klasma.github.io/Logging_VASTERVIK/klagomål/A 14927-2022.docx", "A 14927-2022")</f>
        <v/>
      </c>
      <c r="W289">
        <f>HYPERLINK("https://klasma.github.io/Logging_VASTERVIK/klagomålsmail/A 14927-2022.docx", "A 14927-2022")</f>
        <v/>
      </c>
      <c r="X289">
        <f>HYPERLINK("https://klasma.github.io/Logging_VASTERVIK/tillsyn/A 14927-2022.docx", "A 14927-2022")</f>
        <v/>
      </c>
      <c r="Y289">
        <f>HYPERLINK("https://klasma.github.io/Logging_VASTERVIK/tillsynsmail/A 14927-2022.docx", "A 14927-2022")</f>
        <v/>
      </c>
    </row>
    <row r="290" ht="15" customHeight="1">
      <c r="A290" t="inlineStr">
        <is>
          <t>A 25145-2022</t>
        </is>
      </c>
      <c r="B290" s="1" t="n">
        <v>44729</v>
      </c>
      <c r="C290" s="1" t="n">
        <v>45190</v>
      </c>
      <c r="D290" t="inlineStr">
        <is>
          <t>KALMAR LÄN</t>
        </is>
      </c>
      <c r="E290" t="inlineStr">
        <is>
          <t>VÄSTERVIK</t>
        </is>
      </c>
      <c r="G290" t="n">
        <v>1.3</v>
      </c>
      <c r="H290" t="n">
        <v>1</v>
      </c>
      <c r="I290" t="n">
        <v>0</v>
      </c>
      <c r="J290" t="n">
        <v>1</v>
      </c>
      <c r="K290" t="n">
        <v>1</v>
      </c>
      <c r="L290" t="n">
        <v>0</v>
      </c>
      <c r="M290" t="n">
        <v>0</v>
      </c>
      <c r="N290" t="n">
        <v>0</v>
      </c>
      <c r="O290" t="n">
        <v>2</v>
      </c>
      <c r="P290" t="n">
        <v>1</v>
      </c>
      <c r="Q290" t="n">
        <v>2</v>
      </c>
      <c r="R290" s="2" t="inlineStr">
        <is>
          <t>Knärot
Tallticka</t>
        </is>
      </c>
      <c r="S290">
        <f>HYPERLINK("https://klasma.github.io/Logging_VASTERVIK/artfynd/A 25145-2022.xlsx", "A 25145-2022")</f>
        <v/>
      </c>
      <c r="T290">
        <f>HYPERLINK("https://klasma.github.io/Logging_VASTERVIK/kartor/A 25145-2022.png", "A 25145-2022")</f>
        <v/>
      </c>
      <c r="U290">
        <f>HYPERLINK("https://klasma.github.io/Logging_VASTERVIK/knärot/A 25145-2022.png", "A 25145-2022")</f>
        <v/>
      </c>
      <c r="V290">
        <f>HYPERLINK("https://klasma.github.io/Logging_VASTERVIK/klagomål/A 25145-2022.docx", "A 25145-2022")</f>
        <v/>
      </c>
      <c r="W290">
        <f>HYPERLINK("https://klasma.github.io/Logging_VASTERVIK/klagomålsmail/A 25145-2022.docx", "A 25145-2022")</f>
        <v/>
      </c>
      <c r="X290">
        <f>HYPERLINK("https://klasma.github.io/Logging_VASTERVIK/tillsyn/A 25145-2022.docx", "A 25145-2022")</f>
        <v/>
      </c>
      <c r="Y290">
        <f>HYPERLINK("https://klasma.github.io/Logging_VASTERVIK/tillsynsmail/A 25145-2022.docx", "A 25145-2022")</f>
        <v/>
      </c>
    </row>
    <row r="291" ht="15" customHeight="1">
      <c r="A291" t="inlineStr">
        <is>
          <t>A 31733-2022</t>
        </is>
      </c>
      <c r="B291" s="1" t="n">
        <v>44776</v>
      </c>
      <c r="C291" s="1" t="n">
        <v>45190</v>
      </c>
      <c r="D291" t="inlineStr">
        <is>
          <t>KALMAR LÄN</t>
        </is>
      </c>
      <c r="E291" t="inlineStr">
        <is>
          <t>BORGHOLM</t>
        </is>
      </c>
      <c r="F291" t="inlineStr">
        <is>
          <t>Sveaskog</t>
        </is>
      </c>
      <c r="G291" t="n">
        <v>6.9</v>
      </c>
      <c r="H291" t="n">
        <v>1</v>
      </c>
      <c r="I291" t="n">
        <v>1</v>
      </c>
      <c r="J291" t="n">
        <v>0</v>
      </c>
      <c r="K291" t="n">
        <v>0</v>
      </c>
      <c r="L291" t="n">
        <v>1</v>
      </c>
      <c r="M291" t="n">
        <v>0</v>
      </c>
      <c r="N291" t="n">
        <v>0</v>
      </c>
      <c r="O291" t="n">
        <v>1</v>
      </c>
      <c r="P291" t="n">
        <v>1</v>
      </c>
      <c r="Q291" t="n">
        <v>2</v>
      </c>
      <c r="R291" s="2" t="inlineStr">
        <is>
          <t>Ask
Skogsknipprot</t>
        </is>
      </c>
      <c r="S291">
        <f>HYPERLINK("https://klasma.github.io/Logging_BORGHOLM/artfynd/A 31733-2022.xlsx", "A 31733-2022")</f>
        <v/>
      </c>
      <c r="T291">
        <f>HYPERLINK("https://klasma.github.io/Logging_BORGHOLM/kartor/A 31733-2022.png", "A 31733-2022")</f>
        <v/>
      </c>
      <c r="V291">
        <f>HYPERLINK("https://klasma.github.io/Logging_BORGHOLM/klagomål/A 31733-2022.docx", "A 31733-2022")</f>
        <v/>
      </c>
      <c r="W291">
        <f>HYPERLINK("https://klasma.github.io/Logging_BORGHOLM/klagomålsmail/A 31733-2022.docx", "A 31733-2022")</f>
        <v/>
      </c>
      <c r="X291">
        <f>HYPERLINK("https://klasma.github.io/Logging_BORGHOLM/tillsyn/A 31733-2022.docx", "A 31733-2022")</f>
        <v/>
      </c>
      <c r="Y291">
        <f>HYPERLINK("https://klasma.github.io/Logging_BORGHOLM/tillsynsmail/A 31733-2022.docx", "A 31733-2022")</f>
        <v/>
      </c>
    </row>
    <row r="292" ht="15" customHeight="1">
      <c r="A292" t="inlineStr">
        <is>
          <t>A 32174-2022</t>
        </is>
      </c>
      <c r="B292" s="1" t="n">
        <v>44781</v>
      </c>
      <c r="C292" s="1" t="n">
        <v>45190</v>
      </c>
      <c r="D292" t="inlineStr">
        <is>
          <t>KALMAR LÄN</t>
        </is>
      </c>
      <c r="E292" t="inlineStr">
        <is>
          <t>BORGHOLM</t>
        </is>
      </c>
      <c r="F292" t="inlineStr">
        <is>
          <t>Sveaskog</t>
        </is>
      </c>
      <c r="G292" t="n">
        <v>1.6</v>
      </c>
      <c r="H292" t="n">
        <v>1</v>
      </c>
      <c r="I292" t="n">
        <v>1</v>
      </c>
      <c r="J292" t="n">
        <v>1</v>
      </c>
      <c r="K292" t="n">
        <v>0</v>
      </c>
      <c r="L292" t="n">
        <v>0</v>
      </c>
      <c r="M292" t="n">
        <v>0</v>
      </c>
      <c r="N292" t="n">
        <v>0</v>
      </c>
      <c r="O292" t="n">
        <v>1</v>
      </c>
      <c r="P292" t="n">
        <v>0</v>
      </c>
      <c r="Q292" t="n">
        <v>2</v>
      </c>
      <c r="R292" s="2" t="inlineStr">
        <is>
          <t>Backklöver
Tvåblad</t>
        </is>
      </c>
      <c r="S292">
        <f>HYPERLINK("https://klasma.github.io/Logging_BORGHOLM/artfynd/A 32174-2022.xlsx", "A 32174-2022")</f>
        <v/>
      </c>
      <c r="T292">
        <f>HYPERLINK("https://klasma.github.io/Logging_BORGHOLM/kartor/A 32174-2022.png", "A 32174-2022")</f>
        <v/>
      </c>
      <c r="V292">
        <f>HYPERLINK("https://klasma.github.io/Logging_BORGHOLM/klagomål/A 32174-2022.docx", "A 32174-2022")</f>
        <v/>
      </c>
      <c r="W292">
        <f>HYPERLINK("https://klasma.github.io/Logging_BORGHOLM/klagomålsmail/A 32174-2022.docx", "A 32174-2022")</f>
        <v/>
      </c>
      <c r="X292">
        <f>HYPERLINK("https://klasma.github.io/Logging_BORGHOLM/tillsyn/A 32174-2022.docx", "A 32174-2022")</f>
        <v/>
      </c>
      <c r="Y292">
        <f>HYPERLINK("https://klasma.github.io/Logging_BORGHOLM/tillsynsmail/A 32174-2022.docx", "A 32174-2022")</f>
        <v/>
      </c>
    </row>
    <row r="293" ht="15" customHeight="1">
      <c r="A293" t="inlineStr">
        <is>
          <t>A 33043-2022</t>
        </is>
      </c>
      <c r="B293" s="1" t="n">
        <v>44785</v>
      </c>
      <c r="C293" s="1" t="n">
        <v>45190</v>
      </c>
      <c r="D293" t="inlineStr">
        <is>
          <t>KALMAR LÄN</t>
        </is>
      </c>
      <c r="E293" t="inlineStr">
        <is>
          <t>KALMAR</t>
        </is>
      </c>
      <c r="F293" t="inlineStr">
        <is>
          <t>Kyrkan</t>
        </is>
      </c>
      <c r="G293" t="n">
        <v>1.6</v>
      </c>
      <c r="H293" t="n">
        <v>1</v>
      </c>
      <c r="I293" t="n">
        <v>1</v>
      </c>
      <c r="J293" t="n">
        <v>0</v>
      </c>
      <c r="K293" t="n">
        <v>1</v>
      </c>
      <c r="L293" t="n">
        <v>0</v>
      </c>
      <c r="M293" t="n">
        <v>0</v>
      </c>
      <c r="N293" t="n">
        <v>0</v>
      </c>
      <c r="O293" t="n">
        <v>1</v>
      </c>
      <c r="P293" t="n">
        <v>1</v>
      </c>
      <c r="Q293" t="n">
        <v>2</v>
      </c>
      <c r="R293" s="2" t="inlineStr">
        <is>
          <t>Knärot
Murgröna</t>
        </is>
      </c>
      <c r="S293">
        <f>HYPERLINK("https://klasma.github.io/Logging_KALMAR/artfynd/A 33043-2022.xlsx", "A 33043-2022")</f>
        <v/>
      </c>
      <c r="T293">
        <f>HYPERLINK("https://klasma.github.io/Logging_KALMAR/kartor/A 33043-2022.png", "A 33043-2022")</f>
        <v/>
      </c>
      <c r="U293">
        <f>HYPERLINK("https://klasma.github.io/Logging_KALMAR/knärot/A 33043-2022.png", "A 33043-2022")</f>
        <v/>
      </c>
      <c r="V293">
        <f>HYPERLINK("https://klasma.github.io/Logging_KALMAR/klagomål/A 33043-2022.docx", "A 33043-2022")</f>
        <v/>
      </c>
      <c r="W293">
        <f>HYPERLINK("https://klasma.github.io/Logging_KALMAR/klagomålsmail/A 33043-2022.docx", "A 33043-2022")</f>
        <v/>
      </c>
      <c r="X293">
        <f>HYPERLINK("https://klasma.github.io/Logging_KALMAR/tillsyn/A 33043-2022.docx", "A 33043-2022")</f>
        <v/>
      </c>
      <c r="Y293">
        <f>HYPERLINK("https://klasma.github.io/Logging_KALMAR/tillsynsmail/A 33043-2022.docx", "A 33043-2022")</f>
        <v/>
      </c>
    </row>
    <row r="294" ht="15" customHeight="1">
      <c r="A294" t="inlineStr">
        <is>
          <t>A 34944-2022</t>
        </is>
      </c>
      <c r="B294" s="1" t="n">
        <v>44796</v>
      </c>
      <c r="C294" s="1" t="n">
        <v>45190</v>
      </c>
      <c r="D294" t="inlineStr">
        <is>
          <t>KALMAR LÄN</t>
        </is>
      </c>
      <c r="E294" t="inlineStr">
        <is>
          <t>BORGHOLM</t>
        </is>
      </c>
      <c r="F294" t="inlineStr">
        <is>
          <t>Sveaskog</t>
        </is>
      </c>
      <c r="G294" t="n">
        <v>1.7</v>
      </c>
      <c r="H294" t="n">
        <v>2</v>
      </c>
      <c r="I294" t="n">
        <v>0</v>
      </c>
      <c r="J294" t="n">
        <v>2</v>
      </c>
      <c r="K294" t="n">
        <v>0</v>
      </c>
      <c r="L294" t="n">
        <v>0</v>
      </c>
      <c r="M294" t="n">
        <v>0</v>
      </c>
      <c r="N294" t="n">
        <v>0</v>
      </c>
      <c r="O294" t="n">
        <v>2</v>
      </c>
      <c r="P294" t="n">
        <v>0</v>
      </c>
      <c r="Q294" t="n">
        <v>2</v>
      </c>
      <c r="R294" s="2" t="inlineStr">
        <is>
          <t>Entita
Talltita</t>
        </is>
      </c>
      <c r="S294">
        <f>HYPERLINK("https://klasma.github.io/Logging_BORGHOLM/artfynd/A 34944-2022.xlsx", "A 34944-2022")</f>
        <v/>
      </c>
      <c r="T294">
        <f>HYPERLINK("https://klasma.github.io/Logging_BORGHOLM/kartor/A 34944-2022.png", "A 34944-2022")</f>
        <v/>
      </c>
      <c r="V294">
        <f>HYPERLINK("https://klasma.github.io/Logging_BORGHOLM/klagomål/A 34944-2022.docx", "A 34944-2022")</f>
        <v/>
      </c>
      <c r="W294">
        <f>HYPERLINK("https://klasma.github.io/Logging_BORGHOLM/klagomålsmail/A 34944-2022.docx", "A 34944-2022")</f>
        <v/>
      </c>
      <c r="X294">
        <f>HYPERLINK("https://klasma.github.io/Logging_BORGHOLM/tillsyn/A 34944-2022.docx", "A 34944-2022")</f>
        <v/>
      </c>
      <c r="Y294">
        <f>HYPERLINK("https://klasma.github.io/Logging_BORGHOLM/tillsynsmail/A 34944-2022.docx", "A 34944-2022")</f>
        <v/>
      </c>
    </row>
    <row r="295" ht="15" customHeight="1">
      <c r="A295" t="inlineStr">
        <is>
          <t>A 35871-2022</t>
        </is>
      </c>
      <c r="B295" s="1" t="n">
        <v>44802</v>
      </c>
      <c r="C295" s="1" t="n">
        <v>45190</v>
      </c>
      <c r="D295" t="inlineStr">
        <is>
          <t>KALMAR LÄN</t>
        </is>
      </c>
      <c r="E295" t="inlineStr">
        <is>
          <t>KALMAR</t>
        </is>
      </c>
      <c r="G295" t="n">
        <v>1</v>
      </c>
      <c r="H295" t="n">
        <v>2</v>
      </c>
      <c r="I295" t="n">
        <v>0</v>
      </c>
      <c r="J295" t="n">
        <v>1</v>
      </c>
      <c r="K295" t="n">
        <v>0</v>
      </c>
      <c r="L295" t="n">
        <v>0</v>
      </c>
      <c r="M295" t="n">
        <v>0</v>
      </c>
      <c r="N295" t="n">
        <v>0</v>
      </c>
      <c r="O295" t="n">
        <v>1</v>
      </c>
      <c r="P295" t="n">
        <v>0</v>
      </c>
      <c r="Q295" t="n">
        <v>2</v>
      </c>
      <c r="R295" s="2" t="inlineStr">
        <is>
          <t>Nordfladdermus
Större brunfladdermus</t>
        </is>
      </c>
      <c r="S295">
        <f>HYPERLINK("https://klasma.github.io/Logging_KALMAR/artfynd/A 35871-2022.xlsx", "A 35871-2022")</f>
        <v/>
      </c>
      <c r="T295">
        <f>HYPERLINK("https://klasma.github.io/Logging_KALMAR/kartor/A 35871-2022.png", "A 35871-2022")</f>
        <v/>
      </c>
      <c r="V295">
        <f>HYPERLINK("https://klasma.github.io/Logging_KALMAR/klagomål/A 35871-2022.docx", "A 35871-2022")</f>
        <v/>
      </c>
      <c r="W295">
        <f>HYPERLINK("https://klasma.github.io/Logging_KALMAR/klagomålsmail/A 35871-2022.docx", "A 35871-2022")</f>
        <v/>
      </c>
      <c r="X295">
        <f>HYPERLINK("https://klasma.github.io/Logging_KALMAR/tillsyn/A 35871-2022.docx", "A 35871-2022")</f>
        <v/>
      </c>
      <c r="Y295">
        <f>HYPERLINK("https://klasma.github.io/Logging_KALMAR/tillsynsmail/A 35871-2022.docx", "A 35871-2022")</f>
        <v/>
      </c>
    </row>
    <row r="296" ht="15" customHeight="1">
      <c r="A296" t="inlineStr">
        <is>
          <t>A 38373-2022</t>
        </is>
      </c>
      <c r="B296" s="1" t="n">
        <v>44812</v>
      </c>
      <c r="C296" s="1" t="n">
        <v>45190</v>
      </c>
      <c r="D296" t="inlineStr">
        <is>
          <t>KALMAR LÄN</t>
        </is>
      </c>
      <c r="E296" t="inlineStr">
        <is>
          <t>VÄSTERVIK</t>
        </is>
      </c>
      <c r="G296" t="n">
        <v>3.1</v>
      </c>
      <c r="H296" t="n">
        <v>1</v>
      </c>
      <c r="I296" t="n">
        <v>1</v>
      </c>
      <c r="J296" t="n">
        <v>0</v>
      </c>
      <c r="K296" t="n">
        <v>1</v>
      </c>
      <c r="L296" t="n">
        <v>0</v>
      </c>
      <c r="M296" t="n">
        <v>0</v>
      </c>
      <c r="N296" t="n">
        <v>0</v>
      </c>
      <c r="O296" t="n">
        <v>1</v>
      </c>
      <c r="P296" t="n">
        <v>1</v>
      </c>
      <c r="Q296" t="n">
        <v>2</v>
      </c>
      <c r="R296" s="2" t="inlineStr">
        <is>
          <t>Knärot
Blåmossa</t>
        </is>
      </c>
      <c r="S296">
        <f>HYPERLINK("https://klasma.github.io/Logging_VASTERVIK/artfynd/A 38373-2022.xlsx", "A 38373-2022")</f>
        <v/>
      </c>
      <c r="T296">
        <f>HYPERLINK("https://klasma.github.io/Logging_VASTERVIK/kartor/A 38373-2022.png", "A 38373-2022")</f>
        <v/>
      </c>
      <c r="U296">
        <f>HYPERLINK("https://klasma.github.io/Logging_VASTERVIK/knärot/A 38373-2022.png", "A 38373-2022")</f>
        <v/>
      </c>
      <c r="V296">
        <f>HYPERLINK("https://klasma.github.io/Logging_VASTERVIK/klagomål/A 38373-2022.docx", "A 38373-2022")</f>
        <v/>
      </c>
      <c r="W296">
        <f>HYPERLINK("https://klasma.github.io/Logging_VASTERVIK/klagomålsmail/A 38373-2022.docx", "A 38373-2022")</f>
        <v/>
      </c>
      <c r="X296">
        <f>HYPERLINK("https://klasma.github.io/Logging_VASTERVIK/tillsyn/A 38373-2022.docx", "A 38373-2022")</f>
        <v/>
      </c>
      <c r="Y296">
        <f>HYPERLINK("https://klasma.github.io/Logging_VASTERVIK/tillsynsmail/A 38373-2022.docx", "A 38373-2022")</f>
        <v/>
      </c>
    </row>
    <row r="297" ht="15" customHeight="1">
      <c r="A297" t="inlineStr">
        <is>
          <t>A 40785-2022</t>
        </is>
      </c>
      <c r="B297" s="1" t="n">
        <v>44824</v>
      </c>
      <c r="C297" s="1" t="n">
        <v>45190</v>
      </c>
      <c r="D297" t="inlineStr">
        <is>
          <t>KALMAR LÄN</t>
        </is>
      </c>
      <c r="E297" t="inlineStr">
        <is>
          <t>MÖNSTERÅS</t>
        </is>
      </c>
      <c r="G297" t="n">
        <v>0.3</v>
      </c>
      <c r="H297" t="n">
        <v>2</v>
      </c>
      <c r="I297" t="n">
        <v>0</v>
      </c>
      <c r="J297" t="n">
        <v>0</v>
      </c>
      <c r="K297" t="n">
        <v>1</v>
      </c>
      <c r="L297" t="n">
        <v>0</v>
      </c>
      <c r="M297" t="n">
        <v>0</v>
      </c>
      <c r="N297" t="n">
        <v>0</v>
      </c>
      <c r="O297" t="n">
        <v>1</v>
      </c>
      <c r="P297" t="n">
        <v>1</v>
      </c>
      <c r="Q297" t="n">
        <v>2</v>
      </c>
      <c r="R297" s="2" t="inlineStr">
        <is>
          <t>Knärot
Blåsippa</t>
        </is>
      </c>
      <c r="S297">
        <f>HYPERLINK("https://klasma.github.io/Logging_MONSTERAS/artfynd/A 40785-2022.xlsx", "A 40785-2022")</f>
        <v/>
      </c>
      <c r="T297">
        <f>HYPERLINK("https://klasma.github.io/Logging_MONSTERAS/kartor/A 40785-2022.png", "A 40785-2022")</f>
        <v/>
      </c>
      <c r="U297">
        <f>HYPERLINK("https://klasma.github.io/Logging_MONSTERAS/knärot/A 40785-2022.png", "A 40785-2022")</f>
        <v/>
      </c>
      <c r="V297">
        <f>HYPERLINK("https://klasma.github.io/Logging_MONSTERAS/klagomål/A 40785-2022.docx", "A 40785-2022")</f>
        <v/>
      </c>
      <c r="W297">
        <f>HYPERLINK("https://klasma.github.io/Logging_MONSTERAS/klagomålsmail/A 40785-2022.docx", "A 40785-2022")</f>
        <v/>
      </c>
      <c r="X297">
        <f>HYPERLINK("https://klasma.github.io/Logging_MONSTERAS/tillsyn/A 40785-2022.docx", "A 40785-2022")</f>
        <v/>
      </c>
      <c r="Y297">
        <f>HYPERLINK("https://klasma.github.io/Logging_MONSTERAS/tillsynsmail/A 40785-2022.docx", "A 40785-2022")</f>
        <v/>
      </c>
    </row>
    <row r="298" ht="15" customHeight="1">
      <c r="A298" t="inlineStr">
        <is>
          <t>A 41881-2022</t>
        </is>
      </c>
      <c r="B298" s="1" t="n">
        <v>44827</v>
      </c>
      <c r="C298" s="1" t="n">
        <v>45190</v>
      </c>
      <c r="D298" t="inlineStr">
        <is>
          <t>KALMAR LÄN</t>
        </is>
      </c>
      <c r="E298" t="inlineStr">
        <is>
          <t>MÖNSTERÅS</t>
        </is>
      </c>
      <c r="F298" t="inlineStr">
        <is>
          <t>Kyrkan</t>
        </is>
      </c>
      <c r="G298" t="n">
        <v>6.7</v>
      </c>
      <c r="H298" t="n">
        <v>0</v>
      </c>
      <c r="I298" t="n">
        <v>0</v>
      </c>
      <c r="J298" t="n">
        <v>2</v>
      </c>
      <c r="K298" t="n">
        <v>0</v>
      </c>
      <c r="L298" t="n">
        <v>0</v>
      </c>
      <c r="M298" t="n">
        <v>0</v>
      </c>
      <c r="N298" t="n">
        <v>0</v>
      </c>
      <c r="O298" t="n">
        <v>2</v>
      </c>
      <c r="P298" t="n">
        <v>0</v>
      </c>
      <c r="Q298" t="n">
        <v>2</v>
      </c>
      <c r="R298" s="2" t="inlineStr">
        <is>
          <t>Dvärgbägarlav
Vedskivlav</t>
        </is>
      </c>
      <c r="S298">
        <f>HYPERLINK("https://klasma.github.io/Logging_MONSTERAS/artfynd/A 41881-2022.xlsx", "A 41881-2022")</f>
        <v/>
      </c>
      <c r="T298">
        <f>HYPERLINK("https://klasma.github.io/Logging_MONSTERAS/kartor/A 41881-2022.png", "A 41881-2022")</f>
        <v/>
      </c>
      <c r="V298">
        <f>HYPERLINK("https://klasma.github.io/Logging_MONSTERAS/klagomål/A 41881-2022.docx", "A 41881-2022")</f>
        <v/>
      </c>
      <c r="W298">
        <f>HYPERLINK("https://klasma.github.io/Logging_MONSTERAS/klagomålsmail/A 41881-2022.docx", "A 41881-2022")</f>
        <v/>
      </c>
      <c r="X298">
        <f>HYPERLINK("https://klasma.github.io/Logging_MONSTERAS/tillsyn/A 41881-2022.docx", "A 41881-2022")</f>
        <v/>
      </c>
      <c r="Y298">
        <f>HYPERLINK("https://klasma.github.io/Logging_MONSTERAS/tillsynsmail/A 41881-2022.docx", "A 41881-2022")</f>
        <v/>
      </c>
    </row>
    <row r="299" ht="15" customHeight="1">
      <c r="A299" t="inlineStr">
        <is>
          <t>A 43756-2022</t>
        </is>
      </c>
      <c r="B299" s="1" t="n">
        <v>44837</v>
      </c>
      <c r="C299" s="1" t="n">
        <v>45190</v>
      </c>
      <c r="D299" t="inlineStr">
        <is>
          <t>KALMAR LÄN</t>
        </is>
      </c>
      <c r="E299" t="inlineStr">
        <is>
          <t>BORGHOLM</t>
        </is>
      </c>
      <c r="G299" t="n">
        <v>2.2</v>
      </c>
      <c r="H299" t="n">
        <v>1</v>
      </c>
      <c r="I299" t="n">
        <v>1</v>
      </c>
      <c r="J299" t="n">
        <v>0</v>
      </c>
      <c r="K299" t="n">
        <v>0</v>
      </c>
      <c r="L299" t="n">
        <v>0</v>
      </c>
      <c r="M299" t="n">
        <v>0</v>
      </c>
      <c r="N299" t="n">
        <v>0</v>
      </c>
      <c r="O299" t="n">
        <v>0</v>
      </c>
      <c r="P299" t="n">
        <v>0</v>
      </c>
      <c r="Q299" t="n">
        <v>2</v>
      </c>
      <c r="R299" s="2" t="inlineStr">
        <is>
          <t>Murgröna
Blåsippa</t>
        </is>
      </c>
      <c r="S299">
        <f>HYPERLINK("https://klasma.github.io/Logging_BORGHOLM/artfynd/A 43756-2022.xlsx", "A 43756-2022")</f>
        <v/>
      </c>
      <c r="T299">
        <f>HYPERLINK("https://klasma.github.io/Logging_BORGHOLM/kartor/A 43756-2022.png", "A 43756-2022")</f>
        <v/>
      </c>
      <c r="V299">
        <f>HYPERLINK("https://klasma.github.io/Logging_BORGHOLM/klagomål/A 43756-2022.docx", "A 43756-2022")</f>
        <v/>
      </c>
      <c r="W299">
        <f>HYPERLINK("https://klasma.github.io/Logging_BORGHOLM/klagomålsmail/A 43756-2022.docx", "A 43756-2022")</f>
        <v/>
      </c>
      <c r="X299">
        <f>HYPERLINK("https://klasma.github.io/Logging_BORGHOLM/tillsyn/A 43756-2022.docx", "A 43756-2022")</f>
        <v/>
      </c>
      <c r="Y299">
        <f>HYPERLINK("https://klasma.github.io/Logging_BORGHOLM/tillsynsmail/A 43756-2022.docx", "A 43756-2022")</f>
        <v/>
      </c>
    </row>
    <row r="300" ht="15" customHeight="1">
      <c r="A300" t="inlineStr">
        <is>
          <t>A 44008-2022</t>
        </is>
      </c>
      <c r="B300" s="1" t="n">
        <v>44838</v>
      </c>
      <c r="C300" s="1" t="n">
        <v>45190</v>
      </c>
      <c r="D300" t="inlineStr">
        <is>
          <t>KALMAR LÄN</t>
        </is>
      </c>
      <c r="E300" t="inlineStr">
        <is>
          <t>BORGHOLM</t>
        </is>
      </c>
      <c r="F300" t="inlineStr">
        <is>
          <t>Sveaskog</t>
        </is>
      </c>
      <c r="G300" t="n">
        <v>1.7</v>
      </c>
      <c r="H300" t="n">
        <v>2</v>
      </c>
      <c r="I300" t="n">
        <v>0</v>
      </c>
      <c r="J300" t="n">
        <v>2</v>
      </c>
      <c r="K300" t="n">
        <v>0</v>
      </c>
      <c r="L300" t="n">
        <v>0</v>
      </c>
      <c r="M300" t="n">
        <v>0</v>
      </c>
      <c r="N300" t="n">
        <v>0</v>
      </c>
      <c r="O300" t="n">
        <v>2</v>
      </c>
      <c r="P300" t="n">
        <v>0</v>
      </c>
      <c r="Q300" t="n">
        <v>2</v>
      </c>
      <c r="R300" s="2" t="inlineStr">
        <is>
          <t>Entita
Talltita</t>
        </is>
      </c>
      <c r="S300">
        <f>HYPERLINK("https://klasma.github.io/Logging_BORGHOLM/artfynd/A 44008-2022.xlsx", "A 44008-2022")</f>
        <v/>
      </c>
      <c r="T300">
        <f>HYPERLINK("https://klasma.github.io/Logging_BORGHOLM/kartor/A 44008-2022.png", "A 44008-2022")</f>
        <v/>
      </c>
      <c r="V300">
        <f>HYPERLINK("https://klasma.github.io/Logging_BORGHOLM/klagomål/A 44008-2022.docx", "A 44008-2022")</f>
        <v/>
      </c>
      <c r="W300">
        <f>HYPERLINK("https://klasma.github.io/Logging_BORGHOLM/klagomålsmail/A 44008-2022.docx", "A 44008-2022")</f>
        <v/>
      </c>
      <c r="X300">
        <f>HYPERLINK("https://klasma.github.io/Logging_BORGHOLM/tillsyn/A 44008-2022.docx", "A 44008-2022")</f>
        <v/>
      </c>
      <c r="Y300">
        <f>HYPERLINK("https://klasma.github.io/Logging_BORGHOLM/tillsynsmail/A 44008-2022.docx", "A 44008-2022")</f>
        <v/>
      </c>
    </row>
    <row r="301" ht="15" customHeight="1">
      <c r="A301" t="inlineStr">
        <is>
          <t>A 46552-2022</t>
        </is>
      </c>
      <c r="B301" s="1" t="n">
        <v>44848</v>
      </c>
      <c r="C301" s="1" t="n">
        <v>45190</v>
      </c>
      <c r="D301" t="inlineStr">
        <is>
          <t>KALMAR LÄN</t>
        </is>
      </c>
      <c r="E301" t="inlineStr">
        <is>
          <t>VÄSTERVIK</t>
        </is>
      </c>
      <c r="F301" t="inlineStr">
        <is>
          <t>Sveaskog</t>
        </is>
      </c>
      <c r="G301" t="n">
        <v>1.7</v>
      </c>
      <c r="H301" t="n">
        <v>0</v>
      </c>
      <c r="I301" t="n">
        <v>1</v>
      </c>
      <c r="J301" t="n">
        <v>1</v>
      </c>
      <c r="K301" t="n">
        <v>0</v>
      </c>
      <c r="L301" t="n">
        <v>0</v>
      </c>
      <c r="M301" t="n">
        <v>0</v>
      </c>
      <c r="N301" t="n">
        <v>0</v>
      </c>
      <c r="O301" t="n">
        <v>1</v>
      </c>
      <c r="P301" t="n">
        <v>0</v>
      </c>
      <c r="Q301" t="n">
        <v>2</v>
      </c>
      <c r="R301" s="2" t="inlineStr">
        <is>
          <t>Motaggsvamp
Sårläka</t>
        </is>
      </c>
      <c r="S301">
        <f>HYPERLINK("https://klasma.github.io/Logging_VASTERVIK/artfynd/A 46552-2022.xlsx", "A 46552-2022")</f>
        <v/>
      </c>
      <c r="T301">
        <f>HYPERLINK("https://klasma.github.io/Logging_VASTERVIK/kartor/A 46552-2022.png", "A 46552-2022")</f>
        <v/>
      </c>
      <c r="V301">
        <f>HYPERLINK("https://klasma.github.io/Logging_VASTERVIK/klagomål/A 46552-2022.docx", "A 46552-2022")</f>
        <v/>
      </c>
      <c r="W301">
        <f>HYPERLINK("https://klasma.github.io/Logging_VASTERVIK/klagomålsmail/A 46552-2022.docx", "A 46552-2022")</f>
        <v/>
      </c>
      <c r="X301">
        <f>HYPERLINK("https://klasma.github.io/Logging_VASTERVIK/tillsyn/A 46552-2022.docx", "A 46552-2022")</f>
        <v/>
      </c>
      <c r="Y301">
        <f>HYPERLINK("https://klasma.github.io/Logging_VASTERVIK/tillsynsmail/A 46552-2022.docx", "A 46552-2022")</f>
        <v/>
      </c>
    </row>
    <row r="302" ht="15" customHeight="1">
      <c r="A302" t="inlineStr">
        <is>
          <t>A 46787-2022</t>
        </is>
      </c>
      <c r="B302" s="1" t="n">
        <v>44851</v>
      </c>
      <c r="C302" s="1" t="n">
        <v>45190</v>
      </c>
      <c r="D302" t="inlineStr">
        <is>
          <t>KALMAR LÄN</t>
        </is>
      </c>
      <c r="E302" t="inlineStr">
        <is>
          <t>VÄSTERVIK</t>
        </is>
      </c>
      <c r="G302" t="n">
        <v>4.4</v>
      </c>
      <c r="H302" t="n">
        <v>0</v>
      </c>
      <c r="I302" t="n">
        <v>0</v>
      </c>
      <c r="J302" t="n">
        <v>2</v>
      </c>
      <c r="K302" t="n">
        <v>0</v>
      </c>
      <c r="L302" t="n">
        <v>0</v>
      </c>
      <c r="M302" t="n">
        <v>0</v>
      </c>
      <c r="N302" t="n">
        <v>0</v>
      </c>
      <c r="O302" t="n">
        <v>2</v>
      </c>
      <c r="P302" t="n">
        <v>0</v>
      </c>
      <c r="Q302" t="n">
        <v>2</v>
      </c>
      <c r="R302" s="2" t="inlineStr">
        <is>
          <t>Motaggsvamp
Tallticka</t>
        </is>
      </c>
      <c r="S302">
        <f>HYPERLINK("https://klasma.github.io/Logging_VASTERVIK/artfynd/A 46787-2022.xlsx", "A 46787-2022")</f>
        <v/>
      </c>
      <c r="T302">
        <f>HYPERLINK("https://klasma.github.io/Logging_VASTERVIK/kartor/A 46787-2022.png", "A 46787-2022")</f>
        <v/>
      </c>
      <c r="V302">
        <f>HYPERLINK("https://klasma.github.io/Logging_VASTERVIK/klagomål/A 46787-2022.docx", "A 46787-2022")</f>
        <v/>
      </c>
      <c r="W302">
        <f>HYPERLINK("https://klasma.github.io/Logging_VASTERVIK/klagomålsmail/A 46787-2022.docx", "A 46787-2022")</f>
        <v/>
      </c>
      <c r="X302">
        <f>HYPERLINK("https://klasma.github.io/Logging_VASTERVIK/tillsyn/A 46787-2022.docx", "A 46787-2022")</f>
        <v/>
      </c>
      <c r="Y302">
        <f>HYPERLINK("https://klasma.github.io/Logging_VASTERVIK/tillsynsmail/A 46787-2022.docx", "A 46787-2022")</f>
        <v/>
      </c>
    </row>
    <row r="303" ht="15" customHeight="1">
      <c r="A303" t="inlineStr">
        <is>
          <t>A 50989-2022</t>
        </is>
      </c>
      <c r="B303" s="1" t="n">
        <v>44867</v>
      </c>
      <c r="C303" s="1" t="n">
        <v>45190</v>
      </c>
      <c r="D303" t="inlineStr">
        <is>
          <t>KALMAR LÄN</t>
        </is>
      </c>
      <c r="E303" t="inlineStr">
        <is>
          <t>VÄSTERVIK</t>
        </is>
      </c>
      <c r="G303" t="n">
        <v>2</v>
      </c>
      <c r="H303" t="n">
        <v>0</v>
      </c>
      <c r="I303" t="n">
        <v>2</v>
      </c>
      <c r="J303" t="n">
        <v>0</v>
      </c>
      <c r="K303" t="n">
        <v>0</v>
      </c>
      <c r="L303" t="n">
        <v>0</v>
      </c>
      <c r="M303" t="n">
        <v>0</v>
      </c>
      <c r="N303" t="n">
        <v>0</v>
      </c>
      <c r="O303" t="n">
        <v>0</v>
      </c>
      <c r="P303" t="n">
        <v>0</v>
      </c>
      <c r="Q303" t="n">
        <v>2</v>
      </c>
      <c r="R303" s="2" t="inlineStr">
        <is>
          <t>Blomkålssvamp
Vätteros</t>
        </is>
      </c>
      <c r="S303">
        <f>HYPERLINK("https://klasma.github.io/Logging_VASTERVIK/artfynd/A 50989-2022.xlsx", "A 50989-2022")</f>
        <v/>
      </c>
      <c r="T303">
        <f>HYPERLINK("https://klasma.github.io/Logging_VASTERVIK/kartor/A 50989-2022.png", "A 50989-2022")</f>
        <v/>
      </c>
      <c r="V303">
        <f>HYPERLINK("https://klasma.github.io/Logging_VASTERVIK/klagomål/A 50989-2022.docx", "A 50989-2022")</f>
        <v/>
      </c>
      <c r="W303">
        <f>HYPERLINK("https://klasma.github.io/Logging_VASTERVIK/klagomålsmail/A 50989-2022.docx", "A 50989-2022")</f>
        <v/>
      </c>
      <c r="X303">
        <f>HYPERLINK("https://klasma.github.io/Logging_VASTERVIK/tillsyn/A 50989-2022.docx", "A 50989-2022")</f>
        <v/>
      </c>
      <c r="Y303">
        <f>HYPERLINK("https://klasma.github.io/Logging_VASTERVIK/tillsynsmail/A 50989-2022.docx", "A 50989-2022")</f>
        <v/>
      </c>
    </row>
    <row r="304" ht="15" customHeight="1">
      <c r="A304" t="inlineStr">
        <is>
          <t>A 57330-2022</t>
        </is>
      </c>
      <c r="B304" s="1" t="n">
        <v>44896</v>
      </c>
      <c r="C304" s="1" t="n">
        <v>45190</v>
      </c>
      <c r="D304" t="inlineStr">
        <is>
          <t>KALMAR LÄN</t>
        </is>
      </c>
      <c r="E304" t="inlineStr">
        <is>
          <t>KALMAR</t>
        </is>
      </c>
      <c r="G304" t="n">
        <v>5.7</v>
      </c>
      <c r="H304" t="n">
        <v>1</v>
      </c>
      <c r="I304" t="n">
        <v>1</v>
      </c>
      <c r="J304" t="n">
        <v>0</v>
      </c>
      <c r="K304" t="n">
        <v>0</v>
      </c>
      <c r="L304" t="n">
        <v>0</v>
      </c>
      <c r="M304" t="n">
        <v>0</v>
      </c>
      <c r="N304" t="n">
        <v>0</v>
      </c>
      <c r="O304" t="n">
        <v>0</v>
      </c>
      <c r="P304" t="n">
        <v>0</v>
      </c>
      <c r="Q304" t="n">
        <v>2</v>
      </c>
      <c r="R304" s="2" t="inlineStr">
        <is>
          <t>Blåmossa
Mattlummer</t>
        </is>
      </c>
      <c r="S304">
        <f>HYPERLINK("https://klasma.github.io/Logging_KALMAR/artfynd/A 57330-2022.xlsx", "A 57330-2022")</f>
        <v/>
      </c>
      <c r="T304">
        <f>HYPERLINK("https://klasma.github.io/Logging_KALMAR/kartor/A 57330-2022.png", "A 57330-2022")</f>
        <v/>
      </c>
      <c r="V304">
        <f>HYPERLINK("https://klasma.github.io/Logging_KALMAR/klagomål/A 57330-2022.docx", "A 57330-2022")</f>
        <v/>
      </c>
      <c r="W304">
        <f>HYPERLINK("https://klasma.github.io/Logging_KALMAR/klagomålsmail/A 57330-2022.docx", "A 57330-2022")</f>
        <v/>
      </c>
      <c r="X304">
        <f>HYPERLINK("https://klasma.github.io/Logging_KALMAR/tillsyn/A 57330-2022.docx", "A 57330-2022")</f>
        <v/>
      </c>
      <c r="Y304">
        <f>HYPERLINK("https://klasma.github.io/Logging_KALMAR/tillsynsmail/A 57330-2022.docx", "A 57330-2022")</f>
        <v/>
      </c>
    </row>
    <row r="305" ht="15" customHeight="1">
      <c r="A305" t="inlineStr">
        <is>
          <t>A 59145-2022</t>
        </is>
      </c>
      <c r="B305" s="1" t="n">
        <v>44904</v>
      </c>
      <c r="C305" s="1" t="n">
        <v>45190</v>
      </c>
      <c r="D305" t="inlineStr">
        <is>
          <t>KALMAR LÄN</t>
        </is>
      </c>
      <c r="E305" t="inlineStr">
        <is>
          <t>NYBRO</t>
        </is>
      </c>
      <c r="F305" t="inlineStr">
        <is>
          <t>Sveaskog</t>
        </is>
      </c>
      <c r="G305" t="n">
        <v>11.3</v>
      </c>
      <c r="H305" t="n">
        <v>2</v>
      </c>
      <c r="I305" t="n">
        <v>0</v>
      </c>
      <c r="J305" t="n">
        <v>2</v>
      </c>
      <c r="K305" t="n">
        <v>0</v>
      </c>
      <c r="L305" t="n">
        <v>0</v>
      </c>
      <c r="M305" t="n">
        <v>0</v>
      </c>
      <c r="N305" t="n">
        <v>0</v>
      </c>
      <c r="O305" t="n">
        <v>2</v>
      </c>
      <c r="P305" t="n">
        <v>0</v>
      </c>
      <c r="Q305" t="n">
        <v>2</v>
      </c>
      <c r="R305" s="2" t="inlineStr">
        <is>
          <t>Barbastell
Nordfladdermus</t>
        </is>
      </c>
      <c r="S305">
        <f>HYPERLINK("https://klasma.github.io/Logging_NYBRO/artfynd/A 59145-2022.xlsx", "A 59145-2022")</f>
        <v/>
      </c>
      <c r="T305">
        <f>HYPERLINK("https://klasma.github.io/Logging_NYBRO/kartor/A 59145-2022.png", "A 59145-2022")</f>
        <v/>
      </c>
      <c r="V305">
        <f>HYPERLINK("https://klasma.github.io/Logging_NYBRO/klagomål/A 59145-2022.docx", "A 59145-2022")</f>
        <v/>
      </c>
      <c r="W305">
        <f>HYPERLINK("https://klasma.github.io/Logging_NYBRO/klagomålsmail/A 59145-2022.docx", "A 59145-2022")</f>
        <v/>
      </c>
      <c r="X305">
        <f>HYPERLINK("https://klasma.github.io/Logging_NYBRO/tillsyn/A 59145-2022.docx", "A 59145-2022")</f>
        <v/>
      </c>
      <c r="Y305">
        <f>HYPERLINK("https://klasma.github.io/Logging_NYBRO/tillsynsmail/A 59145-2022.docx", "A 59145-2022")</f>
        <v/>
      </c>
    </row>
    <row r="306" ht="15" customHeight="1">
      <c r="A306" t="inlineStr">
        <is>
          <t>A 61121-2022</t>
        </is>
      </c>
      <c r="B306" s="1" t="n">
        <v>44908</v>
      </c>
      <c r="C306" s="1" t="n">
        <v>45190</v>
      </c>
      <c r="D306" t="inlineStr">
        <is>
          <t>KALMAR LÄN</t>
        </is>
      </c>
      <c r="E306" t="inlineStr">
        <is>
          <t>MÖNSTERÅS</t>
        </is>
      </c>
      <c r="F306" t="inlineStr">
        <is>
          <t>Kyrkan</t>
        </is>
      </c>
      <c r="G306" t="n">
        <v>3.9</v>
      </c>
      <c r="H306" t="n">
        <v>0</v>
      </c>
      <c r="I306" t="n">
        <v>0</v>
      </c>
      <c r="J306" t="n">
        <v>2</v>
      </c>
      <c r="K306" t="n">
        <v>0</v>
      </c>
      <c r="L306" t="n">
        <v>0</v>
      </c>
      <c r="M306" t="n">
        <v>0</v>
      </c>
      <c r="N306" t="n">
        <v>0</v>
      </c>
      <c r="O306" t="n">
        <v>2</v>
      </c>
      <c r="P306" t="n">
        <v>0</v>
      </c>
      <c r="Q306" t="n">
        <v>2</v>
      </c>
      <c r="R306" s="2" t="inlineStr">
        <is>
          <t>Ullticka
Vedtrappmossa</t>
        </is>
      </c>
      <c r="S306">
        <f>HYPERLINK("https://klasma.github.io/Logging_MONSTERAS/artfynd/A 61121-2022.xlsx", "A 61121-2022")</f>
        <v/>
      </c>
      <c r="T306">
        <f>HYPERLINK("https://klasma.github.io/Logging_MONSTERAS/kartor/A 61121-2022.png", "A 61121-2022")</f>
        <v/>
      </c>
      <c r="V306">
        <f>HYPERLINK("https://klasma.github.io/Logging_MONSTERAS/klagomål/A 61121-2022.docx", "A 61121-2022")</f>
        <v/>
      </c>
      <c r="W306">
        <f>HYPERLINK("https://klasma.github.io/Logging_MONSTERAS/klagomålsmail/A 61121-2022.docx", "A 61121-2022")</f>
        <v/>
      </c>
      <c r="X306">
        <f>HYPERLINK("https://klasma.github.io/Logging_MONSTERAS/tillsyn/A 61121-2022.docx", "A 61121-2022")</f>
        <v/>
      </c>
      <c r="Y306">
        <f>HYPERLINK("https://klasma.github.io/Logging_MONSTERAS/tillsynsmail/A 61121-2022.docx", "A 61121-2022")</f>
        <v/>
      </c>
    </row>
    <row r="307" ht="15" customHeight="1">
      <c r="A307" t="inlineStr">
        <is>
          <t>A 61429-2022</t>
        </is>
      </c>
      <c r="B307" s="1" t="n">
        <v>44909</v>
      </c>
      <c r="C307" s="1" t="n">
        <v>45190</v>
      </c>
      <c r="D307" t="inlineStr">
        <is>
          <t>KALMAR LÄN</t>
        </is>
      </c>
      <c r="E307" t="inlineStr">
        <is>
          <t>HULTSFRED</t>
        </is>
      </c>
      <c r="F307" t="inlineStr">
        <is>
          <t>Övriga Aktiebolag</t>
        </is>
      </c>
      <c r="G307" t="n">
        <v>24.9</v>
      </c>
      <c r="H307" t="n">
        <v>1</v>
      </c>
      <c r="I307" t="n">
        <v>0</v>
      </c>
      <c r="J307" t="n">
        <v>0</v>
      </c>
      <c r="K307" t="n">
        <v>1</v>
      </c>
      <c r="L307" t="n">
        <v>1</v>
      </c>
      <c r="M307" t="n">
        <v>0</v>
      </c>
      <c r="N307" t="n">
        <v>0</v>
      </c>
      <c r="O307" t="n">
        <v>2</v>
      </c>
      <c r="P307" t="n">
        <v>2</v>
      </c>
      <c r="Q307" t="n">
        <v>2</v>
      </c>
      <c r="R307" s="2" t="inlineStr">
        <is>
          <t>Ryl
Mellanlummer</t>
        </is>
      </c>
      <c r="S307">
        <f>HYPERLINK("https://klasma.github.io/Logging_HULTSFRED/artfynd/A 61429-2022.xlsx", "A 61429-2022")</f>
        <v/>
      </c>
      <c r="T307">
        <f>HYPERLINK("https://klasma.github.io/Logging_HULTSFRED/kartor/A 61429-2022.png", "A 61429-2022")</f>
        <v/>
      </c>
      <c r="V307">
        <f>HYPERLINK("https://klasma.github.io/Logging_HULTSFRED/klagomål/A 61429-2022.docx", "A 61429-2022")</f>
        <v/>
      </c>
      <c r="W307">
        <f>HYPERLINK("https://klasma.github.io/Logging_HULTSFRED/klagomålsmail/A 61429-2022.docx", "A 61429-2022")</f>
        <v/>
      </c>
      <c r="X307">
        <f>HYPERLINK("https://klasma.github.io/Logging_HULTSFRED/tillsyn/A 61429-2022.docx", "A 61429-2022")</f>
        <v/>
      </c>
      <c r="Y307">
        <f>HYPERLINK("https://klasma.github.io/Logging_HULTSFRED/tillsynsmail/A 61429-2022.docx", "A 61429-2022")</f>
        <v/>
      </c>
    </row>
    <row r="308" ht="15" customHeight="1">
      <c r="A308" t="inlineStr">
        <is>
          <t>A 62003-2022</t>
        </is>
      </c>
      <c r="B308" s="1" t="n">
        <v>44918</v>
      </c>
      <c r="C308" s="1" t="n">
        <v>45190</v>
      </c>
      <c r="D308" t="inlineStr">
        <is>
          <t>KALMAR LÄN</t>
        </is>
      </c>
      <c r="E308" t="inlineStr">
        <is>
          <t>VÄSTERVIK</t>
        </is>
      </c>
      <c r="G308" t="n">
        <v>6.2</v>
      </c>
      <c r="H308" t="n">
        <v>1</v>
      </c>
      <c r="I308" t="n">
        <v>0</v>
      </c>
      <c r="J308" t="n">
        <v>1</v>
      </c>
      <c r="K308" t="n">
        <v>1</v>
      </c>
      <c r="L308" t="n">
        <v>0</v>
      </c>
      <c r="M308" t="n">
        <v>0</v>
      </c>
      <c r="N308" t="n">
        <v>0</v>
      </c>
      <c r="O308" t="n">
        <v>2</v>
      </c>
      <c r="P308" t="n">
        <v>1</v>
      </c>
      <c r="Q308" t="n">
        <v>2</v>
      </c>
      <c r="R308" s="2" t="inlineStr">
        <is>
          <t>Knärot
Linmåra/småsnärjmåra</t>
        </is>
      </c>
      <c r="S308">
        <f>HYPERLINK("https://klasma.github.io/Logging_VASTERVIK/artfynd/A 62003-2022.xlsx", "A 62003-2022")</f>
        <v/>
      </c>
      <c r="T308">
        <f>HYPERLINK("https://klasma.github.io/Logging_VASTERVIK/kartor/A 62003-2022.png", "A 62003-2022")</f>
        <v/>
      </c>
      <c r="U308">
        <f>HYPERLINK("https://klasma.github.io/Logging_VASTERVIK/knärot/A 62003-2022.png", "A 62003-2022")</f>
        <v/>
      </c>
      <c r="V308">
        <f>HYPERLINK("https://klasma.github.io/Logging_VASTERVIK/klagomål/A 62003-2022.docx", "A 62003-2022")</f>
        <v/>
      </c>
      <c r="W308">
        <f>HYPERLINK("https://klasma.github.io/Logging_VASTERVIK/klagomålsmail/A 62003-2022.docx", "A 62003-2022")</f>
        <v/>
      </c>
      <c r="X308">
        <f>HYPERLINK("https://klasma.github.io/Logging_VASTERVIK/tillsyn/A 62003-2022.docx", "A 62003-2022")</f>
        <v/>
      </c>
      <c r="Y308">
        <f>HYPERLINK("https://klasma.github.io/Logging_VASTERVIK/tillsynsmail/A 62003-2022.docx", "A 62003-2022")</f>
        <v/>
      </c>
    </row>
    <row r="309" ht="15" customHeight="1">
      <c r="A309" t="inlineStr">
        <is>
          <t>A 1991-2023</t>
        </is>
      </c>
      <c r="B309" s="1" t="n">
        <v>44939</v>
      </c>
      <c r="C309" s="1" t="n">
        <v>45190</v>
      </c>
      <c r="D309" t="inlineStr">
        <is>
          <t>KALMAR LÄN</t>
        </is>
      </c>
      <c r="E309" t="inlineStr">
        <is>
          <t>MÖNSTERÅS</t>
        </is>
      </c>
      <c r="G309" t="n">
        <v>0.8</v>
      </c>
      <c r="H309" t="n">
        <v>0</v>
      </c>
      <c r="I309" t="n">
        <v>2</v>
      </c>
      <c r="J309" t="n">
        <v>0</v>
      </c>
      <c r="K309" t="n">
        <v>0</v>
      </c>
      <c r="L309" t="n">
        <v>0</v>
      </c>
      <c r="M309" t="n">
        <v>0</v>
      </c>
      <c r="N309" t="n">
        <v>0</v>
      </c>
      <c r="O309" t="n">
        <v>0</v>
      </c>
      <c r="P309" t="n">
        <v>0</v>
      </c>
      <c r="Q309" t="n">
        <v>2</v>
      </c>
      <c r="R309" s="2" t="inlineStr">
        <is>
          <t>Vätteros
Vårärt</t>
        </is>
      </c>
      <c r="S309">
        <f>HYPERLINK("https://klasma.github.io/Logging_MONSTERAS/artfynd/A 1991-2023.xlsx", "A 1991-2023")</f>
        <v/>
      </c>
      <c r="T309">
        <f>HYPERLINK("https://klasma.github.io/Logging_MONSTERAS/kartor/A 1991-2023.png", "A 1991-2023")</f>
        <v/>
      </c>
      <c r="V309">
        <f>HYPERLINK("https://klasma.github.io/Logging_MONSTERAS/klagomål/A 1991-2023.docx", "A 1991-2023")</f>
        <v/>
      </c>
      <c r="W309">
        <f>HYPERLINK("https://klasma.github.io/Logging_MONSTERAS/klagomålsmail/A 1991-2023.docx", "A 1991-2023")</f>
        <v/>
      </c>
      <c r="X309">
        <f>HYPERLINK("https://klasma.github.io/Logging_MONSTERAS/tillsyn/A 1991-2023.docx", "A 1991-2023")</f>
        <v/>
      </c>
      <c r="Y309">
        <f>HYPERLINK("https://klasma.github.io/Logging_MONSTERAS/tillsynsmail/A 1991-2023.docx", "A 1991-2023")</f>
        <v/>
      </c>
    </row>
    <row r="310" ht="15" customHeight="1">
      <c r="A310" t="inlineStr">
        <is>
          <t>A 2063-2023</t>
        </is>
      </c>
      <c r="B310" s="1" t="n">
        <v>44939</v>
      </c>
      <c r="C310" s="1" t="n">
        <v>45190</v>
      </c>
      <c r="D310" t="inlineStr">
        <is>
          <t>KALMAR LÄN</t>
        </is>
      </c>
      <c r="E310" t="inlineStr">
        <is>
          <t>TORSÅS</t>
        </is>
      </c>
      <c r="G310" t="n">
        <v>1.8</v>
      </c>
      <c r="H310" t="n">
        <v>0</v>
      </c>
      <c r="I310" t="n">
        <v>0</v>
      </c>
      <c r="J310" t="n">
        <v>1</v>
      </c>
      <c r="K310" t="n">
        <v>0</v>
      </c>
      <c r="L310" t="n">
        <v>0</v>
      </c>
      <c r="M310" t="n">
        <v>1</v>
      </c>
      <c r="N310" t="n">
        <v>0</v>
      </c>
      <c r="O310" t="n">
        <v>2</v>
      </c>
      <c r="P310" t="n">
        <v>1</v>
      </c>
      <c r="Q310" t="n">
        <v>2</v>
      </c>
      <c r="R310" s="2" t="inlineStr">
        <is>
          <t>Selleri
Kavelhirs</t>
        </is>
      </c>
      <c r="S310">
        <f>HYPERLINK("https://klasma.github.io/Logging_TORSAS/artfynd/A 2063-2023.xlsx", "A 2063-2023")</f>
        <v/>
      </c>
      <c r="T310">
        <f>HYPERLINK("https://klasma.github.io/Logging_TORSAS/kartor/A 2063-2023.png", "A 2063-2023")</f>
        <v/>
      </c>
      <c r="V310">
        <f>HYPERLINK("https://klasma.github.io/Logging_TORSAS/klagomål/A 2063-2023.docx", "A 2063-2023")</f>
        <v/>
      </c>
      <c r="W310">
        <f>HYPERLINK("https://klasma.github.io/Logging_TORSAS/klagomålsmail/A 2063-2023.docx", "A 2063-2023")</f>
        <v/>
      </c>
      <c r="X310">
        <f>HYPERLINK("https://klasma.github.io/Logging_TORSAS/tillsyn/A 2063-2023.docx", "A 2063-2023")</f>
        <v/>
      </c>
      <c r="Y310">
        <f>HYPERLINK("https://klasma.github.io/Logging_TORSAS/tillsynsmail/A 2063-2023.docx", "A 2063-2023")</f>
        <v/>
      </c>
    </row>
    <row r="311" ht="15" customHeight="1">
      <c r="A311" t="inlineStr">
        <is>
          <t>A 2097-2023</t>
        </is>
      </c>
      <c r="B311" s="1" t="n">
        <v>44939</v>
      </c>
      <c r="C311" s="1" t="n">
        <v>45190</v>
      </c>
      <c r="D311" t="inlineStr">
        <is>
          <t>KALMAR LÄN</t>
        </is>
      </c>
      <c r="E311" t="inlineStr">
        <is>
          <t>VÄSTERVIK</t>
        </is>
      </c>
      <c r="G311" t="n">
        <v>6.9</v>
      </c>
      <c r="H311" t="n">
        <v>1</v>
      </c>
      <c r="I311" t="n">
        <v>1</v>
      </c>
      <c r="J311" t="n">
        <v>0</v>
      </c>
      <c r="K311" t="n">
        <v>1</v>
      </c>
      <c r="L311" t="n">
        <v>0</v>
      </c>
      <c r="M311" t="n">
        <v>0</v>
      </c>
      <c r="N311" t="n">
        <v>0</v>
      </c>
      <c r="O311" t="n">
        <v>1</v>
      </c>
      <c r="P311" t="n">
        <v>1</v>
      </c>
      <c r="Q311" t="n">
        <v>2</v>
      </c>
      <c r="R311" s="2" t="inlineStr">
        <is>
          <t>Knärot
Grovticka</t>
        </is>
      </c>
      <c r="S311">
        <f>HYPERLINK("https://klasma.github.io/Logging_VASTERVIK/artfynd/A 2097-2023.xlsx", "A 2097-2023")</f>
        <v/>
      </c>
      <c r="T311">
        <f>HYPERLINK("https://klasma.github.io/Logging_VASTERVIK/kartor/A 2097-2023.png", "A 2097-2023")</f>
        <v/>
      </c>
      <c r="U311">
        <f>HYPERLINK("https://klasma.github.io/Logging_VASTERVIK/knärot/A 2097-2023.png", "A 2097-2023")</f>
        <v/>
      </c>
      <c r="V311">
        <f>HYPERLINK("https://klasma.github.io/Logging_VASTERVIK/klagomål/A 2097-2023.docx", "A 2097-2023")</f>
        <v/>
      </c>
      <c r="W311">
        <f>HYPERLINK("https://klasma.github.io/Logging_VASTERVIK/klagomålsmail/A 2097-2023.docx", "A 2097-2023")</f>
        <v/>
      </c>
      <c r="X311">
        <f>HYPERLINK("https://klasma.github.io/Logging_VASTERVIK/tillsyn/A 2097-2023.docx", "A 2097-2023")</f>
        <v/>
      </c>
      <c r="Y311">
        <f>HYPERLINK("https://klasma.github.io/Logging_VASTERVIK/tillsynsmail/A 2097-2023.docx", "A 2097-2023")</f>
        <v/>
      </c>
    </row>
    <row r="312" ht="15" customHeight="1">
      <c r="A312" t="inlineStr">
        <is>
          <t>A 2515-2023</t>
        </is>
      </c>
      <c r="B312" s="1" t="n">
        <v>44943</v>
      </c>
      <c r="C312" s="1" t="n">
        <v>45190</v>
      </c>
      <c r="D312" t="inlineStr">
        <is>
          <t>KALMAR LÄN</t>
        </is>
      </c>
      <c r="E312" t="inlineStr">
        <is>
          <t>VÄSTERVIK</t>
        </is>
      </c>
      <c r="G312" t="n">
        <v>1.3</v>
      </c>
      <c r="H312" t="n">
        <v>1</v>
      </c>
      <c r="I312" t="n">
        <v>1</v>
      </c>
      <c r="J312" t="n">
        <v>0</v>
      </c>
      <c r="K312" t="n">
        <v>1</v>
      </c>
      <c r="L312" t="n">
        <v>0</v>
      </c>
      <c r="M312" t="n">
        <v>0</v>
      </c>
      <c r="N312" t="n">
        <v>0</v>
      </c>
      <c r="O312" t="n">
        <v>1</v>
      </c>
      <c r="P312" t="n">
        <v>1</v>
      </c>
      <c r="Q312" t="n">
        <v>2</v>
      </c>
      <c r="R312" s="2" t="inlineStr">
        <is>
          <t>Knärot
Grönpyrola</t>
        </is>
      </c>
      <c r="S312">
        <f>HYPERLINK("https://klasma.github.io/Logging_VASTERVIK/artfynd/A 2515-2023.xlsx", "A 2515-2023")</f>
        <v/>
      </c>
      <c r="T312">
        <f>HYPERLINK("https://klasma.github.io/Logging_VASTERVIK/kartor/A 2515-2023.png", "A 2515-2023")</f>
        <v/>
      </c>
      <c r="U312">
        <f>HYPERLINK("https://klasma.github.io/Logging_VASTERVIK/knärot/A 2515-2023.png", "A 2515-2023")</f>
        <v/>
      </c>
      <c r="V312">
        <f>HYPERLINK("https://klasma.github.io/Logging_VASTERVIK/klagomål/A 2515-2023.docx", "A 2515-2023")</f>
        <v/>
      </c>
      <c r="W312">
        <f>HYPERLINK("https://klasma.github.io/Logging_VASTERVIK/klagomålsmail/A 2515-2023.docx", "A 2515-2023")</f>
        <v/>
      </c>
      <c r="X312">
        <f>HYPERLINK("https://klasma.github.io/Logging_VASTERVIK/tillsyn/A 2515-2023.docx", "A 2515-2023")</f>
        <v/>
      </c>
      <c r="Y312">
        <f>HYPERLINK("https://klasma.github.io/Logging_VASTERVIK/tillsynsmail/A 2515-2023.docx", "A 2515-2023")</f>
        <v/>
      </c>
    </row>
    <row r="313" ht="15" customHeight="1">
      <c r="A313" t="inlineStr">
        <is>
          <t>A 2518-2023</t>
        </is>
      </c>
      <c r="B313" s="1" t="n">
        <v>44943</v>
      </c>
      <c r="C313" s="1" t="n">
        <v>45190</v>
      </c>
      <c r="D313" t="inlineStr">
        <is>
          <t>KALMAR LÄN</t>
        </is>
      </c>
      <c r="E313" t="inlineStr">
        <is>
          <t>VIMMERBY</t>
        </is>
      </c>
      <c r="G313" t="n">
        <v>6.1</v>
      </c>
      <c r="H313" t="n">
        <v>1</v>
      </c>
      <c r="I313" t="n">
        <v>1</v>
      </c>
      <c r="J313" t="n">
        <v>0</v>
      </c>
      <c r="K313" t="n">
        <v>1</v>
      </c>
      <c r="L313" t="n">
        <v>0</v>
      </c>
      <c r="M313" t="n">
        <v>0</v>
      </c>
      <c r="N313" t="n">
        <v>0</v>
      </c>
      <c r="O313" t="n">
        <v>1</v>
      </c>
      <c r="P313" t="n">
        <v>1</v>
      </c>
      <c r="Q313" t="n">
        <v>2</v>
      </c>
      <c r="R313" s="2" t="inlineStr">
        <is>
          <t>Knärot
Grönpyrola</t>
        </is>
      </c>
      <c r="S313">
        <f>HYPERLINK("https://klasma.github.io/Logging_VIMMERBY/artfynd/A 2518-2023.xlsx", "A 2518-2023")</f>
        <v/>
      </c>
      <c r="T313">
        <f>HYPERLINK("https://klasma.github.io/Logging_VIMMERBY/kartor/A 2518-2023.png", "A 2518-2023")</f>
        <v/>
      </c>
      <c r="U313">
        <f>HYPERLINK("https://klasma.github.io/Logging_VIMMERBY/knärot/A 2518-2023.png", "A 2518-2023")</f>
        <v/>
      </c>
      <c r="V313">
        <f>HYPERLINK("https://klasma.github.io/Logging_VIMMERBY/klagomål/A 2518-2023.docx", "A 2518-2023")</f>
        <v/>
      </c>
      <c r="W313">
        <f>HYPERLINK("https://klasma.github.io/Logging_VIMMERBY/klagomålsmail/A 2518-2023.docx", "A 2518-2023")</f>
        <v/>
      </c>
      <c r="X313">
        <f>HYPERLINK("https://klasma.github.io/Logging_VIMMERBY/tillsyn/A 2518-2023.docx", "A 2518-2023")</f>
        <v/>
      </c>
      <c r="Y313">
        <f>HYPERLINK("https://klasma.github.io/Logging_VIMMERBY/tillsynsmail/A 2518-2023.docx", "A 2518-2023")</f>
        <v/>
      </c>
    </row>
    <row r="314" ht="15" customHeight="1">
      <c r="A314" t="inlineStr">
        <is>
          <t>A 3173-2023</t>
        </is>
      </c>
      <c r="B314" s="1" t="n">
        <v>44946</v>
      </c>
      <c r="C314" s="1" t="n">
        <v>45190</v>
      </c>
      <c r="D314" t="inlineStr">
        <is>
          <t>KALMAR LÄN</t>
        </is>
      </c>
      <c r="E314" t="inlineStr">
        <is>
          <t>VÄSTERVIK</t>
        </is>
      </c>
      <c r="G314" t="n">
        <v>4</v>
      </c>
      <c r="H314" t="n">
        <v>1</v>
      </c>
      <c r="I314" t="n">
        <v>0</v>
      </c>
      <c r="J314" t="n">
        <v>1</v>
      </c>
      <c r="K314" t="n">
        <v>1</v>
      </c>
      <c r="L314" t="n">
        <v>0</v>
      </c>
      <c r="M314" t="n">
        <v>0</v>
      </c>
      <c r="N314" t="n">
        <v>0</v>
      </c>
      <c r="O314" t="n">
        <v>2</v>
      </c>
      <c r="P314" t="n">
        <v>1</v>
      </c>
      <c r="Q314" t="n">
        <v>2</v>
      </c>
      <c r="R314" s="2" t="inlineStr">
        <is>
          <t>Knärot
Tallticka</t>
        </is>
      </c>
      <c r="S314">
        <f>HYPERLINK("https://klasma.github.io/Logging_VASTERVIK/artfynd/A 3173-2023.xlsx", "A 3173-2023")</f>
        <v/>
      </c>
      <c r="T314">
        <f>HYPERLINK("https://klasma.github.io/Logging_VASTERVIK/kartor/A 3173-2023.png", "A 3173-2023")</f>
        <v/>
      </c>
      <c r="U314">
        <f>HYPERLINK("https://klasma.github.io/Logging_VASTERVIK/knärot/A 3173-2023.png", "A 3173-2023")</f>
        <v/>
      </c>
      <c r="V314">
        <f>HYPERLINK("https://klasma.github.io/Logging_VASTERVIK/klagomål/A 3173-2023.docx", "A 3173-2023")</f>
        <v/>
      </c>
      <c r="W314">
        <f>HYPERLINK("https://klasma.github.io/Logging_VASTERVIK/klagomålsmail/A 3173-2023.docx", "A 3173-2023")</f>
        <v/>
      </c>
      <c r="X314">
        <f>HYPERLINK("https://klasma.github.io/Logging_VASTERVIK/tillsyn/A 3173-2023.docx", "A 3173-2023")</f>
        <v/>
      </c>
      <c r="Y314">
        <f>HYPERLINK("https://klasma.github.io/Logging_VASTERVIK/tillsynsmail/A 3173-2023.docx", "A 3173-2023")</f>
        <v/>
      </c>
    </row>
    <row r="315" ht="15" customHeight="1">
      <c r="A315" t="inlineStr">
        <is>
          <t>A 4538-2023</t>
        </is>
      </c>
      <c r="B315" s="1" t="n">
        <v>44951</v>
      </c>
      <c r="C315" s="1" t="n">
        <v>45190</v>
      </c>
      <c r="D315" t="inlineStr">
        <is>
          <t>KALMAR LÄN</t>
        </is>
      </c>
      <c r="E315" t="inlineStr">
        <is>
          <t>KALMAR</t>
        </is>
      </c>
      <c r="G315" t="n">
        <v>3.2</v>
      </c>
      <c r="H315" t="n">
        <v>0</v>
      </c>
      <c r="I315" t="n">
        <v>2</v>
      </c>
      <c r="J315" t="n">
        <v>0</v>
      </c>
      <c r="K315" t="n">
        <v>0</v>
      </c>
      <c r="L315" t="n">
        <v>0</v>
      </c>
      <c r="M315" t="n">
        <v>0</v>
      </c>
      <c r="N315" t="n">
        <v>0</v>
      </c>
      <c r="O315" t="n">
        <v>0</v>
      </c>
      <c r="P315" t="n">
        <v>0</v>
      </c>
      <c r="Q315" t="n">
        <v>2</v>
      </c>
      <c r="R315" s="2" t="inlineStr">
        <is>
          <t>Bronshjon
Kornknutmossa</t>
        </is>
      </c>
      <c r="S315">
        <f>HYPERLINK("https://klasma.github.io/Logging_KALMAR/artfynd/A 4538-2023.xlsx", "A 4538-2023")</f>
        <v/>
      </c>
      <c r="T315">
        <f>HYPERLINK("https://klasma.github.io/Logging_KALMAR/kartor/A 4538-2023.png", "A 4538-2023")</f>
        <v/>
      </c>
      <c r="V315">
        <f>HYPERLINK("https://klasma.github.io/Logging_KALMAR/klagomål/A 4538-2023.docx", "A 4538-2023")</f>
        <v/>
      </c>
      <c r="W315">
        <f>HYPERLINK("https://klasma.github.io/Logging_KALMAR/klagomålsmail/A 4538-2023.docx", "A 4538-2023")</f>
        <v/>
      </c>
      <c r="X315">
        <f>HYPERLINK("https://klasma.github.io/Logging_KALMAR/tillsyn/A 4538-2023.docx", "A 4538-2023")</f>
        <v/>
      </c>
      <c r="Y315">
        <f>HYPERLINK("https://klasma.github.io/Logging_KALMAR/tillsynsmail/A 4538-2023.docx", "A 4538-2023")</f>
        <v/>
      </c>
    </row>
    <row r="316" ht="15" customHeight="1">
      <c r="A316" t="inlineStr">
        <is>
          <t>A 4164-2023</t>
        </is>
      </c>
      <c r="B316" s="1" t="n">
        <v>44953</v>
      </c>
      <c r="C316" s="1" t="n">
        <v>45190</v>
      </c>
      <c r="D316" t="inlineStr">
        <is>
          <t>KALMAR LÄN</t>
        </is>
      </c>
      <c r="E316" t="inlineStr">
        <is>
          <t>BORGHOLM</t>
        </is>
      </c>
      <c r="G316" t="n">
        <v>3.3</v>
      </c>
      <c r="H316" t="n">
        <v>1</v>
      </c>
      <c r="I316" t="n">
        <v>1</v>
      </c>
      <c r="J316" t="n">
        <v>0</v>
      </c>
      <c r="K316" t="n">
        <v>0</v>
      </c>
      <c r="L316" t="n">
        <v>0</v>
      </c>
      <c r="M316" t="n">
        <v>0</v>
      </c>
      <c r="N316" t="n">
        <v>0</v>
      </c>
      <c r="O316" t="n">
        <v>0</v>
      </c>
      <c r="P316" t="n">
        <v>0</v>
      </c>
      <c r="Q316" t="n">
        <v>2</v>
      </c>
      <c r="R316" s="2" t="inlineStr">
        <is>
          <t>Murgröna
Blåsippa</t>
        </is>
      </c>
      <c r="S316">
        <f>HYPERLINK("https://klasma.github.io/Logging_BORGHOLM/artfynd/A 4164-2023.xlsx", "A 4164-2023")</f>
        <v/>
      </c>
      <c r="T316">
        <f>HYPERLINK("https://klasma.github.io/Logging_BORGHOLM/kartor/A 4164-2023.png", "A 4164-2023")</f>
        <v/>
      </c>
      <c r="V316">
        <f>HYPERLINK("https://klasma.github.io/Logging_BORGHOLM/klagomål/A 4164-2023.docx", "A 4164-2023")</f>
        <v/>
      </c>
      <c r="W316">
        <f>HYPERLINK("https://klasma.github.io/Logging_BORGHOLM/klagomålsmail/A 4164-2023.docx", "A 4164-2023")</f>
        <v/>
      </c>
      <c r="X316">
        <f>HYPERLINK("https://klasma.github.io/Logging_BORGHOLM/tillsyn/A 4164-2023.docx", "A 4164-2023")</f>
        <v/>
      </c>
      <c r="Y316">
        <f>HYPERLINK("https://klasma.github.io/Logging_BORGHOLM/tillsynsmail/A 4164-2023.docx", "A 4164-2023")</f>
        <v/>
      </c>
    </row>
    <row r="317" ht="15" customHeight="1">
      <c r="A317" t="inlineStr">
        <is>
          <t>A 8742-2023</t>
        </is>
      </c>
      <c r="B317" s="1" t="n">
        <v>44978</v>
      </c>
      <c r="C317" s="1" t="n">
        <v>45190</v>
      </c>
      <c r="D317" t="inlineStr">
        <is>
          <t>KALMAR LÄN</t>
        </is>
      </c>
      <c r="E317" t="inlineStr">
        <is>
          <t>NYBRO</t>
        </is>
      </c>
      <c r="G317" t="n">
        <v>0.9</v>
      </c>
      <c r="H317" t="n">
        <v>0</v>
      </c>
      <c r="I317" t="n">
        <v>2</v>
      </c>
      <c r="J317" t="n">
        <v>0</v>
      </c>
      <c r="K317" t="n">
        <v>0</v>
      </c>
      <c r="L317" t="n">
        <v>0</v>
      </c>
      <c r="M317" t="n">
        <v>0</v>
      </c>
      <c r="N317" t="n">
        <v>0</v>
      </c>
      <c r="O317" t="n">
        <v>0</v>
      </c>
      <c r="P317" t="n">
        <v>0</v>
      </c>
      <c r="Q317" t="n">
        <v>2</v>
      </c>
      <c r="R317" s="2" t="inlineStr">
        <is>
          <t>Fällmossa
Rostfläck</t>
        </is>
      </c>
      <c r="S317">
        <f>HYPERLINK("https://klasma.github.io/Logging_NYBRO/artfynd/A 8742-2023.xlsx", "A 8742-2023")</f>
        <v/>
      </c>
      <c r="T317">
        <f>HYPERLINK("https://klasma.github.io/Logging_NYBRO/kartor/A 8742-2023.png", "A 8742-2023")</f>
        <v/>
      </c>
      <c r="V317">
        <f>HYPERLINK("https://klasma.github.io/Logging_NYBRO/klagomål/A 8742-2023.docx", "A 8742-2023")</f>
        <v/>
      </c>
      <c r="W317">
        <f>HYPERLINK("https://klasma.github.io/Logging_NYBRO/klagomålsmail/A 8742-2023.docx", "A 8742-2023")</f>
        <v/>
      </c>
      <c r="X317">
        <f>HYPERLINK("https://klasma.github.io/Logging_NYBRO/tillsyn/A 8742-2023.docx", "A 8742-2023")</f>
        <v/>
      </c>
      <c r="Y317">
        <f>HYPERLINK("https://klasma.github.io/Logging_NYBRO/tillsynsmail/A 8742-2023.docx", "A 8742-2023")</f>
        <v/>
      </c>
    </row>
    <row r="318" ht="15" customHeight="1">
      <c r="A318" t="inlineStr">
        <is>
          <t>A 9040-2023</t>
        </is>
      </c>
      <c r="B318" s="1" t="n">
        <v>44979</v>
      </c>
      <c r="C318" s="1" t="n">
        <v>45190</v>
      </c>
      <c r="D318" t="inlineStr">
        <is>
          <t>KALMAR LÄN</t>
        </is>
      </c>
      <c r="E318" t="inlineStr">
        <is>
          <t>VÄSTERVIK</t>
        </is>
      </c>
      <c r="G318" t="n">
        <v>5.1</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9040-2023.xlsx", "A 9040-2023")</f>
        <v/>
      </c>
      <c r="T318">
        <f>HYPERLINK("https://klasma.github.io/Logging_VASTERVIK/kartor/A 9040-2023.png", "A 9040-2023")</f>
        <v/>
      </c>
      <c r="U318">
        <f>HYPERLINK("https://klasma.github.io/Logging_VASTERVIK/knärot/A 9040-2023.png", "A 9040-2023")</f>
        <v/>
      </c>
      <c r="V318">
        <f>HYPERLINK("https://klasma.github.io/Logging_VASTERVIK/klagomål/A 9040-2023.docx", "A 9040-2023")</f>
        <v/>
      </c>
      <c r="W318">
        <f>HYPERLINK("https://klasma.github.io/Logging_VASTERVIK/klagomålsmail/A 9040-2023.docx", "A 9040-2023")</f>
        <v/>
      </c>
      <c r="X318">
        <f>HYPERLINK("https://klasma.github.io/Logging_VASTERVIK/tillsyn/A 9040-2023.docx", "A 9040-2023")</f>
        <v/>
      </c>
      <c r="Y318">
        <f>HYPERLINK("https://klasma.github.io/Logging_VASTERVIK/tillsynsmail/A 9040-2023.docx", "A 9040-2023")</f>
        <v/>
      </c>
    </row>
    <row r="319" ht="15" customHeight="1">
      <c r="A319" t="inlineStr">
        <is>
          <t>A 10806-2023</t>
        </is>
      </c>
      <c r="B319" s="1" t="n">
        <v>44989</v>
      </c>
      <c r="C319" s="1" t="n">
        <v>45190</v>
      </c>
      <c r="D319" t="inlineStr">
        <is>
          <t>KALMAR LÄN</t>
        </is>
      </c>
      <c r="E319" t="inlineStr">
        <is>
          <t>VÄSTERVIK</t>
        </is>
      </c>
      <c r="G319" t="n">
        <v>3</v>
      </c>
      <c r="H319" t="n">
        <v>2</v>
      </c>
      <c r="I319" t="n">
        <v>0</v>
      </c>
      <c r="J319" t="n">
        <v>0</v>
      </c>
      <c r="K319" t="n">
        <v>1</v>
      </c>
      <c r="L319" t="n">
        <v>0</v>
      </c>
      <c r="M319" t="n">
        <v>0</v>
      </c>
      <c r="N319" t="n">
        <v>0</v>
      </c>
      <c r="O319" t="n">
        <v>1</v>
      </c>
      <c r="P319" t="n">
        <v>1</v>
      </c>
      <c r="Q319" t="n">
        <v>2</v>
      </c>
      <c r="R319" s="2" t="inlineStr">
        <is>
          <t>Knärot
Revlummer</t>
        </is>
      </c>
      <c r="S319">
        <f>HYPERLINK("https://klasma.github.io/Logging_VASTERVIK/artfynd/A 10806-2023.xlsx", "A 10806-2023")</f>
        <v/>
      </c>
      <c r="T319">
        <f>HYPERLINK("https://klasma.github.io/Logging_VASTERVIK/kartor/A 10806-2023.png", "A 10806-2023")</f>
        <v/>
      </c>
      <c r="U319">
        <f>HYPERLINK("https://klasma.github.io/Logging_VASTERVIK/knärot/A 10806-2023.png", "A 10806-2023")</f>
        <v/>
      </c>
      <c r="V319">
        <f>HYPERLINK("https://klasma.github.io/Logging_VASTERVIK/klagomål/A 10806-2023.docx", "A 10806-2023")</f>
        <v/>
      </c>
      <c r="W319">
        <f>HYPERLINK("https://klasma.github.io/Logging_VASTERVIK/klagomålsmail/A 10806-2023.docx", "A 10806-2023")</f>
        <v/>
      </c>
      <c r="X319">
        <f>HYPERLINK("https://klasma.github.io/Logging_VASTERVIK/tillsyn/A 10806-2023.docx", "A 10806-2023")</f>
        <v/>
      </c>
      <c r="Y319">
        <f>HYPERLINK("https://klasma.github.io/Logging_VASTERVIK/tillsynsmail/A 10806-2023.docx", "A 10806-2023")</f>
        <v/>
      </c>
    </row>
    <row r="320" ht="15" customHeight="1">
      <c r="A320" t="inlineStr">
        <is>
          <t>A 14301-2023</t>
        </is>
      </c>
      <c r="B320" s="1" t="n">
        <v>45011</v>
      </c>
      <c r="C320" s="1" t="n">
        <v>45190</v>
      </c>
      <c r="D320" t="inlineStr">
        <is>
          <t>KALMAR LÄN</t>
        </is>
      </c>
      <c r="E320" t="inlineStr">
        <is>
          <t>VÄSTERVIK</t>
        </is>
      </c>
      <c r="G320" t="n">
        <v>4.4</v>
      </c>
      <c r="H320" t="n">
        <v>1</v>
      </c>
      <c r="I320" t="n">
        <v>1</v>
      </c>
      <c r="J320" t="n">
        <v>0</v>
      </c>
      <c r="K320" t="n">
        <v>1</v>
      </c>
      <c r="L320" t="n">
        <v>0</v>
      </c>
      <c r="M320" t="n">
        <v>0</v>
      </c>
      <c r="N320" t="n">
        <v>0</v>
      </c>
      <c r="O320" t="n">
        <v>1</v>
      </c>
      <c r="P320" t="n">
        <v>1</v>
      </c>
      <c r="Q320" t="n">
        <v>2</v>
      </c>
      <c r="R320" s="2" t="inlineStr">
        <is>
          <t>Knärot
Grönpyrola</t>
        </is>
      </c>
      <c r="S320">
        <f>HYPERLINK("https://klasma.github.io/Logging_VASTERVIK/artfynd/A 14301-2023.xlsx", "A 14301-2023")</f>
        <v/>
      </c>
      <c r="T320">
        <f>HYPERLINK("https://klasma.github.io/Logging_VASTERVIK/kartor/A 14301-2023.png", "A 14301-2023")</f>
        <v/>
      </c>
      <c r="U320">
        <f>HYPERLINK("https://klasma.github.io/Logging_VASTERVIK/knärot/A 14301-2023.png", "A 14301-2023")</f>
        <v/>
      </c>
      <c r="V320">
        <f>HYPERLINK("https://klasma.github.io/Logging_VASTERVIK/klagomål/A 14301-2023.docx", "A 14301-2023")</f>
        <v/>
      </c>
      <c r="W320">
        <f>HYPERLINK("https://klasma.github.io/Logging_VASTERVIK/klagomålsmail/A 14301-2023.docx", "A 14301-2023")</f>
        <v/>
      </c>
      <c r="X320">
        <f>HYPERLINK("https://klasma.github.io/Logging_VASTERVIK/tillsyn/A 14301-2023.docx", "A 14301-2023")</f>
        <v/>
      </c>
      <c r="Y320">
        <f>HYPERLINK("https://klasma.github.io/Logging_VASTERVIK/tillsynsmail/A 14301-2023.docx", "A 14301-2023")</f>
        <v/>
      </c>
    </row>
    <row r="321" ht="15" customHeight="1">
      <c r="A321" t="inlineStr">
        <is>
          <t>A 16431-2023</t>
        </is>
      </c>
      <c r="B321" s="1" t="n">
        <v>45022</v>
      </c>
      <c r="C321" s="1" t="n">
        <v>45190</v>
      </c>
      <c r="D321" t="inlineStr">
        <is>
          <t>KALMAR LÄN</t>
        </is>
      </c>
      <c r="E321" t="inlineStr">
        <is>
          <t>MÖNSTERÅS</t>
        </is>
      </c>
      <c r="G321" t="n">
        <v>9.4</v>
      </c>
      <c r="H321" t="n">
        <v>0</v>
      </c>
      <c r="I321" t="n">
        <v>2</v>
      </c>
      <c r="J321" t="n">
        <v>0</v>
      </c>
      <c r="K321" t="n">
        <v>0</v>
      </c>
      <c r="L321" t="n">
        <v>0</v>
      </c>
      <c r="M321" t="n">
        <v>0</v>
      </c>
      <c r="N321" t="n">
        <v>0</v>
      </c>
      <c r="O321" t="n">
        <v>0</v>
      </c>
      <c r="P321" t="n">
        <v>0</v>
      </c>
      <c r="Q321" t="n">
        <v>2</v>
      </c>
      <c r="R321" s="2" t="inlineStr">
        <is>
          <t>Sårläka
Vätteros</t>
        </is>
      </c>
      <c r="S321">
        <f>HYPERLINK("https://klasma.github.io/Logging_MONSTERAS/artfynd/A 16431-2023.xlsx", "A 16431-2023")</f>
        <v/>
      </c>
      <c r="T321">
        <f>HYPERLINK("https://klasma.github.io/Logging_MONSTERAS/kartor/A 16431-2023.png", "A 16431-2023")</f>
        <v/>
      </c>
      <c r="V321">
        <f>HYPERLINK("https://klasma.github.io/Logging_MONSTERAS/klagomål/A 16431-2023.docx", "A 16431-2023")</f>
        <v/>
      </c>
      <c r="W321">
        <f>HYPERLINK("https://klasma.github.io/Logging_MONSTERAS/klagomålsmail/A 16431-2023.docx", "A 16431-2023")</f>
        <v/>
      </c>
      <c r="X321">
        <f>HYPERLINK("https://klasma.github.io/Logging_MONSTERAS/tillsyn/A 16431-2023.docx", "A 16431-2023")</f>
        <v/>
      </c>
      <c r="Y321">
        <f>HYPERLINK("https://klasma.github.io/Logging_MONSTERAS/tillsynsmail/A 16431-2023.docx", "A 16431-2023")</f>
        <v/>
      </c>
    </row>
    <row r="322" ht="15" customHeight="1">
      <c r="A322" t="inlineStr">
        <is>
          <t>A 19845-2023</t>
        </is>
      </c>
      <c r="B322" s="1" t="n">
        <v>45053</v>
      </c>
      <c r="C322" s="1" t="n">
        <v>45190</v>
      </c>
      <c r="D322" t="inlineStr">
        <is>
          <t>KALMAR LÄN</t>
        </is>
      </c>
      <c r="E322" t="inlineStr">
        <is>
          <t>HULTSFRED</t>
        </is>
      </c>
      <c r="G322" t="n">
        <v>7.3</v>
      </c>
      <c r="H322" t="n">
        <v>2</v>
      </c>
      <c r="I322" t="n">
        <v>0</v>
      </c>
      <c r="J322" t="n">
        <v>0</v>
      </c>
      <c r="K322" t="n">
        <v>1</v>
      </c>
      <c r="L322" t="n">
        <v>0</v>
      </c>
      <c r="M322" t="n">
        <v>0</v>
      </c>
      <c r="N322" t="n">
        <v>0</v>
      </c>
      <c r="O322" t="n">
        <v>1</v>
      </c>
      <c r="P322" t="n">
        <v>1</v>
      </c>
      <c r="Q322" t="n">
        <v>2</v>
      </c>
      <c r="R322" s="2" t="inlineStr">
        <is>
          <t>Knärot
Blåsippa</t>
        </is>
      </c>
      <c r="S322">
        <f>HYPERLINK("https://klasma.github.io/Logging_HULTSFRED/artfynd/A 19845-2023.xlsx", "A 19845-2023")</f>
        <v/>
      </c>
      <c r="T322">
        <f>HYPERLINK("https://klasma.github.io/Logging_HULTSFRED/kartor/A 19845-2023.png", "A 19845-2023")</f>
        <v/>
      </c>
      <c r="U322">
        <f>HYPERLINK("https://klasma.github.io/Logging_HULTSFRED/knärot/A 19845-2023.png", "A 19845-2023")</f>
        <v/>
      </c>
      <c r="V322">
        <f>HYPERLINK("https://klasma.github.io/Logging_HULTSFRED/klagomål/A 19845-2023.docx", "A 19845-2023")</f>
        <v/>
      </c>
      <c r="W322">
        <f>HYPERLINK("https://klasma.github.io/Logging_HULTSFRED/klagomålsmail/A 19845-2023.docx", "A 19845-2023")</f>
        <v/>
      </c>
      <c r="X322">
        <f>HYPERLINK("https://klasma.github.io/Logging_HULTSFRED/tillsyn/A 19845-2023.docx", "A 19845-2023")</f>
        <v/>
      </c>
      <c r="Y322">
        <f>HYPERLINK("https://klasma.github.io/Logging_HULTSFRED/tillsynsmail/A 19845-2023.docx", "A 19845-2023")</f>
        <v/>
      </c>
    </row>
    <row r="323" ht="15" customHeight="1">
      <c r="A323" t="inlineStr">
        <is>
          <t>A 21219-2023</t>
        </is>
      </c>
      <c r="B323" s="1" t="n">
        <v>45062</v>
      </c>
      <c r="C323" s="1" t="n">
        <v>45190</v>
      </c>
      <c r="D323" t="inlineStr">
        <is>
          <t>KALMAR LÄN</t>
        </is>
      </c>
      <c r="E323" t="inlineStr">
        <is>
          <t>MÖRBYLÅNGA</t>
        </is>
      </c>
      <c r="G323" t="n">
        <v>3.6</v>
      </c>
      <c r="H323" t="n">
        <v>1</v>
      </c>
      <c r="I323" t="n">
        <v>1</v>
      </c>
      <c r="J323" t="n">
        <v>0</v>
      </c>
      <c r="K323" t="n">
        <v>0</v>
      </c>
      <c r="L323" t="n">
        <v>0</v>
      </c>
      <c r="M323" t="n">
        <v>0</v>
      </c>
      <c r="N323" t="n">
        <v>0</v>
      </c>
      <c r="O323" t="n">
        <v>0</v>
      </c>
      <c r="P323" t="n">
        <v>0</v>
      </c>
      <c r="Q323" t="n">
        <v>2</v>
      </c>
      <c r="R323" s="2" t="inlineStr">
        <is>
          <t>Sårläka
Blåsippa</t>
        </is>
      </c>
      <c r="S323">
        <f>HYPERLINK("https://klasma.github.io/Logging_MORBYLANGA/artfynd/A 21219-2023.xlsx", "A 21219-2023")</f>
        <v/>
      </c>
      <c r="T323">
        <f>HYPERLINK("https://klasma.github.io/Logging_MORBYLANGA/kartor/A 21219-2023.png", "A 21219-2023")</f>
        <v/>
      </c>
      <c r="V323">
        <f>HYPERLINK("https://klasma.github.io/Logging_MORBYLANGA/klagomål/A 21219-2023.docx", "A 21219-2023")</f>
        <v/>
      </c>
      <c r="W323">
        <f>HYPERLINK("https://klasma.github.io/Logging_MORBYLANGA/klagomålsmail/A 21219-2023.docx", "A 21219-2023")</f>
        <v/>
      </c>
      <c r="X323">
        <f>HYPERLINK("https://klasma.github.io/Logging_MORBYLANGA/tillsyn/A 21219-2023.docx", "A 21219-2023")</f>
        <v/>
      </c>
      <c r="Y323">
        <f>HYPERLINK("https://klasma.github.io/Logging_MORBYLANGA/tillsynsmail/A 21219-2023.docx", "A 21219-2023")</f>
        <v/>
      </c>
    </row>
    <row r="324" ht="15" customHeight="1">
      <c r="A324" t="inlineStr">
        <is>
          <t>A 22825-2023</t>
        </is>
      </c>
      <c r="B324" s="1" t="n">
        <v>45072</v>
      </c>
      <c r="C324" s="1" t="n">
        <v>45190</v>
      </c>
      <c r="D324" t="inlineStr">
        <is>
          <t>KALMAR LÄN</t>
        </is>
      </c>
      <c r="E324" t="inlineStr">
        <is>
          <t>VIMMERBY</t>
        </is>
      </c>
      <c r="G324" t="n">
        <v>14.1</v>
      </c>
      <c r="H324" t="n">
        <v>0</v>
      </c>
      <c r="I324" t="n">
        <v>0</v>
      </c>
      <c r="J324" t="n">
        <v>2</v>
      </c>
      <c r="K324" t="n">
        <v>0</v>
      </c>
      <c r="L324" t="n">
        <v>0</v>
      </c>
      <c r="M324" t="n">
        <v>0</v>
      </c>
      <c r="N324" t="n">
        <v>0</v>
      </c>
      <c r="O324" t="n">
        <v>2</v>
      </c>
      <c r="P324" t="n">
        <v>0</v>
      </c>
      <c r="Q324" t="n">
        <v>2</v>
      </c>
      <c r="R324" s="2" t="inlineStr">
        <is>
          <t>Klasefibbla
Sommarfibbla</t>
        </is>
      </c>
      <c r="S324">
        <f>HYPERLINK("https://klasma.github.io/Logging_VIMMERBY/artfynd/A 22825-2023.xlsx", "A 22825-2023")</f>
        <v/>
      </c>
      <c r="T324">
        <f>HYPERLINK("https://klasma.github.io/Logging_VIMMERBY/kartor/A 22825-2023.png", "A 22825-2023")</f>
        <v/>
      </c>
      <c r="V324">
        <f>HYPERLINK("https://klasma.github.io/Logging_VIMMERBY/klagomål/A 22825-2023.docx", "A 22825-2023")</f>
        <v/>
      </c>
      <c r="W324">
        <f>HYPERLINK("https://klasma.github.io/Logging_VIMMERBY/klagomålsmail/A 22825-2023.docx", "A 22825-2023")</f>
        <v/>
      </c>
      <c r="X324">
        <f>HYPERLINK("https://klasma.github.io/Logging_VIMMERBY/tillsyn/A 22825-2023.docx", "A 22825-2023")</f>
        <v/>
      </c>
      <c r="Y324">
        <f>HYPERLINK("https://klasma.github.io/Logging_VIMMERBY/tillsynsmail/A 22825-2023.docx", "A 22825-2023")</f>
        <v/>
      </c>
    </row>
    <row r="325" ht="15" customHeight="1">
      <c r="A325" t="inlineStr">
        <is>
          <t>A 23106-2023</t>
        </is>
      </c>
      <c r="B325" s="1" t="n">
        <v>45075</v>
      </c>
      <c r="C325" s="1" t="n">
        <v>45190</v>
      </c>
      <c r="D325" t="inlineStr">
        <is>
          <t>KALMAR LÄN</t>
        </is>
      </c>
      <c r="E325" t="inlineStr">
        <is>
          <t>NYBRO</t>
        </is>
      </c>
      <c r="G325" t="n">
        <v>9.6</v>
      </c>
      <c r="H325" t="n">
        <v>0</v>
      </c>
      <c r="I325" t="n">
        <v>2</v>
      </c>
      <c r="J325" t="n">
        <v>0</v>
      </c>
      <c r="K325" t="n">
        <v>0</v>
      </c>
      <c r="L325" t="n">
        <v>0</v>
      </c>
      <c r="M325" t="n">
        <v>0</v>
      </c>
      <c r="N325" t="n">
        <v>0</v>
      </c>
      <c r="O325" t="n">
        <v>0</v>
      </c>
      <c r="P325" t="n">
        <v>0</v>
      </c>
      <c r="Q325" t="n">
        <v>2</v>
      </c>
      <c r="R325" s="2" t="inlineStr">
        <is>
          <t>Fjällig taggsvamp s.str.
Grovticka</t>
        </is>
      </c>
      <c r="S325">
        <f>HYPERLINK("https://klasma.github.io/Logging_NYBRO/artfynd/A 23106-2023.xlsx", "A 23106-2023")</f>
        <v/>
      </c>
      <c r="T325">
        <f>HYPERLINK("https://klasma.github.io/Logging_NYBRO/kartor/A 23106-2023.png", "A 23106-2023")</f>
        <v/>
      </c>
      <c r="V325">
        <f>HYPERLINK("https://klasma.github.io/Logging_NYBRO/klagomål/A 23106-2023.docx", "A 23106-2023")</f>
        <v/>
      </c>
      <c r="W325">
        <f>HYPERLINK("https://klasma.github.io/Logging_NYBRO/klagomålsmail/A 23106-2023.docx", "A 23106-2023")</f>
        <v/>
      </c>
      <c r="X325">
        <f>HYPERLINK("https://klasma.github.io/Logging_NYBRO/tillsyn/A 23106-2023.docx", "A 23106-2023")</f>
        <v/>
      </c>
      <c r="Y325">
        <f>HYPERLINK("https://klasma.github.io/Logging_NYBRO/tillsynsmail/A 23106-2023.docx", "A 23106-2023")</f>
        <v/>
      </c>
    </row>
    <row r="326" ht="15" customHeight="1">
      <c r="A326" t="inlineStr">
        <is>
          <t>A 27719-2023</t>
        </is>
      </c>
      <c r="B326" s="1" t="n">
        <v>45093</v>
      </c>
      <c r="C326" s="1" t="n">
        <v>45190</v>
      </c>
      <c r="D326" t="inlineStr">
        <is>
          <t>KALMAR LÄN</t>
        </is>
      </c>
      <c r="E326" t="inlineStr">
        <is>
          <t>NYBRO</t>
        </is>
      </c>
      <c r="G326" t="n">
        <v>33.7</v>
      </c>
      <c r="H326" t="n">
        <v>0</v>
      </c>
      <c r="I326" t="n">
        <v>0</v>
      </c>
      <c r="J326" t="n">
        <v>1</v>
      </c>
      <c r="K326" t="n">
        <v>1</v>
      </c>
      <c r="L326" t="n">
        <v>0</v>
      </c>
      <c r="M326" t="n">
        <v>0</v>
      </c>
      <c r="N326" t="n">
        <v>0</v>
      </c>
      <c r="O326" t="n">
        <v>2</v>
      </c>
      <c r="P326" t="n">
        <v>1</v>
      </c>
      <c r="Q326" t="n">
        <v>2</v>
      </c>
      <c r="R326" s="2" t="inlineStr">
        <is>
          <t>Raggbock
Mindre träfjäril</t>
        </is>
      </c>
      <c r="S326">
        <f>HYPERLINK("https://klasma.github.io/Logging_NYBRO/artfynd/A 27719-2023.xlsx", "A 27719-2023")</f>
        <v/>
      </c>
      <c r="T326">
        <f>HYPERLINK("https://klasma.github.io/Logging_NYBRO/kartor/A 27719-2023.png", "A 27719-2023")</f>
        <v/>
      </c>
      <c r="V326">
        <f>HYPERLINK("https://klasma.github.io/Logging_NYBRO/klagomål/A 27719-2023.docx", "A 27719-2023")</f>
        <v/>
      </c>
      <c r="W326">
        <f>HYPERLINK("https://klasma.github.io/Logging_NYBRO/klagomålsmail/A 27719-2023.docx", "A 27719-2023")</f>
        <v/>
      </c>
      <c r="X326">
        <f>HYPERLINK("https://klasma.github.io/Logging_NYBRO/tillsyn/A 27719-2023.docx", "A 27719-2023")</f>
        <v/>
      </c>
      <c r="Y326">
        <f>HYPERLINK("https://klasma.github.io/Logging_NYBRO/tillsynsmail/A 27719-2023.docx", "A 27719-2023")</f>
        <v/>
      </c>
    </row>
    <row r="327" ht="15" customHeight="1">
      <c r="A327" t="inlineStr">
        <is>
          <t>A 31692-2023</t>
        </is>
      </c>
      <c r="B327" s="1" t="n">
        <v>45105</v>
      </c>
      <c r="C327" s="1" t="n">
        <v>45190</v>
      </c>
      <c r="D327" t="inlineStr">
        <is>
          <t>KALMAR LÄN</t>
        </is>
      </c>
      <c r="E327" t="inlineStr">
        <is>
          <t>KALMAR</t>
        </is>
      </c>
      <c r="G327" t="n">
        <v>6.8</v>
      </c>
      <c r="H327" t="n">
        <v>0</v>
      </c>
      <c r="I327" t="n">
        <v>0</v>
      </c>
      <c r="J327" t="n">
        <v>2</v>
      </c>
      <c r="K327" t="n">
        <v>0</v>
      </c>
      <c r="L327" t="n">
        <v>0</v>
      </c>
      <c r="M327" t="n">
        <v>0</v>
      </c>
      <c r="N327" t="n">
        <v>0</v>
      </c>
      <c r="O327" t="n">
        <v>2</v>
      </c>
      <c r="P327" t="n">
        <v>0</v>
      </c>
      <c r="Q327" t="n">
        <v>2</v>
      </c>
      <c r="R327" s="2" t="inlineStr">
        <is>
          <t>Korskovall
Solvända</t>
        </is>
      </c>
      <c r="S327">
        <f>HYPERLINK("https://klasma.github.io/Logging_KALMAR/artfynd/A 31692-2023.xlsx", "A 31692-2023")</f>
        <v/>
      </c>
      <c r="T327">
        <f>HYPERLINK("https://klasma.github.io/Logging_KALMAR/kartor/A 31692-2023.png", "A 31692-2023")</f>
        <v/>
      </c>
      <c r="V327">
        <f>HYPERLINK("https://klasma.github.io/Logging_KALMAR/klagomål/A 31692-2023.docx", "A 31692-2023")</f>
        <v/>
      </c>
      <c r="W327">
        <f>HYPERLINK("https://klasma.github.io/Logging_KALMAR/klagomålsmail/A 31692-2023.docx", "A 31692-2023")</f>
        <v/>
      </c>
      <c r="X327">
        <f>HYPERLINK("https://klasma.github.io/Logging_KALMAR/tillsyn/A 31692-2023.docx", "A 31692-2023")</f>
        <v/>
      </c>
      <c r="Y327">
        <f>HYPERLINK("https://klasma.github.io/Logging_KALMAR/tillsynsmail/A 31692-2023.docx", "A 31692-2023")</f>
        <v/>
      </c>
    </row>
    <row r="328" ht="15" customHeight="1">
      <c r="A328" t="inlineStr">
        <is>
          <t>A 30203-2023</t>
        </is>
      </c>
      <c r="B328" s="1" t="n">
        <v>45110</v>
      </c>
      <c r="C328" s="1" t="n">
        <v>45190</v>
      </c>
      <c r="D328" t="inlineStr">
        <is>
          <t>KALMAR LÄN</t>
        </is>
      </c>
      <c r="E328" t="inlineStr">
        <is>
          <t>HÖGSBY</t>
        </is>
      </c>
      <c r="F328" t="inlineStr">
        <is>
          <t>Sveaskog</t>
        </is>
      </c>
      <c r="G328" t="n">
        <v>3.4</v>
      </c>
      <c r="H328" t="n">
        <v>2</v>
      </c>
      <c r="I328" t="n">
        <v>0</v>
      </c>
      <c r="J328" t="n">
        <v>0</v>
      </c>
      <c r="K328" t="n">
        <v>0</v>
      </c>
      <c r="L328" t="n">
        <v>0</v>
      </c>
      <c r="M328" t="n">
        <v>0</v>
      </c>
      <c r="N328" t="n">
        <v>0</v>
      </c>
      <c r="O328" t="n">
        <v>0</v>
      </c>
      <c r="P328" t="n">
        <v>0</v>
      </c>
      <c r="Q328" t="n">
        <v>2</v>
      </c>
      <c r="R328" s="2" t="inlineStr">
        <is>
          <t>Mistel
Gullviva</t>
        </is>
      </c>
      <c r="S328">
        <f>HYPERLINK("https://klasma.github.io/Logging_HOGSBY/artfynd/A 30203-2023.xlsx", "A 30203-2023")</f>
        <v/>
      </c>
      <c r="T328">
        <f>HYPERLINK("https://klasma.github.io/Logging_HOGSBY/kartor/A 30203-2023.png", "A 30203-2023")</f>
        <v/>
      </c>
      <c r="V328">
        <f>HYPERLINK("https://klasma.github.io/Logging_HOGSBY/klagomål/A 30203-2023.docx", "A 30203-2023")</f>
        <v/>
      </c>
      <c r="W328">
        <f>HYPERLINK("https://klasma.github.io/Logging_HOGSBY/klagomålsmail/A 30203-2023.docx", "A 30203-2023")</f>
        <v/>
      </c>
      <c r="X328">
        <f>HYPERLINK("https://klasma.github.io/Logging_HOGSBY/tillsyn/A 30203-2023.docx", "A 30203-2023")</f>
        <v/>
      </c>
      <c r="Y328">
        <f>HYPERLINK("https://klasma.github.io/Logging_HOGSBY/tillsynsmail/A 30203-2023.docx", "A 30203-2023")</f>
        <v/>
      </c>
    </row>
    <row r="329" ht="15" customHeight="1">
      <c r="A329" t="inlineStr">
        <is>
          <t>A 30933-2023</t>
        </is>
      </c>
      <c r="B329" s="1" t="n">
        <v>45113</v>
      </c>
      <c r="C329" s="1" t="n">
        <v>45190</v>
      </c>
      <c r="D329" t="inlineStr">
        <is>
          <t>KALMAR LÄN</t>
        </is>
      </c>
      <c r="E329" t="inlineStr">
        <is>
          <t>OSKARSHAMN</t>
        </is>
      </c>
      <c r="G329" t="n">
        <v>3.7</v>
      </c>
      <c r="H329" t="n">
        <v>2</v>
      </c>
      <c r="I329" t="n">
        <v>0</v>
      </c>
      <c r="J329" t="n">
        <v>2</v>
      </c>
      <c r="K329" t="n">
        <v>0</v>
      </c>
      <c r="L329" t="n">
        <v>0</v>
      </c>
      <c r="M329" t="n">
        <v>0</v>
      </c>
      <c r="N329" t="n">
        <v>0</v>
      </c>
      <c r="O329" t="n">
        <v>2</v>
      </c>
      <c r="P329" t="n">
        <v>0</v>
      </c>
      <c r="Q329" t="n">
        <v>2</v>
      </c>
      <c r="R329" s="2" t="inlineStr">
        <is>
          <t>Mindre hackspett
Spillkråka</t>
        </is>
      </c>
      <c r="S329">
        <f>HYPERLINK("https://klasma.github.io/Logging_OSKARSHAMN/artfynd/A 30933-2023.xlsx", "A 30933-2023")</f>
        <v/>
      </c>
      <c r="T329">
        <f>HYPERLINK("https://klasma.github.io/Logging_OSKARSHAMN/kartor/A 30933-2023.png", "A 30933-2023")</f>
        <v/>
      </c>
      <c r="V329">
        <f>HYPERLINK("https://klasma.github.io/Logging_OSKARSHAMN/klagomål/A 30933-2023.docx", "A 30933-2023")</f>
        <v/>
      </c>
      <c r="W329">
        <f>HYPERLINK("https://klasma.github.io/Logging_OSKARSHAMN/klagomålsmail/A 30933-2023.docx", "A 30933-2023")</f>
        <v/>
      </c>
      <c r="X329">
        <f>HYPERLINK("https://klasma.github.io/Logging_OSKARSHAMN/tillsyn/A 30933-2023.docx", "A 30933-2023")</f>
        <v/>
      </c>
      <c r="Y329">
        <f>HYPERLINK("https://klasma.github.io/Logging_OSKARSHAMN/tillsynsmail/A 30933-2023.docx", "A 30933-2023")</f>
        <v/>
      </c>
    </row>
    <row r="330" ht="15" customHeight="1">
      <c r="A330" t="inlineStr">
        <is>
          <t>A 32298-2023</t>
        </is>
      </c>
      <c r="B330" s="1" t="n">
        <v>45120</v>
      </c>
      <c r="C330" s="1" t="n">
        <v>45190</v>
      </c>
      <c r="D330" t="inlineStr">
        <is>
          <t>KALMAR LÄN</t>
        </is>
      </c>
      <c r="E330" t="inlineStr">
        <is>
          <t>MÖNSTERÅS</t>
        </is>
      </c>
      <c r="G330" t="n">
        <v>5</v>
      </c>
      <c r="H330" t="n">
        <v>1</v>
      </c>
      <c r="I330" t="n">
        <v>1</v>
      </c>
      <c r="J330" t="n">
        <v>0</v>
      </c>
      <c r="K330" t="n">
        <v>1</v>
      </c>
      <c r="L330" t="n">
        <v>0</v>
      </c>
      <c r="M330" t="n">
        <v>0</v>
      </c>
      <c r="N330" t="n">
        <v>0</v>
      </c>
      <c r="O330" t="n">
        <v>1</v>
      </c>
      <c r="P330" t="n">
        <v>1</v>
      </c>
      <c r="Q330" t="n">
        <v>2</v>
      </c>
      <c r="R330" s="2" t="inlineStr">
        <is>
          <t>Knärot
Grönpyrola</t>
        </is>
      </c>
      <c r="S330">
        <f>HYPERLINK("https://klasma.github.io/Logging_MONSTERAS/artfynd/A 32298-2023.xlsx", "A 32298-2023")</f>
        <v/>
      </c>
      <c r="T330">
        <f>HYPERLINK("https://klasma.github.io/Logging_MONSTERAS/kartor/A 32298-2023.png", "A 32298-2023")</f>
        <v/>
      </c>
      <c r="U330">
        <f>HYPERLINK("https://klasma.github.io/Logging_MONSTERAS/knärot/A 32298-2023.png", "A 32298-2023")</f>
        <v/>
      </c>
      <c r="V330">
        <f>HYPERLINK("https://klasma.github.io/Logging_MONSTERAS/klagomål/A 32298-2023.docx", "A 32298-2023")</f>
        <v/>
      </c>
      <c r="W330">
        <f>HYPERLINK("https://klasma.github.io/Logging_MONSTERAS/klagomålsmail/A 32298-2023.docx", "A 32298-2023")</f>
        <v/>
      </c>
      <c r="X330">
        <f>HYPERLINK("https://klasma.github.io/Logging_MONSTERAS/tillsyn/A 32298-2023.docx", "A 32298-2023")</f>
        <v/>
      </c>
      <c r="Y330">
        <f>HYPERLINK("https://klasma.github.io/Logging_MONSTERAS/tillsynsmail/A 32298-2023.docx", "A 32298-2023")</f>
        <v/>
      </c>
    </row>
    <row r="331" ht="15" customHeight="1">
      <c r="A331" t="inlineStr">
        <is>
          <t>A 32649-2023</t>
        </is>
      </c>
      <c r="B331" s="1" t="n">
        <v>45121</v>
      </c>
      <c r="C331" s="1" t="n">
        <v>45190</v>
      </c>
      <c r="D331" t="inlineStr">
        <is>
          <t>KALMAR LÄN</t>
        </is>
      </c>
      <c r="E331" t="inlineStr">
        <is>
          <t>VÄSTERVIK</t>
        </is>
      </c>
      <c r="G331" t="n">
        <v>1.7</v>
      </c>
      <c r="H331" t="n">
        <v>1</v>
      </c>
      <c r="I331" t="n">
        <v>1</v>
      </c>
      <c r="J331" t="n">
        <v>0</v>
      </c>
      <c r="K331" t="n">
        <v>1</v>
      </c>
      <c r="L331" t="n">
        <v>0</v>
      </c>
      <c r="M331" t="n">
        <v>0</v>
      </c>
      <c r="N331" t="n">
        <v>0</v>
      </c>
      <c r="O331" t="n">
        <v>1</v>
      </c>
      <c r="P331" t="n">
        <v>1</v>
      </c>
      <c r="Q331" t="n">
        <v>2</v>
      </c>
      <c r="R331" s="2" t="inlineStr">
        <is>
          <t>Knärot
Blåmossa</t>
        </is>
      </c>
      <c r="S331">
        <f>HYPERLINK("https://klasma.github.io/Logging_VASTERVIK/artfynd/A 32649-2023.xlsx", "A 32649-2023")</f>
        <v/>
      </c>
      <c r="T331">
        <f>HYPERLINK("https://klasma.github.io/Logging_VASTERVIK/kartor/A 32649-2023.png", "A 32649-2023")</f>
        <v/>
      </c>
      <c r="U331">
        <f>HYPERLINK("https://klasma.github.io/Logging_VASTERVIK/knärot/A 32649-2023.png", "A 32649-2023")</f>
        <v/>
      </c>
      <c r="V331">
        <f>HYPERLINK("https://klasma.github.io/Logging_VASTERVIK/klagomål/A 32649-2023.docx", "A 32649-2023")</f>
        <v/>
      </c>
      <c r="W331">
        <f>HYPERLINK("https://klasma.github.io/Logging_VASTERVIK/klagomålsmail/A 32649-2023.docx", "A 32649-2023")</f>
        <v/>
      </c>
      <c r="X331">
        <f>HYPERLINK("https://klasma.github.io/Logging_VASTERVIK/tillsyn/A 32649-2023.docx", "A 32649-2023")</f>
        <v/>
      </c>
      <c r="Y331">
        <f>HYPERLINK("https://klasma.github.io/Logging_VASTERVIK/tillsynsmail/A 32649-2023.docx", "A 32649-2023")</f>
        <v/>
      </c>
    </row>
    <row r="332" ht="15" customHeight="1">
      <c r="A332" t="inlineStr">
        <is>
          <t>A 43712-2023</t>
        </is>
      </c>
      <c r="B332" s="1" t="n">
        <v>45187</v>
      </c>
      <c r="C332" s="1" t="n">
        <v>45190</v>
      </c>
      <c r="D332" t="inlineStr">
        <is>
          <t>KALMAR LÄN</t>
        </is>
      </c>
      <c r="E332" t="inlineStr">
        <is>
          <t>NYBRO</t>
        </is>
      </c>
      <c r="G332" t="n">
        <v>4.5</v>
      </c>
      <c r="H332" t="n">
        <v>1</v>
      </c>
      <c r="I332" t="n">
        <v>2</v>
      </c>
      <c r="J332" t="n">
        <v>0</v>
      </c>
      <c r="K332" t="n">
        <v>0</v>
      </c>
      <c r="L332" t="n">
        <v>0</v>
      </c>
      <c r="M332" t="n">
        <v>0</v>
      </c>
      <c r="N332" t="n">
        <v>0</v>
      </c>
      <c r="O332" t="n">
        <v>0</v>
      </c>
      <c r="P332" t="n">
        <v>0</v>
      </c>
      <c r="Q332" t="n">
        <v>2</v>
      </c>
      <c r="R332" s="2" t="inlineStr">
        <is>
          <t>Grönpyrola
Skogsknipprot</t>
        </is>
      </c>
      <c r="S332">
        <f>HYPERLINK("https://klasma.github.io/Logging_NYBRO/artfynd/A 43712-2023.xlsx", "A 43712-2023")</f>
        <v/>
      </c>
      <c r="T332">
        <f>HYPERLINK("https://klasma.github.io/Logging_NYBRO/kartor/A 43712-2023.png", "A 43712-2023")</f>
        <v/>
      </c>
      <c r="V332">
        <f>HYPERLINK("https://klasma.github.io/Logging_NYBRO/klagomål/A 43712-2023.docx", "A 43712-2023")</f>
        <v/>
      </c>
      <c r="W332">
        <f>HYPERLINK("https://klasma.github.io/Logging_NYBRO/klagomålsmail/A 43712-2023.docx", "A 43712-2023")</f>
        <v/>
      </c>
      <c r="X332">
        <f>HYPERLINK("https://klasma.github.io/Logging_NYBRO/tillsyn/A 43712-2023.docx", "A 43712-2023")</f>
        <v/>
      </c>
      <c r="Y332">
        <f>HYPERLINK("https://klasma.github.io/Logging_NYBRO/tillsynsmail/A 43712-2023.docx", "A 43712-2023")</f>
        <v/>
      </c>
    </row>
    <row r="333" ht="15" customHeight="1">
      <c r="A333" t="inlineStr">
        <is>
          <t>A 37269-2018</t>
        </is>
      </c>
      <c r="B333" s="1" t="n">
        <v>43332</v>
      </c>
      <c r="C333" s="1" t="n">
        <v>45190</v>
      </c>
      <c r="D333" t="inlineStr">
        <is>
          <t>KALMAR LÄN</t>
        </is>
      </c>
      <c r="E333" t="inlineStr">
        <is>
          <t>HÖGSBY</t>
        </is>
      </c>
      <c r="F333" t="inlineStr">
        <is>
          <t>Kommuner</t>
        </is>
      </c>
      <c r="G333" t="n">
        <v>16.1</v>
      </c>
      <c r="H333" t="n">
        <v>0</v>
      </c>
      <c r="I333" t="n">
        <v>0</v>
      </c>
      <c r="J333" t="n">
        <v>1</v>
      </c>
      <c r="K333" t="n">
        <v>0</v>
      </c>
      <c r="L333" t="n">
        <v>0</v>
      </c>
      <c r="M333" t="n">
        <v>0</v>
      </c>
      <c r="N333" t="n">
        <v>0</v>
      </c>
      <c r="O333" t="n">
        <v>1</v>
      </c>
      <c r="P333" t="n">
        <v>0</v>
      </c>
      <c r="Q333" t="n">
        <v>1</v>
      </c>
      <c r="R333" s="2" t="inlineStr">
        <is>
          <t>Tallticka</t>
        </is>
      </c>
      <c r="S333">
        <f>HYPERLINK("https://klasma.github.io/Logging_HOGSBY/artfynd/A 37269-2018.xlsx", "A 37269-2018")</f>
        <v/>
      </c>
      <c r="T333">
        <f>HYPERLINK("https://klasma.github.io/Logging_HOGSBY/kartor/A 37269-2018.png", "A 37269-2018")</f>
        <v/>
      </c>
      <c r="V333">
        <f>HYPERLINK("https://klasma.github.io/Logging_HOGSBY/klagomål/A 37269-2018.docx", "A 37269-2018")</f>
        <v/>
      </c>
      <c r="W333">
        <f>HYPERLINK("https://klasma.github.io/Logging_HOGSBY/klagomålsmail/A 37269-2018.docx", "A 37269-2018")</f>
        <v/>
      </c>
      <c r="X333">
        <f>HYPERLINK("https://klasma.github.io/Logging_HOGSBY/tillsyn/A 37269-2018.docx", "A 37269-2018")</f>
        <v/>
      </c>
      <c r="Y333">
        <f>HYPERLINK("https://klasma.github.io/Logging_HOGSBY/tillsynsmail/A 37269-2018.docx", "A 37269-2018")</f>
        <v/>
      </c>
    </row>
    <row r="334" ht="15" customHeight="1">
      <c r="A334" t="inlineStr">
        <is>
          <t>A 41586-2018</t>
        </is>
      </c>
      <c r="B334" s="1" t="n">
        <v>43349</v>
      </c>
      <c r="C334" s="1" t="n">
        <v>45190</v>
      </c>
      <c r="D334" t="inlineStr">
        <is>
          <t>KALMAR LÄN</t>
        </is>
      </c>
      <c r="E334" t="inlineStr">
        <is>
          <t>TORSÅS</t>
        </is>
      </c>
      <c r="G334" t="n">
        <v>1.8</v>
      </c>
      <c r="H334" t="n">
        <v>1</v>
      </c>
      <c r="I334" t="n">
        <v>0</v>
      </c>
      <c r="J334" t="n">
        <v>1</v>
      </c>
      <c r="K334" t="n">
        <v>0</v>
      </c>
      <c r="L334" t="n">
        <v>0</v>
      </c>
      <c r="M334" t="n">
        <v>0</v>
      </c>
      <c r="N334" t="n">
        <v>0</v>
      </c>
      <c r="O334" t="n">
        <v>1</v>
      </c>
      <c r="P334" t="n">
        <v>0</v>
      </c>
      <c r="Q334" t="n">
        <v>1</v>
      </c>
      <c r="R334" s="2" t="inlineStr">
        <is>
          <t>Långbensgroda</t>
        </is>
      </c>
      <c r="S334">
        <f>HYPERLINK("https://klasma.github.io/Logging_TORSAS/artfynd/A 41586-2018.xlsx", "A 41586-2018")</f>
        <v/>
      </c>
      <c r="T334">
        <f>HYPERLINK("https://klasma.github.io/Logging_TORSAS/kartor/A 41586-2018.png", "A 41586-2018")</f>
        <v/>
      </c>
      <c r="V334">
        <f>HYPERLINK("https://klasma.github.io/Logging_TORSAS/klagomål/A 41586-2018.docx", "A 41586-2018")</f>
        <v/>
      </c>
      <c r="W334">
        <f>HYPERLINK("https://klasma.github.io/Logging_TORSAS/klagomålsmail/A 41586-2018.docx", "A 41586-2018")</f>
        <v/>
      </c>
      <c r="X334">
        <f>HYPERLINK("https://klasma.github.io/Logging_TORSAS/tillsyn/A 41586-2018.docx", "A 41586-2018")</f>
        <v/>
      </c>
      <c r="Y334">
        <f>HYPERLINK("https://klasma.github.io/Logging_TORSAS/tillsynsmail/A 41586-2018.docx", "A 41586-2018")</f>
        <v/>
      </c>
    </row>
    <row r="335" ht="15" customHeight="1">
      <c r="A335" t="inlineStr">
        <is>
          <t>A 41755-2018</t>
        </is>
      </c>
      <c r="B335" s="1" t="n">
        <v>43350</v>
      </c>
      <c r="C335" s="1" t="n">
        <v>45190</v>
      </c>
      <c r="D335" t="inlineStr">
        <is>
          <t>KALMAR LÄN</t>
        </is>
      </c>
      <c r="E335" t="inlineStr">
        <is>
          <t>EMMABODA</t>
        </is>
      </c>
      <c r="G335" t="n">
        <v>4.9</v>
      </c>
      <c r="H335" t="n">
        <v>0</v>
      </c>
      <c r="I335" t="n">
        <v>0</v>
      </c>
      <c r="J335" t="n">
        <v>0</v>
      </c>
      <c r="K335" t="n">
        <v>0</v>
      </c>
      <c r="L335" t="n">
        <v>0</v>
      </c>
      <c r="M335" t="n">
        <v>0</v>
      </c>
      <c r="N335" t="n">
        <v>1</v>
      </c>
      <c r="O335" t="n">
        <v>1</v>
      </c>
      <c r="P335" t="n">
        <v>0</v>
      </c>
      <c r="Q335" t="n">
        <v>1</v>
      </c>
      <c r="R335" s="2" t="inlineStr">
        <is>
          <t>Pimpinellros</t>
        </is>
      </c>
      <c r="S335">
        <f>HYPERLINK("https://klasma.github.io/Logging_EMMABODA/artfynd/A 41755-2018.xlsx", "A 41755-2018")</f>
        <v/>
      </c>
      <c r="T335">
        <f>HYPERLINK("https://klasma.github.io/Logging_EMMABODA/kartor/A 41755-2018.png", "A 41755-2018")</f>
        <v/>
      </c>
      <c r="V335">
        <f>HYPERLINK("https://klasma.github.io/Logging_EMMABODA/klagomål/A 41755-2018.docx", "A 41755-2018")</f>
        <v/>
      </c>
      <c r="W335">
        <f>HYPERLINK("https://klasma.github.io/Logging_EMMABODA/klagomålsmail/A 41755-2018.docx", "A 41755-2018")</f>
        <v/>
      </c>
      <c r="X335">
        <f>HYPERLINK("https://klasma.github.io/Logging_EMMABODA/tillsyn/A 41755-2018.docx", "A 41755-2018")</f>
        <v/>
      </c>
      <c r="Y335">
        <f>HYPERLINK("https://klasma.github.io/Logging_EMMABODA/tillsynsmail/A 41755-2018.docx", "A 41755-2018")</f>
        <v/>
      </c>
    </row>
    <row r="336" ht="15" customHeight="1">
      <c r="A336" t="inlineStr">
        <is>
          <t>A 45366-2018</t>
        </is>
      </c>
      <c r="B336" s="1" t="n">
        <v>43363</v>
      </c>
      <c r="C336" s="1" t="n">
        <v>45190</v>
      </c>
      <c r="D336" t="inlineStr">
        <is>
          <t>KALMAR LÄN</t>
        </is>
      </c>
      <c r="E336" t="inlineStr">
        <is>
          <t>TORSÅS</t>
        </is>
      </c>
      <c r="G336" t="n">
        <v>4.4</v>
      </c>
      <c r="H336" t="n">
        <v>0</v>
      </c>
      <c r="I336" t="n">
        <v>1</v>
      </c>
      <c r="J336" t="n">
        <v>0</v>
      </c>
      <c r="K336" t="n">
        <v>0</v>
      </c>
      <c r="L336" t="n">
        <v>0</v>
      </c>
      <c r="M336" t="n">
        <v>0</v>
      </c>
      <c r="N336" t="n">
        <v>0</v>
      </c>
      <c r="O336" t="n">
        <v>0</v>
      </c>
      <c r="P336" t="n">
        <v>0</v>
      </c>
      <c r="Q336" t="n">
        <v>1</v>
      </c>
      <c r="R336" s="2" t="inlineStr">
        <is>
          <t>Lömsk flugsvamp</t>
        </is>
      </c>
      <c r="S336">
        <f>HYPERLINK("https://klasma.github.io/Logging_TORSAS/artfynd/A 45366-2018.xlsx", "A 45366-2018")</f>
        <v/>
      </c>
      <c r="T336">
        <f>HYPERLINK("https://klasma.github.io/Logging_TORSAS/kartor/A 45366-2018.png", "A 45366-2018")</f>
        <v/>
      </c>
      <c r="V336">
        <f>HYPERLINK("https://klasma.github.io/Logging_TORSAS/klagomål/A 45366-2018.docx", "A 45366-2018")</f>
        <v/>
      </c>
      <c r="W336">
        <f>HYPERLINK("https://klasma.github.io/Logging_TORSAS/klagomålsmail/A 45366-2018.docx", "A 45366-2018")</f>
        <v/>
      </c>
      <c r="X336">
        <f>HYPERLINK("https://klasma.github.io/Logging_TORSAS/tillsyn/A 45366-2018.docx", "A 45366-2018")</f>
        <v/>
      </c>
      <c r="Y336">
        <f>HYPERLINK("https://klasma.github.io/Logging_TORSAS/tillsynsmail/A 45366-2018.docx", "A 45366-2018")</f>
        <v/>
      </c>
    </row>
    <row r="337" ht="15" customHeight="1">
      <c r="A337" t="inlineStr">
        <is>
          <t>A 46845-2018</t>
        </is>
      </c>
      <c r="B337" s="1" t="n">
        <v>43367</v>
      </c>
      <c r="C337" s="1" t="n">
        <v>45190</v>
      </c>
      <c r="D337" t="inlineStr">
        <is>
          <t>KALMAR LÄN</t>
        </is>
      </c>
      <c r="E337" t="inlineStr">
        <is>
          <t>MÖRBYLÅNGA</t>
        </is>
      </c>
      <c r="F337" t="inlineStr">
        <is>
          <t>Kyrkan</t>
        </is>
      </c>
      <c r="G337" t="n">
        <v>2.2</v>
      </c>
      <c r="H337" t="n">
        <v>0</v>
      </c>
      <c r="I337" t="n">
        <v>0</v>
      </c>
      <c r="J337" t="n">
        <v>0</v>
      </c>
      <c r="K337" t="n">
        <v>0</v>
      </c>
      <c r="L337" t="n">
        <v>0</v>
      </c>
      <c r="M337" t="n">
        <v>1</v>
      </c>
      <c r="N337" t="n">
        <v>0</v>
      </c>
      <c r="O337" t="n">
        <v>1</v>
      </c>
      <c r="P337" t="n">
        <v>1</v>
      </c>
      <c r="Q337" t="n">
        <v>1</v>
      </c>
      <c r="R337" s="2" t="inlineStr">
        <is>
          <t>Skogsalm</t>
        </is>
      </c>
      <c r="S337">
        <f>HYPERLINK("https://klasma.github.io/Logging_MORBYLANGA/artfynd/A 46845-2018.xlsx", "A 46845-2018")</f>
        <v/>
      </c>
      <c r="T337">
        <f>HYPERLINK("https://klasma.github.io/Logging_MORBYLANGA/kartor/A 46845-2018.png", "A 46845-2018")</f>
        <v/>
      </c>
      <c r="V337">
        <f>HYPERLINK("https://klasma.github.io/Logging_MORBYLANGA/klagomål/A 46845-2018.docx", "A 46845-2018")</f>
        <v/>
      </c>
      <c r="W337">
        <f>HYPERLINK("https://klasma.github.io/Logging_MORBYLANGA/klagomålsmail/A 46845-2018.docx", "A 46845-2018")</f>
        <v/>
      </c>
      <c r="X337">
        <f>HYPERLINK("https://klasma.github.io/Logging_MORBYLANGA/tillsyn/A 46845-2018.docx", "A 46845-2018")</f>
        <v/>
      </c>
      <c r="Y337">
        <f>HYPERLINK("https://klasma.github.io/Logging_MORBYLANGA/tillsynsmail/A 46845-2018.docx", "A 46845-2018")</f>
        <v/>
      </c>
    </row>
    <row r="338" ht="15" customHeight="1">
      <c r="A338" t="inlineStr">
        <is>
          <t>A 46598-2018</t>
        </is>
      </c>
      <c r="B338" s="1" t="n">
        <v>43368</v>
      </c>
      <c r="C338" s="1" t="n">
        <v>45190</v>
      </c>
      <c r="D338" t="inlineStr">
        <is>
          <t>KALMAR LÄN</t>
        </is>
      </c>
      <c r="E338" t="inlineStr">
        <is>
          <t>VIMMERBY</t>
        </is>
      </c>
      <c r="G338" t="n">
        <v>3.9</v>
      </c>
      <c r="H338" t="n">
        <v>0</v>
      </c>
      <c r="I338" t="n">
        <v>1</v>
      </c>
      <c r="J338" t="n">
        <v>0</v>
      </c>
      <c r="K338" t="n">
        <v>0</v>
      </c>
      <c r="L338" t="n">
        <v>0</v>
      </c>
      <c r="M338" t="n">
        <v>0</v>
      </c>
      <c r="N338" t="n">
        <v>0</v>
      </c>
      <c r="O338" t="n">
        <v>0</v>
      </c>
      <c r="P338" t="n">
        <v>0</v>
      </c>
      <c r="Q338" t="n">
        <v>1</v>
      </c>
      <c r="R338" s="2" t="inlineStr">
        <is>
          <t>Ögonpyrola</t>
        </is>
      </c>
      <c r="S338">
        <f>HYPERLINK("https://klasma.github.io/Logging_VIMMERBY/artfynd/A 46598-2018.xlsx", "A 46598-2018")</f>
        <v/>
      </c>
      <c r="T338">
        <f>HYPERLINK("https://klasma.github.io/Logging_VIMMERBY/kartor/A 46598-2018.png", "A 46598-2018")</f>
        <v/>
      </c>
      <c r="V338">
        <f>HYPERLINK("https://klasma.github.io/Logging_VIMMERBY/klagomål/A 46598-2018.docx", "A 46598-2018")</f>
        <v/>
      </c>
      <c r="W338">
        <f>HYPERLINK("https://klasma.github.io/Logging_VIMMERBY/klagomålsmail/A 46598-2018.docx", "A 46598-2018")</f>
        <v/>
      </c>
      <c r="X338">
        <f>HYPERLINK("https://klasma.github.io/Logging_VIMMERBY/tillsyn/A 46598-2018.docx", "A 46598-2018")</f>
        <v/>
      </c>
      <c r="Y338">
        <f>HYPERLINK("https://klasma.github.io/Logging_VIMMERBY/tillsynsmail/A 46598-2018.docx", "A 46598-2018")</f>
        <v/>
      </c>
    </row>
    <row r="339" ht="15" customHeight="1">
      <c r="A339" t="inlineStr">
        <is>
          <t>A 48007-2018</t>
        </is>
      </c>
      <c r="B339" s="1" t="n">
        <v>43370</v>
      </c>
      <c r="C339" s="1" t="n">
        <v>45190</v>
      </c>
      <c r="D339" t="inlineStr">
        <is>
          <t>KALMAR LÄN</t>
        </is>
      </c>
      <c r="E339" t="inlineStr">
        <is>
          <t>KALMAR</t>
        </is>
      </c>
      <c r="G339" t="n">
        <v>1.5</v>
      </c>
      <c r="H339" t="n">
        <v>0</v>
      </c>
      <c r="I339" t="n">
        <v>1</v>
      </c>
      <c r="J339" t="n">
        <v>0</v>
      </c>
      <c r="K339" t="n">
        <v>0</v>
      </c>
      <c r="L339" t="n">
        <v>0</v>
      </c>
      <c r="M339" t="n">
        <v>0</v>
      </c>
      <c r="N339" t="n">
        <v>0</v>
      </c>
      <c r="O339" t="n">
        <v>0</v>
      </c>
      <c r="P339" t="n">
        <v>0</v>
      </c>
      <c r="Q339" t="n">
        <v>1</v>
      </c>
      <c r="R339" s="2" t="inlineStr">
        <is>
          <t>Vedticka</t>
        </is>
      </c>
      <c r="S339">
        <f>HYPERLINK("https://klasma.github.io/Logging_KALMAR/artfynd/A 48007-2018.xlsx", "A 48007-2018")</f>
        <v/>
      </c>
      <c r="T339">
        <f>HYPERLINK("https://klasma.github.io/Logging_KALMAR/kartor/A 48007-2018.png", "A 48007-2018")</f>
        <v/>
      </c>
      <c r="V339">
        <f>HYPERLINK("https://klasma.github.io/Logging_KALMAR/klagomål/A 48007-2018.docx", "A 48007-2018")</f>
        <v/>
      </c>
      <c r="W339">
        <f>HYPERLINK("https://klasma.github.io/Logging_KALMAR/klagomålsmail/A 48007-2018.docx", "A 48007-2018")</f>
        <v/>
      </c>
      <c r="X339">
        <f>HYPERLINK("https://klasma.github.io/Logging_KALMAR/tillsyn/A 48007-2018.docx", "A 48007-2018")</f>
        <v/>
      </c>
      <c r="Y339">
        <f>HYPERLINK("https://klasma.github.io/Logging_KALMAR/tillsynsmail/A 48007-2018.docx", "A 48007-2018")</f>
        <v/>
      </c>
    </row>
    <row r="340" ht="15" customHeight="1">
      <c r="A340" t="inlineStr">
        <is>
          <t>A 51204-2018</t>
        </is>
      </c>
      <c r="B340" s="1" t="n">
        <v>43377</v>
      </c>
      <c r="C340" s="1" t="n">
        <v>45190</v>
      </c>
      <c r="D340" t="inlineStr">
        <is>
          <t>KALMAR LÄN</t>
        </is>
      </c>
      <c r="E340" t="inlineStr">
        <is>
          <t>VÄSTERVIK</t>
        </is>
      </c>
      <c r="G340" t="n">
        <v>2.2</v>
      </c>
      <c r="H340" t="n">
        <v>0</v>
      </c>
      <c r="I340" t="n">
        <v>1</v>
      </c>
      <c r="J340" t="n">
        <v>0</v>
      </c>
      <c r="K340" t="n">
        <v>0</v>
      </c>
      <c r="L340" t="n">
        <v>0</v>
      </c>
      <c r="M340" t="n">
        <v>0</v>
      </c>
      <c r="N340" t="n">
        <v>0</v>
      </c>
      <c r="O340" t="n">
        <v>0</v>
      </c>
      <c r="P340" t="n">
        <v>0</v>
      </c>
      <c r="Q340" t="n">
        <v>1</v>
      </c>
      <c r="R340" s="2" t="inlineStr">
        <is>
          <t>Scharlakansskål</t>
        </is>
      </c>
      <c r="S340">
        <f>HYPERLINK("https://klasma.github.io/Logging_VASTERVIK/artfynd/A 51204-2018.xlsx", "A 51204-2018")</f>
        <v/>
      </c>
      <c r="T340">
        <f>HYPERLINK("https://klasma.github.io/Logging_VASTERVIK/kartor/A 51204-2018.png", "A 51204-2018")</f>
        <v/>
      </c>
      <c r="V340">
        <f>HYPERLINK("https://klasma.github.io/Logging_VASTERVIK/klagomål/A 51204-2018.docx", "A 51204-2018")</f>
        <v/>
      </c>
      <c r="W340">
        <f>HYPERLINK("https://klasma.github.io/Logging_VASTERVIK/klagomålsmail/A 51204-2018.docx", "A 51204-2018")</f>
        <v/>
      </c>
      <c r="X340">
        <f>HYPERLINK("https://klasma.github.io/Logging_VASTERVIK/tillsyn/A 51204-2018.docx", "A 51204-2018")</f>
        <v/>
      </c>
      <c r="Y340">
        <f>HYPERLINK("https://klasma.github.io/Logging_VASTERVIK/tillsynsmail/A 51204-2018.docx", "A 51204-2018")</f>
        <v/>
      </c>
    </row>
    <row r="341" ht="15" customHeight="1">
      <c r="A341" t="inlineStr">
        <is>
          <t>A 52781-2018</t>
        </is>
      </c>
      <c r="B341" s="1" t="n">
        <v>43383</v>
      </c>
      <c r="C341" s="1" t="n">
        <v>45190</v>
      </c>
      <c r="D341" t="inlineStr">
        <is>
          <t>KALMAR LÄN</t>
        </is>
      </c>
      <c r="E341" t="inlineStr">
        <is>
          <t>KALMAR</t>
        </is>
      </c>
      <c r="G341" t="n">
        <v>1.1</v>
      </c>
      <c r="H341" t="n">
        <v>0</v>
      </c>
      <c r="I341" t="n">
        <v>0</v>
      </c>
      <c r="J341" t="n">
        <v>1</v>
      </c>
      <c r="K341" t="n">
        <v>0</v>
      </c>
      <c r="L341" t="n">
        <v>0</v>
      </c>
      <c r="M341" t="n">
        <v>0</v>
      </c>
      <c r="N341" t="n">
        <v>0</v>
      </c>
      <c r="O341" t="n">
        <v>1</v>
      </c>
      <c r="P341" t="n">
        <v>0</v>
      </c>
      <c r="Q341" t="n">
        <v>1</v>
      </c>
      <c r="R341" s="2" t="inlineStr">
        <is>
          <t>Leptoporus erubescens</t>
        </is>
      </c>
      <c r="S341">
        <f>HYPERLINK("https://klasma.github.io/Logging_KALMAR/artfynd/A 52781-2018.xlsx", "A 52781-2018")</f>
        <v/>
      </c>
      <c r="T341">
        <f>HYPERLINK("https://klasma.github.io/Logging_KALMAR/kartor/A 52781-2018.png", "A 52781-2018")</f>
        <v/>
      </c>
      <c r="U341">
        <f>HYPERLINK("https://klasma.github.io/Logging_KALMAR/knärot/A 52781-2018.png", "A 52781-2018")</f>
        <v/>
      </c>
      <c r="V341">
        <f>HYPERLINK("https://klasma.github.io/Logging_KALMAR/klagomål/A 52781-2018.docx", "A 52781-2018")</f>
        <v/>
      </c>
      <c r="W341">
        <f>HYPERLINK("https://klasma.github.io/Logging_KALMAR/klagomålsmail/A 52781-2018.docx", "A 52781-2018")</f>
        <v/>
      </c>
      <c r="X341">
        <f>HYPERLINK("https://klasma.github.io/Logging_KALMAR/tillsyn/A 52781-2018.docx", "A 52781-2018")</f>
        <v/>
      </c>
      <c r="Y341">
        <f>HYPERLINK("https://klasma.github.io/Logging_KALMAR/tillsynsmail/A 52781-2018.docx", "A 52781-2018")</f>
        <v/>
      </c>
    </row>
    <row r="342" ht="15" customHeight="1">
      <c r="A342" t="inlineStr">
        <is>
          <t>A 55105-2018</t>
        </is>
      </c>
      <c r="B342" s="1" t="n">
        <v>43396</v>
      </c>
      <c r="C342" s="1" t="n">
        <v>45190</v>
      </c>
      <c r="D342" t="inlineStr">
        <is>
          <t>KALMAR LÄN</t>
        </is>
      </c>
      <c r="E342" t="inlineStr">
        <is>
          <t>BORGHOLM</t>
        </is>
      </c>
      <c r="G342" t="n">
        <v>0.8</v>
      </c>
      <c r="H342" t="n">
        <v>1</v>
      </c>
      <c r="I342" t="n">
        <v>0</v>
      </c>
      <c r="J342" t="n">
        <v>0</v>
      </c>
      <c r="K342" t="n">
        <v>0</v>
      </c>
      <c r="L342" t="n">
        <v>0</v>
      </c>
      <c r="M342" t="n">
        <v>0</v>
      </c>
      <c r="N342" t="n">
        <v>0</v>
      </c>
      <c r="O342" t="n">
        <v>0</v>
      </c>
      <c r="P342" t="n">
        <v>0</v>
      </c>
      <c r="Q342" t="n">
        <v>1</v>
      </c>
      <c r="R342" s="2" t="inlineStr">
        <is>
          <t>Fläcknycklar</t>
        </is>
      </c>
      <c r="S342">
        <f>HYPERLINK("https://klasma.github.io/Logging_BORGHOLM/artfynd/A 55105-2018.xlsx", "A 55105-2018")</f>
        <v/>
      </c>
      <c r="T342">
        <f>HYPERLINK("https://klasma.github.io/Logging_BORGHOLM/kartor/A 55105-2018.png", "A 55105-2018")</f>
        <v/>
      </c>
      <c r="V342">
        <f>HYPERLINK("https://klasma.github.io/Logging_BORGHOLM/klagomål/A 55105-2018.docx", "A 55105-2018")</f>
        <v/>
      </c>
      <c r="W342">
        <f>HYPERLINK("https://klasma.github.io/Logging_BORGHOLM/klagomålsmail/A 55105-2018.docx", "A 55105-2018")</f>
        <v/>
      </c>
      <c r="X342">
        <f>HYPERLINK("https://klasma.github.io/Logging_BORGHOLM/tillsyn/A 55105-2018.docx", "A 55105-2018")</f>
        <v/>
      </c>
      <c r="Y342">
        <f>HYPERLINK("https://klasma.github.io/Logging_BORGHOLM/tillsynsmail/A 55105-2018.docx", "A 55105-2018")</f>
        <v/>
      </c>
    </row>
    <row r="343" ht="15" customHeight="1">
      <c r="A343" t="inlineStr">
        <is>
          <t>A 56760-2018</t>
        </is>
      </c>
      <c r="B343" s="1" t="n">
        <v>43402</v>
      </c>
      <c r="C343" s="1" t="n">
        <v>45190</v>
      </c>
      <c r="D343" t="inlineStr">
        <is>
          <t>KALMAR LÄN</t>
        </is>
      </c>
      <c r="E343" t="inlineStr">
        <is>
          <t>KALMAR</t>
        </is>
      </c>
      <c r="G343" t="n">
        <v>23.4</v>
      </c>
      <c r="H343" t="n">
        <v>0</v>
      </c>
      <c r="I343" t="n">
        <v>0</v>
      </c>
      <c r="J343" t="n">
        <v>1</v>
      </c>
      <c r="K343" t="n">
        <v>0</v>
      </c>
      <c r="L343" t="n">
        <v>0</v>
      </c>
      <c r="M343" t="n">
        <v>0</v>
      </c>
      <c r="N343" t="n">
        <v>0</v>
      </c>
      <c r="O343" t="n">
        <v>1</v>
      </c>
      <c r="P343" t="n">
        <v>0</v>
      </c>
      <c r="Q343" t="n">
        <v>1</v>
      </c>
      <c r="R343" s="2" t="inlineStr">
        <is>
          <t>Vårstarr</t>
        </is>
      </c>
      <c r="S343">
        <f>HYPERLINK("https://klasma.github.io/Logging_KALMAR/artfynd/A 56760-2018.xlsx", "A 56760-2018")</f>
        <v/>
      </c>
      <c r="T343">
        <f>HYPERLINK("https://klasma.github.io/Logging_KALMAR/kartor/A 56760-2018.png", "A 56760-2018")</f>
        <v/>
      </c>
      <c r="V343">
        <f>HYPERLINK("https://klasma.github.io/Logging_KALMAR/klagomål/A 56760-2018.docx", "A 56760-2018")</f>
        <v/>
      </c>
      <c r="W343">
        <f>HYPERLINK("https://klasma.github.io/Logging_KALMAR/klagomålsmail/A 56760-2018.docx", "A 56760-2018")</f>
        <v/>
      </c>
      <c r="X343">
        <f>HYPERLINK("https://klasma.github.io/Logging_KALMAR/tillsyn/A 56760-2018.docx", "A 56760-2018")</f>
        <v/>
      </c>
      <c r="Y343">
        <f>HYPERLINK("https://klasma.github.io/Logging_KALMAR/tillsynsmail/A 56760-2018.docx", "A 56760-2018")</f>
        <v/>
      </c>
    </row>
    <row r="344" ht="15" customHeight="1">
      <c r="A344" t="inlineStr">
        <is>
          <t>A 57216-2018</t>
        </is>
      </c>
      <c r="B344" s="1" t="n">
        <v>43403</v>
      </c>
      <c r="C344" s="1" t="n">
        <v>45190</v>
      </c>
      <c r="D344" t="inlineStr">
        <is>
          <t>KALMAR LÄN</t>
        </is>
      </c>
      <c r="E344" t="inlineStr">
        <is>
          <t>BORGHOLM</t>
        </is>
      </c>
      <c r="G344" t="n">
        <v>0.3</v>
      </c>
      <c r="H344" t="n">
        <v>1</v>
      </c>
      <c r="I344" t="n">
        <v>0</v>
      </c>
      <c r="J344" t="n">
        <v>1</v>
      </c>
      <c r="K344" t="n">
        <v>0</v>
      </c>
      <c r="L344" t="n">
        <v>0</v>
      </c>
      <c r="M344" t="n">
        <v>0</v>
      </c>
      <c r="N344" t="n">
        <v>0</v>
      </c>
      <c r="O344" t="n">
        <v>1</v>
      </c>
      <c r="P344" t="n">
        <v>0</v>
      </c>
      <c r="Q344" t="n">
        <v>1</v>
      </c>
      <c r="R344" s="2" t="inlineStr">
        <is>
          <t>Grönsångare</t>
        </is>
      </c>
      <c r="S344">
        <f>HYPERLINK("https://klasma.github.io/Logging_BORGHOLM/artfynd/A 57216-2018.xlsx", "A 57216-2018")</f>
        <v/>
      </c>
      <c r="T344">
        <f>HYPERLINK("https://klasma.github.io/Logging_BORGHOLM/kartor/A 57216-2018.png", "A 57216-2018")</f>
        <v/>
      </c>
      <c r="V344">
        <f>HYPERLINK("https://klasma.github.io/Logging_BORGHOLM/klagomål/A 57216-2018.docx", "A 57216-2018")</f>
        <v/>
      </c>
      <c r="W344">
        <f>HYPERLINK("https://klasma.github.io/Logging_BORGHOLM/klagomålsmail/A 57216-2018.docx", "A 57216-2018")</f>
        <v/>
      </c>
      <c r="X344">
        <f>HYPERLINK("https://klasma.github.io/Logging_BORGHOLM/tillsyn/A 57216-2018.docx", "A 57216-2018")</f>
        <v/>
      </c>
      <c r="Y344">
        <f>HYPERLINK("https://klasma.github.io/Logging_BORGHOLM/tillsynsmail/A 57216-2018.docx", "A 57216-2018")</f>
        <v/>
      </c>
    </row>
    <row r="345" ht="15" customHeight="1">
      <c r="A345" t="inlineStr">
        <is>
          <t>A 59892-2018</t>
        </is>
      </c>
      <c r="B345" s="1" t="n">
        <v>43419</v>
      </c>
      <c r="C345" s="1" t="n">
        <v>45190</v>
      </c>
      <c r="D345" t="inlineStr">
        <is>
          <t>KALMAR LÄN</t>
        </is>
      </c>
      <c r="E345" t="inlineStr">
        <is>
          <t>VIMMERBY</t>
        </is>
      </c>
      <c r="G345" t="n">
        <v>2.8</v>
      </c>
      <c r="H345" t="n">
        <v>1</v>
      </c>
      <c r="I345" t="n">
        <v>0</v>
      </c>
      <c r="J345" t="n">
        <v>0</v>
      </c>
      <c r="K345" t="n">
        <v>0</v>
      </c>
      <c r="L345" t="n">
        <v>0</v>
      </c>
      <c r="M345" t="n">
        <v>0</v>
      </c>
      <c r="N345" t="n">
        <v>0</v>
      </c>
      <c r="O345" t="n">
        <v>0</v>
      </c>
      <c r="P345" t="n">
        <v>0</v>
      </c>
      <c r="Q345" t="n">
        <v>1</v>
      </c>
      <c r="R345" s="2" t="inlineStr">
        <is>
          <t>Revlummer</t>
        </is>
      </c>
      <c r="S345">
        <f>HYPERLINK("https://klasma.github.io/Logging_VIMMERBY/artfynd/A 59892-2018.xlsx", "A 59892-2018")</f>
        <v/>
      </c>
      <c r="T345">
        <f>HYPERLINK("https://klasma.github.io/Logging_VIMMERBY/kartor/A 59892-2018.png", "A 59892-2018")</f>
        <v/>
      </c>
      <c r="V345">
        <f>HYPERLINK("https://klasma.github.io/Logging_VIMMERBY/klagomål/A 59892-2018.docx", "A 59892-2018")</f>
        <v/>
      </c>
      <c r="W345">
        <f>HYPERLINK("https://klasma.github.io/Logging_VIMMERBY/klagomålsmail/A 59892-2018.docx", "A 59892-2018")</f>
        <v/>
      </c>
      <c r="X345">
        <f>HYPERLINK("https://klasma.github.io/Logging_VIMMERBY/tillsyn/A 59892-2018.docx", "A 59892-2018")</f>
        <v/>
      </c>
      <c r="Y345">
        <f>HYPERLINK("https://klasma.github.io/Logging_VIMMERBY/tillsynsmail/A 59892-2018.docx", "A 59892-2018")</f>
        <v/>
      </c>
    </row>
    <row r="346" ht="15" customHeight="1">
      <c r="A346" t="inlineStr">
        <is>
          <t>A 60463-2018</t>
        </is>
      </c>
      <c r="B346" s="1" t="n">
        <v>43420</v>
      </c>
      <c r="C346" s="1" t="n">
        <v>45190</v>
      </c>
      <c r="D346" t="inlineStr">
        <is>
          <t>KALMAR LÄN</t>
        </is>
      </c>
      <c r="E346" t="inlineStr">
        <is>
          <t>OSKARSHAMN</t>
        </is>
      </c>
      <c r="F346" t="inlineStr">
        <is>
          <t>Övriga Aktiebolag</t>
        </is>
      </c>
      <c r="G346" t="n">
        <v>9.300000000000001</v>
      </c>
      <c r="H346" t="n">
        <v>1</v>
      </c>
      <c r="I346" t="n">
        <v>0</v>
      </c>
      <c r="J346" t="n">
        <v>1</v>
      </c>
      <c r="K346" t="n">
        <v>0</v>
      </c>
      <c r="L346" t="n">
        <v>0</v>
      </c>
      <c r="M346" t="n">
        <v>0</v>
      </c>
      <c r="N346" t="n">
        <v>0</v>
      </c>
      <c r="O346" t="n">
        <v>1</v>
      </c>
      <c r="P346" t="n">
        <v>0</v>
      </c>
      <c r="Q346" t="n">
        <v>1</v>
      </c>
      <c r="R346" s="2" t="inlineStr">
        <is>
          <t>Svartvit flugsnappare</t>
        </is>
      </c>
      <c r="S346">
        <f>HYPERLINK("https://klasma.github.io/Logging_OSKARSHAMN/artfynd/A 60463-2018.xlsx", "A 60463-2018")</f>
        <v/>
      </c>
      <c r="T346">
        <f>HYPERLINK("https://klasma.github.io/Logging_OSKARSHAMN/kartor/A 60463-2018.png", "A 60463-2018")</f>
        <v/>
      </c>
      <c r="V346">
        <f>HYPERLINK("https://klasma.github.io/Logging_OSKARSHAMN/klagomål/A 60463-2018.docx", "A 60463-2018")</f>
        <v/>
      </c>
      <c r="W346">
        <f>HYPERLINK("https://klasma.github.io/Logging_OSKARSHAMN/klagomålsmail/A 60463-2018.docx", "A 60463-2018")</f>
        <v/>
      </c>
      <c r="X346">
        <f>HYPERLINK("https://klasma.github.io/Logging_OSKARSHAMN/tillsyn/A 60463-2018.docx", "A 60463-2018")</f>
        <v/>
      </c>
      <c r="Y346">
        <f>HYPERLINK("https://klasma.github.io/Logging_OSKARSHAMN/tillsynsmail/A 60463-2018.docx", "A 60463-2018")</f>
        <v/>
      </c>
    </row>
    <row r="347" ht="15" customHeight="1">
      <c r="A347" t="inlineStr">
        <is>
          <t>A 64017-2018</t>
        </is>
      </c>
      <c r="B347" s="1" t="n">
        <v>43430</v>
      </c>
      <c r="C347" s="1" t="n">
        <v>45190</v>
      </c>
      <c r="D347" t="inlineStr">
        <is>
          <t>KALMAR LÄN</t>
        </is>
      </c>
      <c r="E347" t="inlineStr">
        <is>
          <t>MÖNSTERÅS</t>
        </is>
      </c>
      <c r="F347" t="inlineStr">
        <is>
          <t>Övriga Aktiebolag</t>
        </is>
      </c>
      <c r="G347" t="n">
        <v>10.4</v>
      </c>
      <c r="H347" t="n">
        <v>1</v>
      </c>
      <c r="I347" t="n">
        <v>0</v>
      </c>
      <c r="J347" t="n">
        <v>1</v>
      </c>
      <c r="K347" t="n">
        <v>0</v>
      </c>
      <c r="L347" t="n">
        <v>0</v>
      </c>
      <c r="M347" t="n">
        <v>0</v>
      </c>
      <c r="N347" t="n">
        <v>0</v>
      </c>
      <c r="O347" t="n">
        <v>1</v>
      </c>
      <c r="P347" t="n">
        <v>0</v>
      </c>
      <c r="Q347" t="n">
        <v>1</v>
      </c>
      <c r="R347" s="2" t="inlineStr">
        <is>
          <t>Hornuggla</t>
        </is>
      </c>
      <c r="S347">
        <f>HYPERLINK("https://klasma.github.io/Logging_MONSTERAS/artfynd/A 64017-2018.xlsx", "A 64017-2018")</f>
        <v/>
      </c>
      <c r="T347">
        <f>HYPERLINK("https://klasma.github.io/Logging_MONSTERAS/kartor/A 64017-2018.png", "A 64017-2018")</f>
        <v/>
      </c>
      <c r="V347">
        <f>HYPERLINK("https://klasma.github.io/Logging_MONSTERAS/klagomål/A 64017-2018.docx", "A 64017-2018")</f>
        <v/>
      </c>
      <c r="W347">
        <f>HYPERLINK("https://klasma.github.io/Logging_MONSTERAS/klagomålsmail/A 64017-2018.docx", "A 64017-2018")</f>
        <v/>
      </c>
      <c r="X347">
        <f>HYPERLINK("https://klasma.github.io/Logging_MONSTERAS/tillsyn/A 64017-2018.docx", "A 64017-2018")</f>
        <v/>
      </c>
      <c r="Y347">
        <f>HYPERLINK("https://klasma.github.io/Logging_MONSTERAS/tillsynsmail/A 64017-2018.docx", "A 64017-2018")</f>
        <v/>
      </c>
    </row>
    <row r="348" ht="15" customHeight="1">
      <c r="A348" t="inlineStr">
        <is>
          <t>A 66856-2018</t>
        </is>
      </c>
      <c r="B348" s="1" t="n">
        <v>43438</v>
      </c>
      <c r="C348" s="1" t="n">
        <v>45190</v>
      </c>
      <c r="D348" t="inlineStr">
        <is>
          <t>KALMAR LÄN</t>
        </is>
      </c>
      <c r="E348" t="inlineStr">
        <is>
          <t>HULTSFRED</t>
        </is>
      </c>
      <c r="G348" t="n">
        <v>0.9</v>
      </c>
      <c r="H348" t="n">
        <v>0</v>
      </c>
      <c r="I348" t="n">
        <v>0</v>
      </c>
      <c r="J348" t="n">
        <v>1</v>
      </c>
      <c r="K348" t="n">
        <v>0</v>
      </c>
      <c r="L348" t="n">
        <v>0</v>
      </c>
      <c r="M348" t="n">
        <v>0</v>
      </c>
      <c r="N348" t="n">
        <v>0</v>
      </c>
      <c r="O348" t="n">
        <v>1</v>
      </c>
      <c r="P348" t="n">
        <v>0</v>
      </c>
      <c r="Q348" t="n">
        <v>1</v>
      </c>
      <c r="R348" s="2" t="inlineStr">
        <is>
          <t>Svedjenäva</t>
        </is>
      </c>
      <c r="S348">
        <f>HYPERLINK("https://klasma.github.io/Logging_HULTSFRED/artfynd/A 66856-2018.xlsx", "A 66856-2018")</f>
        <v/>
      </c>
      <c r="T348">
        <f>HYPERLINK("https://klasma.github.io/Logging_HULTSFRED/kartor/A 66856-2018.png", "A 66856-2018")</f>
        <v/>
      </c>
      <c r="V348">
        <f>HYPERLINK("https://klasma.github.io/Logging_HULTSFRED/klagomål/A 66856-2018.docx", "A 66856-2018")</f>
        <v/>
      </c>
      <c r="W348">
        <f>HYPERLINK("https://klasma.github.io/Logging_HULTSFRED/klagomålsmail/A 66856-2018.docx", "A 66856-2018")</f>
        <v/>
      </c>
      <c r="X348">
        <f>HYPERLINK("https://klasma.github.io/Logging_HULTSFRED/tillsyn/A 66856-2018.docx", "A 66856-2018")</f>
        <v/>
      </c>
      <c r="Y348">
        <f>HYPERLINK("https://klasma.github.io/Logging_HULTSFRED/tillsynsmail/A 66856-2018.docx", "A 66856-2018")</f>
        <v/>
      </c>
    </row>
    <row r="349" ht="15" customHeight="1">
      <c r="A349" t="inlineStr">
        <is>
          <t>A 69586-2018</t>
        </is>
      </c>
      <c r="B349" s="1" t="n">
        <v>43446</v>
      </c>
      <c r="C349" s="1" t="n">
        <v>45190</v>
      </c>
      <c r="D349" t="inlineStr">
        <is>
          <t>KALMAR LÄN</t>
        </is>
      </c>
      <c r="E349" t="inlineStr">
        <is>
          <t>MÖRBYLÅNGA</t>
        </is>
      </c>
      <c r="G349" t="n">
        <v>2.5</v>
      </c>
      <c r="H349" t="n">
        <v>0</v>
      </c>
      <c r="I349" t="n">
        <v>0</v>
      </c>
      <c r="J349" t="n">
        <v>0</v>
      </c>
      <c r="K349" t="n">
        <v>1</v>
      </c>
      <c r="L349" t="n">
        <v>0</v>
      </c>
      <c r="M349" t="n">
        <v>0</v>
      </c>
      <c r="N349" t="n">
        <v>0</v>
      </c>
      <c r="O349" t="n">
        <v>1</v>
      </c>
      <c r="P349" t="n">
        <v>1</v>
      </c>
      <c r="Q349" t="n">
        <v>1</v>
      </c>
      <c r="R349" s="2" t="inlineStr">
        <is>
          <t>Backsilja</t>
        </is>
      </c>
      <c r="S349">
        <f>HYPERLINK("https://klasma.github.io/Logging_MORBYLANGA/artfynd/A 69586-2018.xlsx", "A 69586-2018")</f>
        <v/>
      </c>
      <c r="T349">
        <f>HYPERLINK("https://klasma.github.io/Logging_MORBYLANGA/kartor/A 69586-2018.png", "A 69586-2018")</f>
        <v/>
      </c>
      <c r="V349">
        <f>HYPERLINK("https://klasma.github.io/Logging_MORBYLANGA/klagomål/A 69586-2018.docx", "A 69586-2018")</f>
        <v/>
      </c>
      <c r="W349">
        <f>HYPERLINK("https://klasma.github.io/Logging_MORBYLANGA/klagomålsmail/A 69586-2018.docx", "A 69586-2018")</f>
        <v/>
      </c>
      <c r="X349">
        <f>HYPERLINK("https://klasma.github.io/Logging_MORBYLANGA/tillsyn/A 69586-2018.docx", "A 69586-2018")</f>
        <v/>
      </c>
      <c r="Y349">
        <f>HYPERLINK("https://klasma.github.io/Logging_MORBYLANGA/tillsynsmail/A 69586-2018.docx", "A 69586-2018")</f>
        <v/>
      </c>
    </row>
    <row r="350" ht="15" customHeight="1">
      <c r="A350" t="inlineStr">
        <is>
          <t>A 70266-2018</t>
        </is>
      </c>
      <c r="B350" s="1" t="n">
        <v>43449</v>
      </c>
      <c r="C350" s="1" t="n">
        <v>45190</v>
      </c>
      <c r="D350" t="inlineStr">
        <is>
          <t>KALMAR LÄN</t>
        </is>
      </c>
      <c r="E350" t="inlineStr">
        <is>
          <t>NYBRO</t>
        </is>
      </c>
      <c r="G350" t="n">
        <v>1.4</v>
      </c>
      <c r="H350" t="n">
        <v>1</v>
      </c>
      <c r="I350" t="n">
        <v>0</v>
      </c>
      <c r="J350" t="n">
        <v>1</v>
      </c>
      <c r="K350" t="n">
        <v>0</v>
      </c>
      <c r="L350" t="n">
        <v>0</v>
      </c>
      <c r="M350" t="n">
        <v>0</v>
      </c>
      <c r="N350" t="n">
        <v>0</v>
      </c>
      <c r="O350" t="n">
        <v>1</v>
      </c>
      <c r="P350" t="n">
        <v>0</v>
      </c>
      <c r="Q350" t="n">
        <v>1</v>
      </c>
      <c r="R350" s="2" t="inlineStr">
        <is>
          <t>Järpe</t>
        </is>
      </c>
      <c r="S350">
        <f>HYPERLINK("https://klasma.github.io/Logging_NYBRO/artfynd/A 70266-2018.xlsx", "A 70266-2018")</f>
        <v/>
      </c>
      <c r="T350">
        <f>HYPERLINK("https://klasma.github.io/Logging_NYBRO/kartor/A 70266-2018.png", "A 70266-2018")</f>
        <v/>
      </c>
      <c r="V350">
        <f>HYPERLINK("https://klasma.github.io/Logging_NYBRO/klagomål/A 70266-2018.docx", "A 70266-2018")</f>
        <v/>
      </c>
      <c r="W350">
        <f>HYPERLINK("https://klasma.github.io/Logging_NYBRO/klagomålsmail/A 70266-2018.docx", "A 70266-2018")</f>
        <v/>
      </c>
      <c r="X350">
        <f>HYPERLINK("https://klasma.github.io/Logging_NYBRO/tillsyn/A 70266-2018.docx", "A 70266-2018")</f>
        <v/>
      </c>
      <c r="Y350">
        <f>HYPERLINK("https://klasma.github.io/Logging_NYBRO/tillsynsmail/A 70266-2018.docx", "A 70266-2018")</f>
        <v/>
      </c>
    </row>
    <row r="351" ht="15" customHeight="1">
      <c r="A351" t="inlineStr">
        <is>
          <t>A 71541-2018</t>
        </is>
      </c>
      <c r="B351" s="1" t="n">
        <v>43452</v>
      </c>
      <c r="C351" s="1" t="n">
        <v>45190</v>
      </c>
      <c r="D351" t="inlineStr">
        <is>
          <t>KALMAR LÄN</t>
        </is>
      </c>
      <c r="E351" t="inlineStr">
        <is>
          <t>EMMABODA</t>
        </is>
      </c>
      <c r="F351" t="inlineStr">
        <is>
          <t>Kommuner</t>
        </is>
      </c>
      <c r="G351" t="n">
        <v>1.6</v>
      </c>
      <c r="H351" t="n">
        <v>0</v>
      </c>
      <c r="I351" t="n">
        <v>0</v>
      </c>
      <c r="J351" t="n">
        <v>1</v>
      </c>
      <c r="K351" t="n">
        <v>0</v>
      </c>
      <c r="L351" t="n">
        <v>0</v>
      </c>
      <c r="M351" t="n">
        <v>0</v>
      </c>
      <c r="N351" t="n">
        <v>0</v>
      </c>
      <c r="O351" t="n">
        <v>1</v>
      </c>
      <c r="P351" t="n">
        <v>0</v>
      </c>
      <c r="Q351" t="n">
        <v>1</v>
      </c>
      <c r="R351" s="2" t="inlineStr">
        <is>
          <t>Åkerkål</t>
        </is>
      </c>
      <c r="S351">
        <f>HYPERLINK("https://klasma.github.io/Logging_EMMABODA/artfynd/A 71541-2018.xlsx", "A 71541-2018")</f>
        <v/>
      </c>
      <c r="T351">
        <f>HYPERLINK("https://klasma.github.io/Logging_EMMABODA/kartor/A 71541-2018.png", "A 71541-2018")</f>
        <v/>
      </c>
      <c r="V351">
        <f>HYPERLINK("https://klasma.github.io/Logging_EMMABODA/klagomål/A 71541-2018.docx", "A 71541-2018")</f>
        <v/>
      </c>
      <c r="W351">
        <f>HYPERLINK("https://klasma.github.io/Logging_EMMABODA/klagomålsmail/A 71541-2018.docx", "A 71541-2018")</f>
        <v/>
      </c>
      <c r="X351">
        <f>HYPERLINK("https://klasma.github.io/Logging_EMMABODA/tillsyn/A 71541-2018.docx", "A 71541-2018")</f>
        <v/>
      </c>
      <c r="Y351">
        <f>HYPERLINK("https://klasma.github.io/Logging_EMMABODA/tillsynsmail/A 71541-2018.docx", "A 71541-2018")</f>
        <v/>
      </c>
    </row>
    <row r="352" ht="15" customHeight="1">
      <c r="A352" t="inlineStr">
        <is>
          <t>A 1303-2019</t>
        </is>
      </c>
      <c r="B352" s="1" t="n">
        <v>43473</v>
      </c>
      <c r="C352" s="1" t="n">
        <v>45190</v>
      </c>
      <c r="D352" t="inlineStr">
        <is>
          <t>KALMAR LÄN</t>
        </is>
      </c>
      <c r="E352" t="inlineStr">
        <is>
          <t>VIMMERBY</t>
        </is>
      </c>
      <c r="G352" t="n">
        <v>4.1</v>
      </c>
      <c r="H352" t="n">
        <v>0</v>
      </c>
      <c r="I352" t="n">
        <v>0</v>
      </c>
      <c r="J352" t="n">
        <v>1</v>
      </c>
      <c r="K352" t="n">
        <v>0</v>
      </c>
      <c r="L352" t="n">
        <v>0</v>
      </c>
      <c r="M352" t="n">
        <v>0</v>
      </c>
      <c r="N352" t="n">
        <v>0</v>
      </c>
      <c r="O352" t="n">
        <v>1</v>
      </c>
      <c r="P352" t="n">
        <v>0</v>
      </c>
      <c r="Q352" t="n">
        <v>1</v>
      </c>
      <c r="R352" s="2" t="inlineStr">
        <is>
          <t>Svedjenäva</t>
        </is>
      </c>
      <c r="S352">
        <f>HYPERLINK("https://klasma.github.io/Logging_VIMMERBY/artfynd/A 1303-2019.xlsx", "A 1303-2019")</f>
        <v/>
      </c>
      <c r="T352">
        <f>HYPERLINK("https://klasma.github.io/Logging_VIMMERBY/kartor/A 1303-2019.png", "A 1303-2019")</f>
        <v/>
      </c>
      <c r="V352">
        <f>HYPERLINK("https://klasma.github.io/Logging_VIMMERBY/klagomål/A 1303-2019.docx", "A 1303-2019")</f>
        <v/>
      </c>
      <c r="W352">
        <f>HYPERLINK("https://klasma.github.io/Logging_VIMMERBY/klagomålsmail/A 1303-2019.docx", "A 1303-2019")</f>
        <v/>
      </c>
      <c r="X352">
        <f>HYPERLINK("https://klasma.github.io/Logging_VIMMERBY/tillsyn/A 1303-2019.docx", "A 1303-2019")</f>
        <v/>
      </c>
      <c r="Y352">
        <f>HYPERLINK("https://klasma.github.io/Logging_VIMMERBY/tillsynsmail/A 1303-2019.docx", "A 1303-2019")</f>
        <v/>
      </c>
    </row>
    <row r="353" ht="15" customHeight="1">
      <c r="A353" t="inlineStr">
        <is>
          <t>A 4926-2019</t>
        </is>
      </c>
      <c r="B353" s="1" t="n">
        <v>43479</v>
      </c>
      <c r="C353" s="1" t="n">
        <v>45190</v>
      </c>
      <c r="D353" t="inlineStr">
        <is>
          <t>KALMAR LÄN</t>
        </is>
      </c>
      <c r="E353" t="inlineStr">
        <is>
          <t>VÄSTERVIK</t>
        </is>
      </c>
      <c r="G353" t="n">
        <v>2.2</v>
      </c>
      <c r="H353" t="n">
        <v>1</v>
      </c>
      <c r="I353" t="n">
        <v>0</v>
      </c>
      <c r="J353" t="n">
        <v>1</v>
      </c>
      <c r="K353" t="n">
        <v>0</v>
      </c>
      <c r="L353" t="n">
        <v>0</v>
      </c>
      <c r="M353" t="n">
        <v>0</v>
      </c>
      <c r="N353" t="n">
        <v>0</v>
      </c>
      <c r="O353" t="n">
        <v>1</v>
      </c>
      <c r="P353" t="n">
        <v>0</v>
      </c>
      <c r="Q353" t="n">
        <v>1</v>
      </c>
      <c r="R353" s="2" t="inlineStr">
        <is>
          <t>Hornuggla</t>
        </is>
      </c>
      <c r="S353">
        <f>HYPERLINK("https://klasma.github.io/Logging_VASTERVIK/artfynd/A 4926-2019.xlsx", "A 4926-2019")</f>
        <v/>
      </c>
      <c r="T353">
        <f>HYPERLINK("https://klasma.github.io/Logging_VASTERVIK/kartor/A 4926-2019.png", "A 4926-2019")</f>
        <v/>
      </c>
      <c r="V353">
        <f>HYPERLINK("https://klasma.github.io/Logging_VASTERVIK/klagomål/A 4926-2019.docx", "A 4926-2019")</f>
        <v/>
      </c>
      <c r="W353">
        <f>HYPERLINK("https://klasma.github.io/Logging_VASTERVIK/klagomålsmail/A 4926-2019.docx", "A 4926-2019")</f>
        <v/>
      </c>
      <c r="X353">
        <f>HYPERLINK("https://klasma.github.io/Logging_VASTERVIK/tillsyn/A 4926-2019.docx", "A 4926-2019")</f>
        <v/>
      </c>
      <c r="Y353">
        <f>HYPERLINK("https://klasma.github.io/Logging_VASTERVIK/tillsynsmail/A 4926-2019.docx", "A 4926-2019")</f>
        <v/>
      </c>
    </row>
    <row r="354" ht="15" customHeight="1">
      <c r="A354" t="inlineStr">
        <is>
          <t>A 4365-2019</t>
        </is>
      </c>
      <c r="B354" s="1" t="n">
        <v>43483</v>
      </c>
      <c r="C354" s="1" t="n">
        <v>45190</v>
      </c>
      <c r="D354" t="inlineStr">
        <is>
          <t>KALMAR LÄN</t>
        </is>
      </c>
      <c r="E354" t="inlineStr">
        <is>
          <t>HÖGSBY</t>
        </is>
      </c>
      <c r="G354" t="n">
        <v>3.9</v>
      </c>
      <c r="H354" t="n">
        <v>1</v>
      </c>
      <c r="I354" t="n">
        <v>0</v>
      </c>
      <c r="J354" t="n">
        <v>0</v>
      </c>
      <c r="K354" t="n">
        <v>0</v>
      </c>
      <c r="L354" t="n">
        <v>0</v>
      </c>
      <c r="M354" t="n">
        <v>0</v>
      </c>
      <c r="N354" t="n">
        <v>0</v>
      </c>
      <c r="O354" t="n">
        <v>0</v>
      </c>
      <c r="P354" t="n">
        <v>0</v>
      </c>
      <c r="Q354" t="n">
        <v>1</v>
      </c>
      <c r="R354" s="2" t="inlineStr">
        <is>
          <t>Revlummer</t>
        </is>
      </c>
      <c r="S354">
        <f>HYPERLINK("https://klasma.github.io/Logging_HOGSBY/artfynd/A 4365-2019.xlsx", "A 4365-2019")</f>
        <v/>
      </c>
      <c r="T354">
        <f>HYPERLINK("https://klasma.github.io/Logging_HOGSBY/kartor/A 4365-2019.png", "A 4365-2019")</f>
        <v/>
      </c>
      <c r="V354">
        <f>HYPERLINK("https://klasma.github.io/Logging_HOGSBY/klagomål/A 4365-2019.docx", "A 4365-2019")</f>
        <v/>
      </c>
      <c r="W354">
        <f>HYPERLINK("https://klasma.github.io/Logging_HOGSBY/klagomålsmail/A 4365-2019.docx", "A 4365-2019")</f>
        <v/>
      </c>
      <c r="X354">
        <f>HYPERLINK("https://klasma.github.io/Logging_HOGSBY/tillsyn/A 4365-2019.docx", "A 4365-2019")</f>
        <v/>
      </c>
      <c r="Y354">
        <f>HYPERLINK("https://klasma.github.io/Logging_HOGSBY/tillsynsmail/A 4365-2019.docx", "A 4365-2019")</f>
        <v/>
      </c>
    </row>
    <row r="355" ht="15" customHeight="1">
      <c r="A355" t="inlineStr">
        <is>
          <t>A 4513-2019</t>
        </is>
      </c>
      <c r="B355" s="1" t="n">
        <v>43486</v>
      </c>
      <c r="C355" s="1" t="n">
        <v>45190</v>
      </c>
      <c r="D355" t="inlineStr">
        <is>
          <t>KALMAR LÄN</t>
        </is>
      </c>
      <c r="E355" t="inlineStr">
        <is>
          <t>KALMAR</t>
        </is>
      </c>
      <c r="G355" t="n">
        <v>1.7</v>
      </c>
      <c r="H355" t="n">
        <v>1</v>
      </c>
      <c r="I355" t="n">
        <v>0</v>
      </c>
      <c r="J355" t="n">
        <v>1</v>
      </c>
      <c r="K355" t="n">
        <v>0</v>
      </c>
      <c r="L355" t="n">
        <v>0</v>
      </c>
      <c r="M355" t="n">
        <v>0</v>
      </c>
      <c r="N355" t="n">
        <v>0</v>
      </c>
      <c r="O355" t="n">
        <v>1</v>
      </c>
      <c r="P355" t="n">
        <v>0</v>
      </c>
      <c r="Q355" t="n">
        <v>1</v>
      </c>
      <c r="R355" s="2" t="inlineStr">
        <is>
          <t>Utter</t>
        </is>
      </c>
      <c r="S355">
        <f>HYPERLINK("https://klasma.github.io/Logging_KALMAR/artfynd/A 4513-2019.xlsx", "A 4513-2019")</f>
        <v/>
      </c>
      <c r="T355">
        <f>HYPERLINK("https://klasma.github.io/Logging_KALMAR/kartor/A 4513-2019.png", "A 4513-2019")</f>
        <v/>
      </c>
      <c r="V355">
        <f>HYPERLINK("https://klasma.github.io/Logging_KALMAR/klagomål/A 4513-2019.docx", "A 4513-2019")</f>
        <v/>
      </c>
      <c r="W355">
        <f>HYPERLINK("https://klasma.github.io/Logging_KALMAR/klagomålsmail/A 4513-2019.docx", "A 4513-2019")</f>
        <v/>
      </c>
      <c r="X355">
        <f>HYPERLINK("https://klasma.github.io/Logging_KALMAR/tillsyn/A 4513-2019.docx", "A 4513-2019")</f>
        <v/>
      </c>
      <c r="Y355">
        <f>HYPERLINK("https://klasma.github.io/Logging_KALMAR/tillsynsmail/A 4513-2019.docx", "A 4513-2019")</f>
        <v/>
      </c>
    </row>
    <row r="356" ht="15" customHeight="1">
      <c r="A356" t="inlineStr">
        <is>
          <t>A 4895-2019</t>
        </is>
      </c>
      <c r="B356" s="1" t="n">
        <v>43487</v>
      </c>
      <c r="C356" s="1" t="n">
        <v>45190</v>
      </c>
      <c r="D356" t="inlineStr">
        <is>
          <t>KALMAR LÄN</t>
        </is>
      </c>
      <c r="E356" t="inlineStr">
        <is>
          <t>VIMMERBY</t>
        </is>
      </c>
      <c r="G356" t="n">
        <v>1.7</v>
      </c>
      <c r="H356" t="n">
        <v>0</v>
      </c>
      <c r="I356" t="n">
        <v>1</v>
      </c>
      <c r="J356" t="n">
        <v>0</v>
      </c>
      <c r="K356" t="n">
        <v>0</v>
      </c>
      <c r="L356" t="n">
        <v>0</v>
      </c>
      <c r="M356" t="n">
        <v>0</v>
      </c>
      <c r="N356" t="n">
        <v>0</v>
      </c>
      <c r="O356" t="n">
        <v>0</v>
      </c>
      <c r="P356" t="n">
        <v>0</v>
      </c>
      <c r="Q356" t="n">
        <v>1</v>
      </c>
      <c r="R356" s="2" t="inlineStr">
        <is>
          <t>Gräsull</t>
        </is>
      </c>
      <c r="S356">
        <f>HYPERLINK("https://klasma.github.io/Logging_VIMMERBY/artfynd/A 4895-2019.xlsx", "A 4895-2019")</f>
        <v/>
      </c>
      <c r="T356">
        <f>HYPERLINK("https://klasma.github.io/Logging_VIMMERBY/kartor/A 4895-2019.png", "A 4895-2019")</f>
        <v/>
      </c>
      <c r="V356">
        <f>HYPERLINK("https://klasma.github.io/Logging_VIMMERBY/klagomål/A 4895-2019.docx", "A 4895-2019")</f>
        <v/>
      </c>
      <c r="W356">
        <f>HYPERLINK("https://klasma.github.io/Logging_VIMMERBY/klagomålsmail/A 4895-2019.docx", "A 4895-2019")</f>
        <v/>
      </c>
      <c r="X356">
        <f>HYPERLINK("https://klasma.github.io/Logging_VIMMERBY/tillsyn/A 4895-2019.docx", "A 4895-2019")</f>
        <v/>
      </c>
      <c r="Y356">
        <f>HYPERLINK("https://klasma.github.io/Logging_VIMMERBY/tillsynsmail/A 4895-2019.docx", "A 4895-2019")</f>
        <v/>
      </c>
    </row>
    <row r="357" ht="15" customHeight="1">
      <c r="A357" t="inlineStr">
        <is>
          <t>A 6325-2019</t>
        </is>
      </c>
      <c r="B357" s="1" t="n">
        <v>43493</v>
      </c>
      <c r="C357" s="1" t="n">
        <v>45190</v>
      </c>
      <c r="D357" t="inlineStr">
        <is>
          <t>KALMAR LÄN</t>
        </is>
      </c>
      <c r="E357" t="inlineStr">
        <is>
          <t>HULTSFRED</t>
        </is>
      </c>
      <c r="F357" t="inlineStr">
        <is>
          <t>Sveaskog</t>
        </is>
      </c>
      <c r="G357" t="n">
        <v>2.9</v>
      </c>
      <c r="H357" t="n">
        <v>1</v>
      </c>
      <c r="I357" t="n">
        <v>0</v>
      </c>
      <c r="J357" t="n">
        <v>0</v>
      </c>
      <c r="K357" t="n">
        <v>0</v>
      </c>
      <c r="L357" t="n">
        <v>0</v>
      </c>
      <c r="M357" t="n">
        <v>0</v>
      </c>
      <c r="N357" t="n">
        <v>0</v>
      </c>
      <c r="O357" t="n">
        <v>0</v>
      </c>
      <c r="P357" t="n">
        <v>0</v>
      </c>
      <c r="Q357" t="n">
        <v>1</v>
      </c>
      <c r="R357" s="2" t="inlineStr">
        <is>
          <t>Vanlig padda</t>
        </is>
      </c>
      <c r="S357">
        <f>HYPERLINK("https://klasma.github.io/Logging_HULTSFRED/artfynd/A 6325-2019.xlsx", "A 6325-2019")</f>
        <v/>
      </c>
      <c r="T357">
        <f>HYPERLINK("https://klasma.github.io/Logging_HULTSFRED/kartor/A 6325-2019.png", "A 6325-2019")</f>
        <v/>
      </c>
      <c r="V357">
        <f>HYPERLINK("https://klasma.github.io/Logging_HULTSFRED/klagomål/A 6325-2019.docx", "A 6325-2019")</f>
        <v/>
      </c>
      <c r="W357">
        <f>HYPERLINK("https://klasma.github.io/Logging_HULTSFRED/klagomålsmail/A 6325-2019.docx", "A 6325-2019")</f>
        <v/>
      </c>
      <c r="X357">
        <f>HYPERLINK("https://klasma.github.io/Logging_HULTSFRED/tillsyn/A 6325-2019.docx", "A 6325-2019")</f>
        <v/>
      </c>
      <c r="Y357">
        <f>HYPERLINK("https://klasma.github.io/Logging_HULTSFRED/tillsynsmail/A 6325-2019.docx", "A 6325-2019")</f>
        <v/>
      </c>
    </row>
    <row r="358" ht="15" customHeight="1">
      <c r="A358" t="inlineStr">
        <is>
          <t>A 6089-2019</t>
        </is>
      </c>
      <c r="B358" s="1" t="n">
        <v>43493</v>
      </c>
      <c r="C358" s="1" t="n">
        <v>45190</v>
      </c>
      <c r="D358" t="inlineStr">
        <is>
          <t>KALMAR LÄN</t>
        </is>
      </c>
      <c r="E358" t="inlineStr">
        <is>
          <t>MÖRBYLÅNGA</t>
        </is>
      </c>
      <c r="G358" t="n">
        <v>0.8</v>
      </c>
      <c r="H358" t="n">
        <v>1</v>
      </c>
      <c r="I358" t="n">
        <v>0</v>
      </c>
      <c r="J358" t="n">
        <v>0</v>
      </c>
      <c r="K358" t="n">
        <v>0</v>
      </c>
      <c r="L358" t="n">
        <v>0</v>
      </c>
      <c r="M358" t="n">
        <v>0</v>
      </c>
      <c r="N358" t="n">
        <v>0</v>
      </c>
      <c r="O358" t="n">
        <v>0</v>
      </c>
      <c r="P358" t="n">
        <v>0</v>
      </c>
      <c r="Q358" t="n">
        <v>1</v>
      </c>
      <c r="R358" s="2" t="inlineStr">
        <is>
          <t>Johannesnycklar</t>
        </is>
      </c>
      <c r="S358">
        <f>HYPERLINK("https://klasma.github.io/Logging_MORBYLANGA/artfynd/A 6089-2019.xlsx", "A 6089-2019")</f>
        <v/>
      </c>
      <c r="T358">
        <f>HYPERLINK("https://klasma.github.io/Logging_MORBYLANGA/kartor/A 6089-2019.png", "A 6089-2019")</f>
        <v/>
      </c>
      <c r="V358">
        <f>HYPERLINK("https://klasma.github.io/Logging_MORBYLANGA/klagomål/A 6089-2019.docx", "A 6089-2019")</f>
        <v/>
      </c>
      <c r="W358">
        <f>HYPERLINK("https://klasma.github.io/Logging_MORBYLANGA/klagomålsmail/A 6089-2019.docx", "A 6089-2019")</f>
        <v/>
      </c>
      <c r="X358">
        <f>HYPERLINK("https://klasma.github.io/Logging_MORBYLANGA/tillsyn/A 6089-2019.docx", "A 6089-2019")</f>
        <v/>
      </c>
      <c r="Y358">
        <f>HYPERLINK("https://klasma.github.io/Logging_MORBYLANGA/tillsynsmail/A 6089-2019.docx", "A 6089-2019")</f>
        <v/>
      </c>
    </row>
    <row r="359" ht="15" customHeight="1">
      <c r="A359" t="inlineStr">
        <is>
          <t>A 6492-2019</t>
        </is>
      </c>
      <c r="B359" s="1" t="n">
        <v>43494</v>
      </c>
      <c r="C359" s="1" t="n">
        <v>45190</v>
      </c>
      <c r="D359" t="inlineStr">
        <is>
          <t>KALMAR LÄN</t>
        </is>
      </c>
      <c r="E359" t="inlineStr">
        <is>
          <t>TORSÅS</t>
        </is>
      </c>
      <c r="G359" t="n">
        <v>3.7</v>
      </c>
      <c r="H359" t="n">
        <v>1</v>
      </c>
      <c r="I359" t="n">
        <v>0</v>
      </c>
      <c r="J359" t="n">
        <v>1</v>
      </c>
      <c r="K359" t="n">
        <v>0</v>
      </c>
      <c r="L359" t="n">
        <v>0</v>
      </c>
      <c r="M359" t="n">
        <v>0</v>
      </c>
      <c r="N359" t="n">
        <v>0</v>
      </c>
      <c r="O359" t="n">
        <v>1</v>
      </c>
      <c r="P359" t="n">
        <v>0</v>
      </c>
      <c r="Q359" t="n">
        <v>1</v>
      </c>
      <c r="R359" s="2" t="inlineStr">
        <is>
          <t>Långbensgroda</t>
        </is>
      </c>
      <c r="S359">
        <f>HYPERLINK("https://klasma.github.io/Logging_TORSAS/artfynd/A 6492-2019.xlsx", "A 6492-2019")</f>
        <v/>
      </c>
      <c r="T359">
        <f>HYPERLINK("https://klasma.github.io/Logging_TORSAS/kartor/A 6492-2019.png", "A 6492-2019")</f>
        <v/>
      </c>
      <c r="V359">
        <f>HYPERLINK("https://klasma.github.io/Logging_TORSAS/klagomål/A 6492-2019.docx", "A 6492-2019")</f>
        <v/>
      </c>
      <c r="W359">
        <f>HYPERLINK("https://klasma.github.io/Logging_TORSAS/klagomålsmail/A 6492-2019.docx", "A 6492-2019")</f>
        <v/>
      </c>
      <c r="X359">
        <f>HYPERLINK("https://klasma.github.io/Logging_TORSAS/tillsyn/A 6492-2019.docx", "A 6492-2019")</f>
        <v/>
      </c>
      <c r="Y359">
        <f>HYPERLINK("https://klasma.github.io/Logging_TORSAS/tillsynsmail/A 6492-2019.docx", "A 6492-2019")</f>
        <v/>
      </c>
    </row>
    <row r="360" ht="15" customHeight="1">
      <c r="A360" t="inlineStr">
        <is>
          <t>A 9969-2019</t>
        </is>
      </c>
      <c r="B360" s="1" t="n">
        <v>43509</v>
      </c>
      <c r="C360" s="1" t="n">
        <v>45190</v>
      </c>
      <c r="D360" t="inlineStr">
        <is>
          <t>KALMAR LÄN</t>
        </is>
      </c>
      <c r="E360" t="inlineStr">
        <is>
          <t>MÖRBYLÅNGA</t>
        </is>
      </c>
      <c r="G360" t="n">
        <v>1.5</v>
      </c>
      <c r="H360" t="n">
        <v>0</v>
      </c>
      <c r="I360" t="n">
        <v>0</v>
      </c>
      <c r="J360" t="n">
        <v>0</v>
      </c>
      <c r="K360" t="n">
        <v>1</v>
      </c>
      <c r="L360" t="n">
        <v>0</v>
      </c>
      <c r="M360" t="n">
        <v>0</v>
      </c>
      <c r="N360" t="n">
        <v>0</v>
      </c>
      <c r="O360" t="n">
        <v>1</v>
      </c>
      <c r="P360" t="n">
        <v>1</v>
      </c>
      <c r="Q360" t="n">
        <v>1</v>
      </c>
      <c r="R360" s="2" t="inlineStr">
        <is>
          <t>Sammetsmusseron</t>
        </is>
      </c>
      <c r="S360">
        <f>HYPERLINK("https://klasma.github.io/Logging_MORBYLANGA/artfynd/A 9969-2019.xlsx", "A 9969-2019")</f>
        <v/>
      </c>
      <c r="T360">
        <f>HYPERLINK("https://klasma.github.io/Logging_MORBYLANGA/kartor/A 9969-2019.png", "A 9969-2019")</f>
        <v/>
      </c>
      <c r="V360">
        <f>HYPERLINK("https://klasma.github.io/Logging_MORBYLANGA/klagomål/A 9969-2019.docx", "A 9969-2019")</f>
        <v/>
      </c>
      <c r="W360">
        <f>HYPERLINK("https://klasma.github.io/Logging_MORBYLANGA/klagomålsmail/A 9969-2019.docx", "A 9969-2019")</f>
        <v/>
      </c>
      <c r="X360">
        <f>HYPERLINK("https://klasma.github.io/Logging_MORBYLANGA/tillsyn/A 9969-2019.docx", "A 9969-2019")</f>
        <v/>
      </c>
      <c r="Y360">
        <f>HYPERLINK("https://klasma.github.io/Logging_MORBYLANGA/tillsynsmail/A 9969-2019.docx", "A 9969-2019")</f>
        <v/>
      </c>
    </row>
    <row r="361" ht="15" customHeight="1">
      <c r="A361" t="inlineStr">
        <is>
          <t>A 10741-2019</t>
        </is>
      </c>
      <c r="B361" s="1" t="n">
        <v>43514</v>
      </c>
      <c r="C361" s="1" t="n">
        <v>45190</v>
      </c>
      <c r="D361" t="inlineStr">
        <is>
          <t>KALMAR LÄN</t>
        </is>
      </c>
      <c r="E361" t="inlineStr">
        <is>
          <t>VÄSTERVIK</t>
        </is>
      </c>
      <c r="F361" t="inlineStr">
        <is>
          <t>Holmen skog AB</t>
        </is>
      </c>
      <c r="G361" t="n">
        <v>3.3</v>
      </c>
      <c r="H361" t="n">
        <v>0</v>
      </c>
      <c r="I361" t="n">
        <v>0</v>
      </c>
      <c r="J361" t="n">
        <v>1</v>
      </c>
      <c r="K361" t="n">
        <v>0</v>
      </c>
      <c r="L361" t="n">
        <v>0</v>
      </c>
      <c r="M361" t="n">
        <v>0</v>
      </c>
      <c r="N361" t="n">
        <v>0</v>
      </c>
      <c r="O361" t="n">
        <v>1</v>
      </c>
      <c r="P361" t="n">
        <v>0</v>
      </c>
      <c r="Q361" t="n">
        <v>1</v>
      </c>
      <c r="R361" s="2" t="inlineStr">
        <is>
          <t>Tallticka</t>
        </is>
      </c>
      <c r="S361">
        <f>HYPERLINK("https://klasma.github.io/Logging_VASTERVIK/artfynd/A 10741-2019.xlsx", "A 10741-2019")</f>
        <v/>
      </c>
      <c r="T361">
        <f>HYPERLINK("https://klasma.github.io/Logging_VASTERVIK/kartor/A 10741-2019.png", "A 10741-2019")</f>
        <v/>
      </c>
      <c r="U361">
        <f>HYPERLINK("https://klasma.github.io/Logging_VASTERVIK/knärot/A 10741-2019.png", "A 10741-2019")</f>
        <v/>
      </c>
      <c r="V361">
        <f>HYPERLINK("https://klasma.github.io/Logging_VASTERVIK/klagomål/A 10741-2019.docx", "A 10741-2019")</f>
        <v/>
      </c>
      <c r="W361">
        <f>HYPERLINK("https://klasma.github.io/Logging_VASTERVIK/klagomålsmail/A 10741-2019.docx", "A 10741-2019")</f>
        <v/>
      </c>
      <c r="X361">
        <f>HYPERLINK("https://klasma.github.io/Logging_VASTERVIK/tillsyn/A 10741-2019.docx", "A 10741-2019")</f>
        <v/>
      </c>
      <c r="Y361">
        <f>HYPERLINK("https://klasma.github.io/Logging_VASTERVIK/tillsynsmail/A 10741-2019.docx", "A 10741-2019")</f>
        <v/>
      </c>
    </row>
    <row r="362" ht="15" customHeight="1">
      <c r="A362" t="inlineStr">
        <is>
          <t>A 12140-2019</t>
        </is>
      </c>
      <c r="B362" s="1" t="n">
        <v>43521</v>
      </c>
      <c r="C362" s="1" t="n">
        <v>45190</v>
      </c>
      <c r="D362" t="inlineStr">
        <is>
          <t>KALMAR LÄN</t>
        </is>
      </c>
      <c r="E362" t="inlineStr">
        <is>
          <t>NYBRO</t>
        </is>
      </c>
      <c r="G362" t="n">
        <v>20.9</v>
      </c>
      <c r="H362" t="n">
        <v>0</v>
      </c>
      <c r="I362" t="n">
        <v>0</v>
      </c>
      <c r="J362" t="n">
        <v>0</v>
      </c>
      <c r="K362" t="n">
        <v>1</v>
      </c>
      <c r="L362" t="n">
        <v>0</v>
      </c>
      <c r="M362" t="n">
        <v>0</v>
      </c>
      <c r="N362" t="n">
        <v>0</v>
      </c>
      <c r="O362" t="n">
        <v>1</v>
      </c>
      <c r="P362" t="n">
        <v>1</v>
      </c>
      <c r="Q362" t="n">
        <v>1</v>
      </c>
      <c r="R362" s="2" t="inlineStr">
        <is>
          <t>Hjärtstilla</t>
        </is>
      </c>
      <c r="S362">
        <f>HYPERLINK("https://klasma.github.io/Logging_NYBRO/artfynd/A 12140-2019.xlsx", "A 12140-2019")</f>
        <v/>
      </c>
      <c r="T362">
        <f>HYPERLINK("https://klasma.github.io/Logging_NYBRO/kartor/A 12140-2019.png", "A 12140-2019")</f>
        <v/>
      </c>
      <c r="V362">
        <f>HYPERLINK("https://klasma.github.io/Logging_NYBRO/klagomål/A 12140-2019.docx", "A 12140-2019")</f>
        <v/>
      </c>
      <c r="W362">
        <f>HYPERLINK("https://klasma.github.io/Logging_NYBRO/klagomålsmail/A 12140-2019.docx", "A 12140-2019")</f>
        <v/>
      </c>
      <c r="X362">
        <f>HYPERLINK("https://klasma.github.io/Logging_NYBRO/tillsyn/A 12140-2019.docx", "A 12140-2019")</f>
        <v/>
      </c>
      <c r="Y362">
        <f>HYPERLINK("https://klasma.github.io/Logging_NYBRO/tillsynsmail/A 12140-2019.docx", "A 12140-2019")</f>
        <v/>
      </c>
    </row>
    <row r="363" ht="15" customHeight="1">
      <c r="A363" t="inlineStr">
        <is>
          <t>A 13362-2019</t>
        </is>
      </c>
      <c r="B363" s="1" t="n">
        <v>43529</v>
      </c>
      <c r="C363" s="1" t="n">
        <v>45190</v>
      </c>
      <c r="D363" t="inlineStr">
        <is>
          <t>KALMAR LÄN</t>
        </is>
      </c>
      <c r="E363" t="inlineStr">
        <is>
          <t>HÖGSBY</t>
        </is>
      </c>
      <c r="G363" t="n">
        <v>5.7</v>
      </c>
      <c r="H363" t="n">
        <v>1</v>
      </c>
      <c r="I363" t="n">
        <v>0</v>
      </c>
      <c r="J363" t="n">
        <v>0</v>
      </c>
      <c r="K363" t="n">
        <v>0</v>
      </c>
      <c r="L363" t="n">
        <v>0</v>
      </c>
      <c r="M363" t="n">
        <v>0</v>
      </c>
      <c r="N363" t="n">
        <v>0</v>
      </c>
      <c r="O363" t="n">
        <v>0</v>
      </c>
      <c r="P363" t="n">
        <v>0</v>
      </c>
      <c r="Q363" t="n">
        <v>1</v>
      </c>
      <c r="R363" s="2" t="inlineStr">
        <is>
          <t>Blåsippa</t>
        </is>
      </c>
      <c r="S363">
        <f>HYPERLINK("https://klasma.github.io/Logging_HOGSBY/artfynd/A 13362-2019.xlsx", "A 13362-2019")</f>
        <v/>
      </c>
      <c r="T363">
        <f>HYPERLINK("https://klasma.github.io/Logging_HOGSBY/kartor/A 13362-2019.png", "A 13362-2019")</f>
        <v/>
      </c>
      <c r="V363">
        <f>HYPERLINK("https://klasma.github.io/Logging_HOGSBY/klagomål/A 13362-2019.docx", "A 13362-2019")</f>
        <v/>
      </c>
      <c r="W363">
        <f>HYPERLINK("https://klasma.github.io/Logging_HOGSBY/klagomålsmail/A 13362-2019.docx", "A 13362-2019")</f>
        <v/>
      </c>
      <c r="X363">
        <f>HYPERLINK("https://klasma.github.io/Logging_HOGSBY/tillsyn/A 13362-2019.docx", "A 13362-2019")</f>
        <v/>
      </c>
      <c r="Y363">
        <f>HYPERLINK("https://klasma.github.io/Logging_HOGSBY/tillsynsmail/A 13362-2019.docx", "A 13362-2019")</f>
        <v/>
      </c>
    </row>
    <row r="364" ht="15" customHeight="1">
      <c r="A364" t="inlineStr">
        <is>
          <t>A 13783-2019</t>
        </is>
      </c>
      <c r="B364" s="1" t="n">
        <v>43531</v>
      </c>
      <c r="C364" s="1" t="n">
        <v>45190</v>
      </c>
      <c r="D364" t="inlineStr">
        <is>
          <t>KALMAR LÄN</t>
        </is>
      </c>
      <c r="E364" t="inlineStr">
        <is>
          <t>KALMAR</t>
        </is>
      </c>
      <c r="G364" t="n">
        <v>1.7</v>
      </c>
      <c r="H364" t="n">
        <v>1</v>
      </c>
      <c r="I364" t="n">
        <v>0</v>
      </c>
      <c r="J364" t="n">
        <v>0</v>
      </c>
      <c r="K364" t="n">
        <v>0</v>
      </c>
      <c r="L364" t="n">
        <v>0</v>
      </c>
      <c r="M364" t="n">
        <v>0</v>
      </c>
      <c r="N364" t="n">
        <v>0</v>
      </c>
      <c r="O364" t="n">
        <v>0</v>
      </c>
      <c r="P364" t="n">
        <v>0</v>
      </c>
      <c r="Q364" t="n">
        <v>1</v>
      </c>
      <c r="R364" s="2" t="inlineStr">
        <is>
          <t>Blåsippa</t>
        </is>
      </c>
      <c r="S364">
        <f>HYPERLINK("https://klasma.github.io/Logging_KALMAR/artfynd/A 13783-2019.xlsx", "A 13783-2019")</f>
        <v/>
      </c>
      <c r="T364">
        <f>HYPERLINK("https://klasma.github.io/Logging_KALMAR/kartor/A 13783-2019.png", "A 13783-2019")</f>
        <v/>
      </c>
      <c r="V364">
        <f>HYPERLINK("https://klasma.github.io/Logging_KALMAR/klagomål/A 13783-2019.docx", "A 13783-2019")</f>
        <v/>
      </c>
      <c r="W364">
        <f>HYPERLINK("https://klasma.github.io/Logging_KALMAR/klagomålsmail/A 13783-2019.docx", "A 13783-2019")</f>
        <v/>
      </c>
      <c r="X364">
        <f>HYPERLINK("https://klasma.github.io/Logging_KALMAR/tillsyn/A 13783-2019.docx", "A 13783-2019")</f>
        <v/>
      </c>
      <c r="Y364">
        <f>HYPERLINK("https://klasma.github.io/Logging_KALMAR/tillsynsmail/A 13783-2019.docx", "A 13783-2019")</f>
        <v/>
      </c>
    </row>
    <row r="365" ht="15" customHeight="1">
      <c r="A365" t="inlineStr">
        <is>
          <t>A 15043-2019</t>
        </is>
      </c>
      <c r="B365" s="1" t="n">
        <v>43538</v>
      </c>
      <c r="C365" s="1" t="n">
        <v>45190</v>
      </c>
      <c r="D365" t="inlineStr">
        <is>
          <t>KALMAR LÄN</t>
        </is>
      </c>
      <c r="E365" t="inlineStr">
        <is>
          <t>VÄSTERVIK</t>
        </is>
      </c>
      <c r="G365" t="n">
        <v>10.2</v>
      </c>
      <c r="H365" t="n">
        <v>0</v>
      </c>
      <c r="I365" t="n">
        <v>0</v>
      </c>
      <c r="J365" t="n">
        <v>0</v>
      </c>
      <c r="K365" t="n">
        <v>1</v>
      </c>
      <c r="L365" t="n">
        <v>0</v>
      </c>
      <c r="M365" t="n">
        <v>0</v>
      </c>
      <c r="N365" t="n">
        <v>0</v>
      </c>
      <c r="O365" t="n">
        <v>1</v>
      </c>
      <c r="P365" t="n">
        <v>1</v>
      </c>
      <c r="Q365" t="n">
        <v>1</v>
      </c>
      <c r="R365" s="2" t="inlineStr">
        <is>
          <t>Slåttergubbe</t>
        </is>
      </c>
      <c r="S365">
        <f>HYPERLINK("https://klasma.github.io/Logging_VASTERVIK/artfynd/A 15043-2019.xlsx", "A 15043-2019")</f>
        <v/>
      </c>
      <c r="T365">
        <f>HYPERLINK("https://klasma.github.io/Logging_VASTERVIK/kartor/A 15043-2019.png", "A 15043-2019")</f>
        <v/>
      </c>
      <c r="V365">
        <f>HYPERLINK("https://klasma.github.io/Logging_VASTERVIK/klagomål/A 15043-2019.docx", "A 15043-2019")</f>
        <v/>
      </c>
      <c r="W365">
        <f>HYPERLINK("https://klasma.github.io/Logging_VASTERVIK/klagomålsmail/A 15043-2019.docx", "A 15043-2019")</f>
        <v/>
      </c>
      <c r="X365">
        <f>HYPERLINK("https://klasma.github.io/Logging_VASTERVIK/tillsyn/A 15043-2019.docx", "A 15043-2019")</f>
        <v/>
      </c>
      <c r="Y365">
        <f>HYPERLINK("https://klasma.github.io/Logging_VASTERVIK/tillsynsmail/A 15043-2019.docx", "A 15043-2019")</f>
        <v/>
      </c>
    </row>
    <row r="366" ht="15" customHeight="1">
      <c r="A366" t="inlineStr">
        <is>
          <t>A 16334-2019</t>
        </is>
      </c>
      <c r="B366" s="1" t="n">
        <v>43545</v>
      </c>
      <c r="C366" s="1" t="n">
        <v>45190</v>
      </c>
      <c r="D366" t="inlineStr">
        <is>
          <t>KALMAR LÄN</t>
        </is>
      </c>
      <c r="E366" t="inlineStr">
        <is>
          <t>NYBRO</t>
        </is>
      </c>
      <c r="G366" t="n">
        <v>6</v>
      </c>
      <c r="H366" t="n">
        <v>0</v>
      </c>
      <c r="I366" t="n">
        <v>1</v>
      </c>
      <c r="J366" t="n">
        <v>0</v>
      </c>
      <c r="K366" t="n">
        <v>0</v>
      </c>
      <c r="L366" t="n">
        <v>0</v>
      </c>
      <c r="M366" t="n">
        <v>0</v>
      </c>
      <c r="N366" t="n">
        <v>0</v>
      </c>
      <c r="O366" t="n">
        <v>0</v>
      </c>
      <c r="P366" t="n">
        <v>0</v>
      </c>
      <c r="Q366" t="n">
        <v>1</v>
      </c>
      <c r="R366" s="2" t="inlineStr">
        <is>
          <t>Vätteros</t>
        </is>
      </c>
      <c r="S366">
        <f>HYPERLINK("https://klasma.github.io/Logging_NYBRO/artfynd/A 16334-2019.xlsx", "A 16334-2019")</f>
        <v/>
      </c>
      <c r="T366">
        <f>HYPERLINK("https://klasma.github.io/Logging_NYBRO/kartor/A 16334-2019.png", "A 16334-2019")</f>
        <v/>
      </c>
      <c r="V366">
        <f>HYPERLINK("https://klasma.github.io/Logging_NYBRO/klagomål/A 16334-2019.docx", "A 16334-2019")</f>
        <v/>
      </c>
      <c r="W366">
        <f>HYPERLINK("https://klasma.github.io/Logging_NYBRO/klagomålsmail/A 16334-2019.docx", "A 16334-2019")</f>
        <v/>
      </c>
      <c r="X366">
        <f>HYPERLINK("https://klasma.github.io/Logging_NYBRO/tillsyn/A 16334-2019.docx", "A 16334-2019")</f>
        <v/>
      </c>
      <c r="Y366">
        <f>HYPERLINK("https://klasma.github.io/Logging_NYBRO/tillsynsmail/A 16334-2019.docx", "A 16334-2019")</f>
        <v/>
      </c>
    </row>
    <row r="367" ht="15" customHeight="1">
      <c r="A367" t="inlineStr">
        <is>
          <t>A 16332-2019</t>
        </is>
      </c>
      <c r="B367" s="1" t="n">
        <v>43545</v>
      </c>
      <c r="C367" s="1" t="n">
        <v>45190</v>
      </c>
      <c r="D367" t="inlineStr">
        <is>
          <t>KALMAR LÄN</t>
        </is>
      </c>
      <c r="E367" t="inlineStr">
        <is>
          <t>HULTSFRED</t>
        </is>
      </c>
      <c r="G367" t="n">
        <v>3.2</v>
      </c>
      <c r="H367" t="n">
        <v>0</v>
      </c>
      <c r="I367" t="n">
        <v>0</v>
      </c>
      <c r="J367" t="n">
        <v>1</v>
      </c>
      <c r="K367" t="n">
        <v>0</v>
      </c>
      <c r="L367" t="n">
        <v>0</v>
      </c>
      <c r="M367" t="n">
        <v>0</v>
      </c>
      <c r="N367" t="n">
        <v>0</v>
      </c>
      <c r="O367" t="n">
        <v>1</v>
      </c>
      <c r="P367" t="n">
        <v>0</v>
      </c>
      <c r="Q367" t="n">
        <v>1</v>
      </c>
      <c r="R367" s="2" t="inlineStr">
        <is>
          <t>Svinrot</t>
        </is>
      </c>
      <c r="S367">
        <f>HYPERLINK("https://klasma.github.io/Logging_HULTSFRED/artfynd/A 16332-2019.xlsx", "A 16332-2019")</f>
        <v/>
      </c>
      <c r="T367">
        <f>HYPERLINK("https://klasma.github.io/Logging_HULTSFRED/kartor/A 16332-2019.png", "A 16332-2019")</f>
        <v/>
      </c>
      <c r="V367">
        <f>HYPERLINK("https://klasma.github.io/Logging_HULTSFRED/klagomål/A 16332-2019.docx", "A 16332-2019")</f>
        <v/>
      </c>
      <c r="W367">
        <f>HYPERLINK("https://klasma.github.io/Logging_HULTSFRED/klagomålsmail/A 16332-2019.docx", "A 16332-2019")</f>
        <v/>
      </c>
      <c r="X367">
        <f>HYPERLINK("https://klasma.github.io/Logging_HULTSFRED/tillsyn/A 16332-2019.docx", "A 16332-2019")</f>
        <v/>
      </c>
      <c r="Y367">
        <f>HYPERLINK("https://klasma.github.io/Logging_HULTSFRED/tillsynsmail/A 16332-2019.docx", "A 16332-2019")</f>
        <v/>
      </c>
    </row>
    <row r="368" ht="15" customHeight="1">
      <c r="A368" t="inlineStr">
        <is>
          <t>A 17819-2019</t>
        </is>
      </c>
      <c r="B368" s="1" t="n">
        <v>43556</v>
      </c>
      <c r="C368" s="1" t="n">
        <v>45190</v>
      </c>
      <c r="D368" t="inlineStr">
        <is>
          <t>KALMAR LÄN</t>
        </is>
      </c>
      <c r="E368" t="inlineStr">
        <is>
          <t>NYBRO</t>
        </is>
      </c>
      <c r="G368" t="n">
        <v>3.8</v>
      </c>
      <c r="H368" t="n">
        <v>0</v>
      </c>
      <c r="I368" t="n">
        <v>1</v>
      </c>
      <c r="J368" t="n">
        <v>0</v>
      </c>
      <c r="K368" t="n">
        <v>0</v>
      </c>
      <c r="L368" t="n">
        <v>0</v>
      </c>
      <c r="M368" t="n">
        <v>0</v>
      </c>
      <c r="N368" t="n">
        <v>0</v>
      </c>
      <c r="O368" t="n">
        <v>0</v>
      </c>
      <c r="P368" t="n">
        <v>0</v>
      </c>
      <c r="Q368" t="n">
        <v>1</v>
      </c>
      <c r="R368" s="2" t="inlineStr">
        <is>
          <t>Sårläka</t>
        </is>
      </c>
      <c r="S368">
        <f>HYPERLINK("https://klasma.github.io/Logging_NYBRO/artfynd/A 17819-2019.xlsx", "A 17819-2019")</f>
        <v/>
      </c>
      <c r="T368">
        <f>HYPERLINK("https://klasma.github.io/Logging_NYBRO/kartor/A 17819-2019.png", "A 17819-2019")</f>
        <v/>
      </c>
      <c r="V368">
        <f>HYPERLINK("https://klasma.github.io/Logging_NYBRO/klagomål/A 17819-2019.docx", "A 17819-2019")</f>
        <v/>
      </c>
      <c r="W368">
        <f>HYPERLINK("https://klasma.github.io/Logging_NYBRO/klagomålsmail/A 17819-2019.docx", "A 17819-2019")</f>
        <v/>
      </c>
      <c r="X368">
        <f>HYPERLINK("https://klasma.github.io/Logging_NYBRO/tillsyn/A 17819-2019.docx", "A 17819-2019")</f>
        <v/>
      </c>
      <c r="Y368">
        <f>HYPERLINK("https://klasma.github.io/Logging_NYBRO/tillsynsmail/A 17819-2019.docx", "A 17819-2019")</f>
        <v/>
      </c>
    </row>
    <row r="369" ht="15" customHeight="1">
      <c r="A369" t="inlineStr">
        <is>
          <t>A 18650-2019</t>
        </is>
      </c>
      <c r="B369" s="1" t="n">
        <v>43559</v>
      </c>
      <c r="C369" s="1" t="n">
        <v>45190</v>
      </c>
      <c r="D369" t="inlineStr">
        <is>
          <t>KALMAR LÄN</t>
        </is>
      </c>
      <c r="E369" t="inlineStr">
        <is>
          <t>NYBRO</t>
        </is>
      </c>
      <c r="G369" t="n">
        <v>4.2</v>
      </c>
      <c r="H369" t="n">
        <v>0</v>
      </c>
      <c r="I369" t="n">
        <v>1</v>
      </c>
      <c r="J369" t="n">
        <v>0</v>
      </c>
      <c r="K369" t="n">
        <v>0</v>
      </c>
      <c r="L369" t="n">
        <v>0</v>
      </c>
      <c r="M369" t="n">
        <v>0</v>
      </c>
      <c r="N369" t="n">
        <v>0</v>
      </c>
      <c r="O369" t="n">
        <v>0</v>
      </c>
      <c r="P369" t="n">
        <v>0</v>
      </c>
      <c r="Q369" t="n">
        <v>1</v>
      </c>
      <c r="R369" s="2" t="inlineStr">
        <is>
          <t>Blåmossa</t>
        </is>
      </c>
      <c r="S369">
        <f>HYPERLINK("https://klasma.github.io/Logging_NYBRO/artfynd/A 18650-2019.xlsx", "A 18650-2019")</f>
        <v/>
      </c>
      <c r="T369">
        <f>HYPERLINK("https://klasma.github.io/Logging_NYBRO/kartor/A 18650-2019.png", "A 18650-2019")</f>
        <v/>
      </c>
      <c r="V369">
        <f>HYPERLINK("https://klasma.github.io/Logging_NYBRO/klagomål/A 18650-2019.docx", "A 18650-2019")</f>
        <v/>
      </c>
      <c r="W369">
        <f>HYPERLINK("https://klasma.github.io/Logging_NYBRO/klagomålsmail/A 18650-2019.docx", "A 18650-2019")</f>
        <v/>
      </c>
      <c r="X369">
        <f>HYPERLINK("https://klasma.github.io/Logging_NYBRO/tillsyn/A 18650-2019.docx", "A 18650-2019")</f>
        <v/>
      </c>
      <c r="Y369">
        <f>HYPERLINK("https://klasma.github.io/Logging_NYBRO/tillsynsmail/A 18650-2019.docx", "A 18650-2019")</f>
        <v/>
      </c>
    </row>
    <row r="370" ht="15" customHeight="1">
      <c r="A370" t="inlineStr">
        <is>
          <t>A 19055-2019</t>
        </is>
      </c>
      <c r="B370" s="1" t="n">
        <v>43563</v>
      </c>
      <c r="C370" s="1" t="n">
        <v>45190</v>
      </c>
      <c r="D370" t="inlineStr">
        <is>
          <t>KALMAR LÄN</t>
        </is>
      </c>
      <c r="E370" t="inlineStr">
        <is>
          <t>VIMMERBY</t>
        </is>
      </c>
      <c r="G370" t="n">
        <v>1</v>
      </c>
      <c r="H370" t="n">
        <v>1</v>
      </c>
      <c r="I370" t="n">
        <v>1</v>
      </c>
      <c r="J370" t="n">
        <v>0</v>
      </c>
      <c r="K370" t="n">
        <v>0</v>
      </c>
      <c r="L370" t="n">
        <v>0</v>
      </c>
      <c r="M370" t="n">
        <v>0</v>
      </c>
      <c r="N370" t="n">
        <v>0</v>
      </c>
      <c r="O370" t="n">
        <v>0</v>
      </c>
      <c r="P370" t="n">
        <v>0</v>
      </c>
      <c r="Q370" t="n">
        <v>1</v>
      </c>
      <c r="R370" s="2" t="inlineStr">
        <is>
          <t>Korallrot</t>
        </is>
      </c>
      <c r="S370">
        <f>HYPERLINK("https://klasma.github.io/Logging_VIMMERBY/artfynd/A 19055-2019.xlsx", "A 19055-2019")</f>
        <v/>
      </c>
      <c r="T370">
        <f>HYPERLINK("https://klasma.github.io/Logging_VIMMERBY/kartor/A 19055-2019.png", "A 19055-2019")</f>
        <v/>
      </c>
      <c r="V370">
        <f>HYPERLINK("https://klasma.github.io/Logging_VIMMERBY/klagomål/A 19055-2019.docx", "A 19055-2019")</f>
        <v/>
      </c>
      <c r="W370">
        <f>HYPERLINK("https://klasma.github.io/Logging_VIMMERBY/klagomålsmail/A 19055-2019.docx", "A 19055-2019")</f>
        <v/>
      </c>
      <c r="X370">
        <f>HYPERLINK("https://klasma.github.io/Logging_VIMMERBY/tillsyn/A 19055-2019.docx", "A 19055-2019")</f>
        <v/>
      </c>
      <c r="Y370">
        <f>HYPERLINK("https://klasma.github.io/Logging_VIMMERBY/tillsynsmail/A 19055-2019.docx", "A 19055-2019")</f>
        <v/>
      </c>
    </row>
    <row r="371" ht="15" customHeight="1">
      <c r="A371" t="inlineStr">
        <is>
          <t>A 20046-2019</t>
        </is>
      </c>
      <c r="B371" s="1" t="n">
        <v>43570</v>
      </c>
      <c r="C371" s="1" t="n">
        <v>45190</v>
      </c>
      <c r="D371" t="inlineStr">
        <is>
          <t>KALMAR LÄN</t>
        </is>
      </c>
      <c r="E371" t="inlineStr">
        <is>
          <t>NYBRO</t>
        </is>
      </c>
      <c r="G371" t="n">
        <v>3.3</v>
      </c>
      <c r="H371" t="n">
        <v>0</v>
      </c>
      <c r="I371" t="n">
        <v>0</v>
      </c>
      <c r="J371" t="n">
        <v>1</v>
      </c>
      <c r="K371" t="n">
        <v>0</v>
      </c>
      <c r="L371" t="n">
        <v>0</v>
      </c>
      <c r="M371" t="n">
        <v>0</v>
      </c>
      <c r="N371" t="n">
        <v>0</v>
      </c>
      <c r="O371" t="n">
        <v>1</v>
      </c>
      <c r="P371" t="n">
        <v>0</v>
      </c>
      <c r="Q371" t="n">
        <v>1</v>
      </c>
      <c r="R371" s="2" t="inlineStr">
        <is>
          <t>Solvända</t>
        </is>
      </c>
      <c r="S371">
        <f>HYPERLINK("https://klasma.github.io/Logging_NYBRO/artfynd/A 20046-2019.xlsx", "A 20046-2019")</f>
        <v/>
      </c>
      <c r="T371">
        <f>HYPERLINK("https://klasma.github.io/Logging_NYBRO/kartor/A 20046-2019.png", "A 20046-2019")</f>
        <v/>
      </c>
      <c r="V371">
        <f>HYPERLINK("https://klasma.github.io/Logging_NYBRO/klagomål/A 20046-2019.docx", "A 20046-2019")</f>
        <v/>
      </c>
      <c r="W371">
        <f>HYPERLINK("https://klasma.github.io/Logging_NYBRO/klagomålsmail/A 20046-2019.docx", "A 20046-2019")</f>
        <v/>
      </c>
      <c r="X371">
        <f>HYPERLINK("https://klasma.github.io/Logging_NYBRO/tillsyn/A 20046-2019.docx", "A 20046-2019")</f>
        <v/>
      </c>
      <c r="Y371">
        <f>HYPERLINK("https://klasma.github.io/Logging_NYBRO/tillsynsmail/A 20046-2019.docx", "A 20046-2019")</f>
        <v/>
      </c>
    </row>
    <row r="372" ht="15" customHeight="1">
      <c r="A372" t="inlineStr">
        <is>
          <t>A 21100-2019</t>
        </is>
      </c>
      <c r="B372" s="1" t="n">
        <v>43578</v>
      </c>
      <c r="C372" s="1" t="n">
        <v>45190</v>
      </c>
      <c r="D372" t="inlineStr">
        <is>
          <t>KALMAR LÄN</t>
        </is>
      </c>
      <c r="E372" t="inlineStr">
        <is>
          <t>HÖGSBY</t>
        </is>
      </c>
      <c r="G372" t="n">
        <v>7.3</v>
      </c>
      <c r="H372" t="n">
        <v>1</v>
      </c>
      <c r="I372" t="n">
        <v>0</v>
      </c>
      <c r="J372" t="n">
        <v>0</v>
      </c>
      <c r="K372" t="n">
        <v>0</v>
      </c>
      <c r="L372" t="n">
        <v>0</v>
      </c>
      <c r="M372" t="n">
        <v>0</v>
      </c>
      <c r="N372" t="n">
        <v>0</v>
      </c>
      <c r="O372" t="n">
        <v>0</v>
      </c>
      <c r="P372" t="n">
        <v>0</v>
      </c>
      <c r="Q372" t="n">
        <v>1</v>
      </c>
      <c r="R372" s="2" t="inlineStr">
        <is>
          <t>Blåsippa</t>
        </is>
      </c>
      <c r="S372">
        <f>HYPERLINK("https://klasma.github.io/Logging_HOGSBY/artfynd/A 21100-2019.xlsx", "A 21100-2019")</f>
        <v/>
      </c>
      <c r="T372">
        <f>HYPERLINK("https://klasma.github.io/Logging_HOGSBY/kartor/A 21100-2019.png", "A 21100-2019")</f>
        <v/>
      </c>
      <c r="V372">
        <f>HYPERLINK("https://klasma.github.io/Logging_HOGSBY/klagomål/A 21100-2019.docx", "A 21100-2019")</f>
        <v/>
      </c>
      <c r="W372">
        <f>HYPERLINK("https://klasma.github.io/Logging_HOGSBY/klagomålsmail/A 21100-2019.docx", "A 21100-2019")</f>
        <v/>
      </c>
      <c r="X372">
        <f>HYPERLINK("https://klasma.github.io/Logging_HOGSBY/tillsyn/A 21100-2019.docx", "A 21100-2019")</f>
        <v/>
      </c>
      <c r="Y372">
        <f>HYPERLINK("https://klasma.github.io/Logging_HOGSBY/tillsynsmail/A 21100-2019.docx", "A 21100-2019")</f>
        <v/>
      </c>
    </row>
    <row r="373" ht="15" customHeight="1">
      <c r="A373" t="inlineStr">
        <is>
          <t>A 21143-2019</t>
        </is>
      </c>
      <c r="B373" s="1" t="n">
        <v>43579</v>
      </c>
      <c r="C373" s="1" t="n">
        <v>45190</v>
      </c>
      <c r="D373" t="inlineStr">
        <is>
          <t>KALMAR LÄN</t>
        </is>
      </c>
      <c r="E373" t="inlineStr">
        <is>
          <t>TORSÅS</t>
        </is>
      </c>
      <c r="G373" t="n">
        <v>2</v>
      </c>
      <c r="H373" t="n">
        <v>1</v>
      </c>
      <c r="I373" t="n">
        <v>0</v>
      </c>
      <c r="J373" t="n">
        <v>0</v>
      </c>
      <c r="K373" t="n">
        <v>0</v>
      </c>
      <c r="L373" t="n">
        <v>0</v>
      </c>
      <c r="M373" t="n">
        <v>0</v>
      </c>
      <c r="N373" t="n">
        <v>0</v>
      </c>
      <c r="O373" t="n">
        <v>0</v>
      </c>
      <c r="P373" t="n">
        <v>0</v>
      </c>
      <c r="Q373" t="n">
        <v>1</v>
      </c>
      <c r="R373" s="2" t="inlineStr">
        <is>
          <t>Mattlummer</t>
        </is>
      </c>
      <c r="S373">
        <f>HYPERLINK("https://klasma.github.io/Logging_TORSAS/artfynd/A 21143-2019.xlsx", "A 21143-2019")</f>
        <v/>
      </c>
      <c r="T373">
        <f>HYPERLINK("https://klasma.github.io/Logging_TORSAS/kartor/A 21143-2019.png", "A 21143-2019")</f>
        <v/>
      </c>
      <c r="V373">
        <f>HYPERLINK("https://klasma.github.io/Logging_TORSAS/klagomål/A 21143-2019.docx", "A 21143-2019")</f>
        <v/>
      </c>
      <c r="W373">
        <f>HYPERLINK("https://klasma.github.io/Logging_TORSAS/klagomålsmail/A 21143-2019.docx", "A 21143-2019")</f>
        <v/>
      </c>
      <c r="X373">
        <f>HYPERLINK("https://klasma.github.io/Logging_TORSAS/tillsyn/A 21143-2019.docx", "A 21143-2019")</f>
        <v/>
      </c>
      <c r="Y373">
        <f>HYPERLINK("https://klasma.github.io/Logging_TORSAS/tillsynsmail/A 21143-2019.docx", "A 21143-2019")</f>
        <v/>
      </c>
    </row>
    <row r="374" ht="15" customHeight="1">
      <c r="A374" t="inlineStr">
        <is>
          <t>A 21406-2019</t>
        </is>
      </c>
      <c r="B374" s="1" t="n">
        <v>43580</v>
      </c>
      <c r="C374" s="1" t="n">
        <v>45190</v>
      </c>
      <c r="D374" t="inlineStr">
        <is>
          <t>KALMAR LÄN</t>
        </is>
      </c>
      <c r="E374" t="inlineStr">
        <is>
          <t>NYBRO</t>
        </is>
      </c>
      <c r="G374" t="n">
        <v>0.7</v>
      </c>
      <c r="H374" t="n">
        <v>0</v>
      </c>
      <c r="I374" t="n">
        <v>0</v>
      </c>
      <c r="J374" t="n">
        <v>1</v>
      </c>
      <c r="K374" t="n">
        <v>0</v>
      </c>
      <c r="L374" t="n">
        <v>0</v>
      </c>
      <c r="M374" t="n">
        <v>0</v>
      </c>
      <c r="N374" t="n">
        <v>0</v>
      </c>
      <c r="O374" t="n">
        <v>1</v>
      </c>
      <c r="P374" t="n">
        <v>0</v>
      </c>
      <c r="Q374" t="n">
        <v>1</v>
      </c>
      <c r="R374" s="2" t="inlineStr">
        <is>
          <t>Slåtterfibbla</t>
        </is>
      </c>
      <c r="S374">
        <f>HYPERLINK("https://klasma.github.io/Logging_NYBRO/artfynd/A 21406-2019.xlsx", "A 21406-2019")</f>
        <v/>
      </c>
      <c r="T374">
        <f>HYPERLINK("https://klasma.github.io/Logging_NYBRO/kartor/A 21406-2019.png", "A 21406-2019")</f>
        <v/>
      </c>
      <c r="V374">
        <f>HYPERLINK("https://klasma.github.io/Logging_NYBRO/klagomål/A 21406-2019.docx", "A 21406-2019")</f>
        <v/>
      </c>
      <c r="W374">
        <f>HYPERLINK("https://klasma.github.io/Logging_NYBRO/klagomålsmail/A 21406-2019.docx", "A 21406-2019")</f>
        <v/>
      </c>
      <c r="X374">
        <f>HYPERLINK("https://klasma.github.io/Logging_NYBRO/tillsyn/A 21406-2019.docx", "A 21406-2019")</f>
        <v/>
      </c>
      <c r="Y374">
        <f>HYPERLINK("https://klasma.github.io/Logging_NYBRO/tillsynsmail/A 21406-2019.docx", "A 21406-2019")</f>
        <v/>
      </c>
    </row>
    <row r="375" ht="15" customHeight="1">
      <c r="A375" t="inlineStr">
        <is>
          <t>A 22903-2019</t>
        </is>
      </c>
      <c r="B375" s="1" t="n">
        <v>43591</v>
      </c>
      <c r="C375" s="1" t="n">
        <v>45190</v>
      </c>
      <c r="D375" t="inlineStr">
        <is>
          <t>KALMAR LÄN</t>
        </is>
      </c>
      <c r="E375" t="inlineStr">
        <is>
          <t>HULTSFRED</t>
        </is>
      </c>
      <c r="G375" t="n">
        <v>3.5</v>
      </c>
      <c r="H375" t="n">
        <v>1</v>
      </c>
      <c r="I375" t="n">
        <v>0</v>
      </c>
      <c r="J375" t="n">
        <v>0</v>
      </c>
      <c r="K375" t="n">
        <v>1</v>
      </c>
      <c r="L375" t="n">
        <v>0</v>
      </c>
      <c r="M375" t="n">
        <v>0</v>
      </c>
      <c r="N375" t="n">
        <v>0</v>
      </c>
      <c r="O375" t="n">
        <v>1</v>
      </c>
      <c r="P375" t="n">
        <v>1</v>
      </c>
      <c r="Q375" t="n">
        <v>1</v>
      </c>
      <c r="R375" s="2" t="inlineStr">
        <is>
          <t>Knärot</t>
        </is>
      </c>
      <c r="S375">
        <f>HYPERLINK("https://klasma.github.io/Logging_HULTSFRED/artfynd/A 22903-2019.xlsx", "A 22903-2019")</f>
        <v/>
      </c>
      <c r="T375">
        <f>HYPERLINK("https://klasma.github.io/Logging_HULTSFRED/kartor/A 22903-2019.png", "A 22903-2019")</f>
        <v/>
      </c>
      <c r="U375">
        <f>HYPERLINK("https://klasma.github.io/Logging_HULTSFRED/knärot/A 22903-2019.png", "A 22903-2019")</f>
        <v/>
      </c>
      <c r="V375">
        <f>HYPERLINK("https://klasma.github.io/Logging_HULTSFRED/klagomål/A 22903-2019.docx", "A 22903-2019")</f>
        <v/>
      </c>
      <c r="W375">
        <f>HYPERLINK("https://klasma.github.io/Logging_HULTSFRED/klagomålsmail/A 22903-2019.docx", "A 22903-2019")</f>
        <v/>
      </c>
      <c r="X375">
        <f>HYPERLINK("https://klasma.github.io/Logging_HULTSFRED/tillsyn/A 22903-2019.docx", "A 22903-2019")</f>
        <v/>
      </c>
      <c r="Y375">
        <f>HYPERLINK("https://klasma.github.io/Logging_HULTSFRED/tillsynsmail/A 22903-2019.docx", "A 22903-2019")</f>
        <v/>
      </c>
    </row>
    <row r="376" ht="15" customHeight="1">
      <c r="A376" t="inlineStr">
        <is>
          <t>A 23194-2019</t>
        </is>
      </c>
      <c r="B376" s="1" t="n">
        <v>43592</v>
      </c>
      <c r="C376" s="1" t="n">
        <v>45190</v>
      </c>
      <c r="D376" t="inlineStr">
        <is>
          <t>KALMAR LÄN</t>
        </is>
      </c>
      <c r="E376" t="inlineStr">
        <is>
          <t>BORGHOLM</t>
        </is>
      </c>
      <c r="G376" t="n">
        <v>1.6</v>
      </c>
      <c r="H376" t="n">
        <v>1</v>
      </c>
      <c r="I376" t="n">
        <v>0</v>
      </c>
      <c r="J376" t="n">
        <v>0</v>
      </c>
      <c r="K376" t="n">
        <v>0</v>
      </c>
      <c r="L376" t="n">
        <v>0</v>
      </c>
      <c r="M376" t="n">
        <v>0</v>
      </c>
      <c r="N376" t="n">
        <v>0</v>
      </c>
      <c r="O376" t="n">
        <v>0</v>
      </c>
      <c r="P376" t="n">
        <v>0</v>
      </c>
      <c r="Q376" t="n">
        <v>1</v>
      </c>
      <c r="R376" s="2" t="inlineStr">
        <is>
          <t>Blåsippa</t>
        </is>
      </c>
      <c r="S376">
        <f>HYPERLINK("https://klasma.github.io/Logging_BORGHOLM/artfynd/A 23194-2019.xlsx", "A 23194-2019")</f>
        <v/>
      </c>
      <c r="T376">
        <f>HYPERLINK("https://klasma.github.io/Logging_BORGHOLM/kartor/A 23194-2019.png", "A 23194-2019")</f>
        <v/>
      </c>
      <c r="V376">
        <f>HYPERLINK("https://klasma.github.io/Logging_BORGHOLM/klagomål/A 23194-2019.docx", "A 23194-2019")</f>
        <v/>
      </c>
      <c r="W376">
        <f>HYPERLINK("https://klasma.github.io/Logging_BORGHOLM/klagomålsmail/A 23194-2019.docx", "A 23194-2019")</f>
        <v/>
      </c>
      <c r="X376">
        <f>HYPERLINK("https://klasma.github.io/Logging_BORGHOLM/tillsyn/A 23194-2019.docx", "A 23194-2019")</f>
        <v/>
      </c>
      <c r="Y376">
        <f>HYPERLINK("https://klasma.github.io/Logging_BORGHOLM/tillsynsmail/A 23194-2019.docx", "A 23194-2019")</f>
        <v/>
      </c>
    </row>
    <row r="377" ht="15" customHeight="1">
      <c r="A377" t="inlineStr">
        <is>
          <t>A 25168-2019</t>
        </is>
      </c>
      <c r="B377" s="1" t="n">
        <v>43605</v>
      </c>
      <c r="C377" s="1" t="n">
        <v>45190</v>
      </c>
      <c r="D377" t="inlineStr">
        <is>
          <t>KALMAR LÄN</t>
        </is>
      </c>
      <c r="E377" t="inlineStr">
        <is>
          <t>KALMAR</t>
        </is>
      </c>
      <c r="G377" t="n">
        <v>5.2</v>
      </c>
      <c r="H377" t="n">
        <v>1</v>
      </c>
      <c r="I377" t="n">
        <v>0</v>
      </c>
      <c r="J377" t="n">
        <v>0</v>
      </c>
      <c r="K377" t="n">
        <v>0</v>
      </c>
      <c r="L377" t="n">
        <v>0</v>
      </c>
      <c r="M377" t="n">
        <v>0</v>
      </c>
      <c r="N377" t="n">
        <v>0</v>
      </c>
      <c r="O377" t="n">
        <v>0</v>
      </c>
      <c r="P377" t="n">
        <v>0</v>
      </c>
      <c r="Q377" t="n">
        <v>1</v>
      </c>
      <c r="R377" s="2" t="inlineStr">
        <is>
          <t>Större vattensalamander</t>
        </is>
      </c>
      <c r="S377">
        <f>HYPERLINK("https://klasma.github.io/Logging_KALMAR/artfynd/A 25168-2019.xlsx", "A 25168-2019")</f>
        <v/>
      </c>
      <c r="T377">
        <f>HYPERLINK("https://klasma.github.io/Logging_KALMAR/kartor/A 25168-2019.png", "A 25168-2019")</f>
        <v/>
      </c>
      <c r="V377">
        <f>HYPERLINK("https://klasma.github.io/Logging_KALMAR/klagomål/A 25168-2019.docx", "A 25168-2019")</f>
        <v/>
      </c>
      <c r="W377">
        <f>HYPERLINK("https://klasma.github.io/Logging_KALMAR/klagomålsmail/A 25168-2019.docx", "A 25168-2019")</f>
        <v/>
      </c>
      <c r="X377">
        <f>HYPERLINK("https://klasma.github.io/Logging_KALMAR/tillsyn/A 25168-2019.docx", "A 25168-2019")</f>
        <v/>
      </c>
      <c r="Y377">
        <f>HYPERLINK("https://klasma.github.io/Logging_KALMAR/tillsynsmail/A 25168-2019.docx", "A 25168-2019")</f>
        <v/>
      </c>
    </row>
    <row r="378" ht="15" customHeight="1">
      <c r="A378" t="inlineStr">
        <is>
          <t>A 25190-2019</t>
        </is>
      </c>
      <c r="B378" s="1" t="n">
        <v>43605</v>
      </c>
      <c r="C378" s="1" t="n">
        <v>45190</v>
      </c>
      <c r="D378" t="inlineStr">
        <is>
          <t>KALMAR LÄN</t>
        </is>
      </c>
      <c r="E378" t="inlineStr">
        <is>
          <t>HÖGSBY</t>
        </is>
      </c>
      <c r="G378" t="n">
        <v>1.2</v>
      </c>
      <c r="H378" t="n">
        <v>1</v>
      </c>
      <c r="I378" t="n">
        <v>0</v>
      </c>
      <c r="J378" t="n">
        <v>0</v>
      </c>
      <c r="K378" t="n">
        <v>1</v>
      </c>
      <c r="L378" t="n">
        <v>0</v>
      </c>
      <c r="M378" t="n">
        <v>0</v>
      </c>
      <c r="N378" t="n">
        <v>0</v>
      </c>
      <c r="O378" t="n">
        <v>1</v>
      </c>
      <c r="P378" t="n">
        <v>1</v>
      </c>
      <c r="Q378" t="n">
        <v>1</v>
      </c>
      <c r="R378" s="2" t="inlineStr">
        <is>
          <t>Knärot</t>
        </is>
      </c>
      <c r="S378">
        <f>HYPERLINK("https://klasma.github.io/Logging_HOGSBY/artfynd/A 25190-2019.xlsx", "A 25190-2019")</f>
        <v/>
      </c>
      <c r="T378">
        <f>HYPERLINK("https://klasma.github.io/Logging_HOGSBY/kartor/A 25190-2019.png", "A 25190-2019")</f>
        <v/>
      </c>
      <c r="U378">
        <f>HYPERLINK("https://klasma.github.io/Logging_HOGSBY/knärot/A 25190-2019.png", "A 25190-2019")</f>
        <v/>
      </c>
      <c r="V378">
        <f>HYPERLINK("https://klasma.github.io/Logging_HOGSBY/klagomål/A 25190-2019.docx", "A 25190-2019")</f>
        <v/>
      </c>
      <c r="W378">
        <f>HYPERLINK("https://klasma.github.io/Logging_HOGSBY/klagomålsmail/A 25190-2019.docx", "A 25190-2019")</f>
        <v/>
      </c>
      <c r="X378">
        <f>HYPERLINK("https://klasma.github.io/Logging_HOGSBY/tillsyn/A 25190-2019.docx", "A 25190-2019")</f>
        <v/>
      </c>
      <c r="Y378">
        <f>HYPERLINK("https://klasma.github.io/Logging_HOGSBY/tillsynsmail/A 25190-2019.docx", "A 25190-2019")</f>
        <v/>
      </c>
    </row>
    <row r="379" ht="15" customHeight="1">
      <c r="A379" t="inlineStr">
        <is>
          <t>A 26448-2019</t>
        </is>
      </c>
      <c r="B379" s="1" t="n">
        <v>43612</v>
      </c>
      <c r="C379" s="1" t="n">
        <v>45190</v>
      </c>
      <c r="D379" t="inlineStr">
        <is>
          <t>KALMAR LÄN</t>
        </is>
      </c>
      <c r="E379" t="inlineStr">
        <is>
          <t>HÖGSBY</t>
        </is>
      </c>
      <c r="G379" t="n">
        <v>0.9</v>
      </c>
      <c r="H379" t="n">
        <v>1</v>
      </c>
      <c r="I379" t="n">
        <v>0</v>
      </c>
      <c r="J379" t="n">
        <v>0</v>
      </c>
      <c r="K379" t="n">
        <v>0</v>
      </c>
      <c r="L379" t="n">
        <v>1</v>
      </c>
      <c r="M379" t="n">
        <v>0</v>
      </c>
      <c r="N379" t="n">
        <v>0</v>
      </c>
      <c r="O379" t="n">
        <v>1</v>
      </c>
      <c r="P379" t="n">
        <v>1</v>
      </c>
      <c r="Q379" t="n">
        <v>1</v>
      </c>
      <c r="R379" s="2" t="inlineStr">
        <is>
          <t>Mosippa</t>
        </is>
      </c>
      <c r="S379">
        <f>HYPERLINK("https://klasma.github.io/Logging_HOGSBY/artfynd/A 26448-2019.xlsx", "A 26448-2019")</f>
        <v/>
      </c>
      <c r="T379">
        <f>HYPERLINK("https://klasma.github.io/Logging_HOGSBY/kartor/A 26448-2019.png", "A 26448-2019")</f>
        <v/>
      </c>
      <c r="V379">
        <f>HYPERLINK("https://klasma.github.io/Logging_HOGSBY/klagomål/A 26448-2019.docx", "A 26448-2019")</f>
        <v/>
      </c>
      <c r="W379">
        <f>HYPERLINK("https://klasma.github.io/Logging_HOGSBY/klagomålsmail/A 26448-2019.docx", "A 26448-2019")</f>
        <v/>
      </c>
      <c r="X379">
        <f>HYPERLINK("https://klasma.github.io/Logging_HOGSBY/tillsyn/A 26448-2019.docx", "A 26448-2019")</f>
        <v/>
      </c>
      <c r="Y379">
        <f>HYPERLINK("https://klasma.github.io/Logging_HOGSBY/tillsynsmail/A 26448-2019.docx", "A 26448-2019")</f>
        <v/>
      </c>
    </row>
    <row r="380" ht="15" customHeight="1">
      <c r="A380" t="inlineStr">
        <is>
          <t>A 27200-2019</t>
        </is>
      </c>
      <c r="B380" s="1" t="n">
        <v>43614</v>
      </c>
      <c r="C380" s="1" t="n">
        <v>45190</v>
      </c>
      <c r="D380" t="inlineStr">
        <is>
          <t>KALMAR LÄN</t>
        </is>
      </c>
      <c r="E380" t="inlineStr">
        <is>
          <t>VÄSTERVIK</t>
        </is>
      </c>
      <c r="F380" t="inlineStr">
        <is>
          <t>Sveaskog</t>
        </is>
      </c>
      <c r="G380" t="n">
        <v>8.5</v>
      </c>
      <c r="H380" t="n">
        <v>0</v>
      </c>
      <c r="I380" t="n">
        <v>1</v>
      </c>
      <c r="J380" t="n">
        <v>0</v>
      </c>
      <c r="K380" t="n">
        <v>0</v>
      </c>
      <c r="L380" t="n">
        <v>0</v>
      </c>
      <c r="M380" t="n">
        <v>0</v>
      </c>
      <c r="N380" t="n">
        <v>0</v>
      </c>
      <c r="O380" t="n">
        <v>0</v>
      </c>
      <c r="P380" t="n">
        <v>0</v>
      </c>
      <c r="Q380" t="n">
        <v>1</v>
      </c>
      <c r="R380" s="2" t="inlineStr">
        <is>
          <t>Myskmadra</t>
        </is>
      </c>
      <c r="S380">
        <f>HYPERLINK("https://klasma.github.io/Logging_VASTERVIK/artfynd/A 27200-2019.xlsx", "A 27200-2019")</f>
        <v/>
      </c>
      <c r="T380">
        <f>HYPERLINK("https://klasma.github.io/Logging_VASTERVIK/kartor/A 27200-2019.png", "A 27200-2019")</f>
        <v/>
      </c>
      <c r="V380">
        <f>HYPERLINK("https://klasma.github.io/Logging_VASTERVIK/klagomål/A 27200-2019.docx", "A 27200-2019")</f>
        <v/>
      </c>
      <c r="W380">
        <f>HYPERLINK("https://klasma.github.io/Logging_VASTERVIK/klagomålsmail/A 27200-2019.docx", "A 27200-2019")</f>
        <v/>
      </c>
      <c r="X380">
        <f>HYPERLINK("https://klasma.github.io/Logging_VASTERVIK/tillsyn/A 27200-2019.docx", "A 27200-2019")</f>
        <v/>
      </c>
      <c r="Y380">
        <f>HYPERLINK("https://klasma.github.io/Logging_VASTERVIK/tillsynsmail/A 27200-2019.docx", "A 27200-2019")</f>
        <v/>
      </c>
    </row>
    <row r="381" ht="15" customHeight="1">
      <c r="A381" t="inlineStr">
        <is>
          <t>A 26976-2019</t>
        </is>
      </c>
      <c r="B381" s="1" t="n">
        <v>43614</v>
      </c>
      <c r="C381" s="1" t="n">
        <v>45190</v>
      </c>
      <c r="D381" t="inlineStr">
        <is>
          <t>KALMAR LÄN</t>
        </is>
      </c>
      <c r="E381" t="inlineStr">
        <is>
          <t>KALMAR</t>
        </is>
      </c>
      <c r="G381" t="n">
        <v>1.7</v>
      </c>
      <c r="H381" t="n">
        <v>0</v>
      </c>
      <c r="I381" t="n">
        <v>1</v>
      </c>
      <c r="J381" t="n">
        <v>0</v>
      </c>
      <c r="K381" t="n">
        <v>0</v>
      </c>
      <c r="L381" t="n">
        <v>0</v>
      </c>
      <c r="M381" t="n">
        <v>0</v>
      </c>
      <c r="N381" t="n">
        <v>0</v>
      </c>
      <c r="O381" t="n">
        <v>0</v>
      </c>
      <c r="P381" t="n">
        <v>0</v>
      </c>
      <c r="Q381" t="n">
        <v>1</v>
      </c>
      <c r="R381" s="2" t="inlineStr">
        <is>
          <t>Vätteros</t>
        </is>
      </c>
      <c r="S381">
        <f>HYPERLINK("https://klasma.github.io/Logging_KALMAR/artfynd/A 26976-2019.xlsx", "A 26976-2019")</f>
        <v/>
      </c>
      <c r="T381">
        <f>HYPERLINK("https://klasma.github.io/Logging_KALMAR/kartor/A 26976-2019.png", "A 26976-2019")</f>
        <v/>
      </c>
      <c r="V381">
        <f>HYPERLINK("https://klasma.github.io/Logging_KALMAR/klagomål/A 26976-2019.docx", "A 26976-2019")</f>
        <v/>
      </c>
      <c r="W381">
        <f>HYPERLINK("https://klasma.github.io/Logging_KALMAR/klagomålsmail/A 26976-2019.docx", "A 26976-2019")</f>
        <v/>
      </c>
      <c r="X381">
        <f>HYPERLINK("https://klasma.github.io/Logging_KALMAR/tillsyn/A 26976-2019.docx", "A 26976-2019")</f>
        <v/>
      </c>
      <c r="Y381">
        <f>HYPERLINK("https://klasma.github.io/Logging_KALMAR/tillsynsmail/A 26976-2019.docx", "A 26976-2019")</f>
        <v/>
      </c>
    </row>
    <row r="382" ht="15" customHeight="1">
      <c r="A382" t="inlineStr">
        <is>
          <t>A 27203-2019</t>
        </is>
      </c>
      <c r="B382" s="1" t="n">
        <v>43614</v>
      </c>
      <c r="C382" s="1" t="n">
        <v>45190</v>
      </c>
      <c r="D382" t="inlineStr">
        <is>
          <t>KALMAR LÄN</t>
        </is>
      </c>
      <c r="E382" t="inlineStr">
        <is>
          <t>VÄSTERVIK</t>
        </is>
      </c>
      <c r="F382" t="inlineStr">
        <is>
          <t>Sveaskog</t>
        </is>
      </c>
      <c r="G382" t="n">
        <v>4.8</v>
      </c>
      <c r="H382" t="n">
        <v>0</v>
      </c>
      <c r="I382" t="n">
        <v>1</v>
      </c>
      <c r="J382" t="n">
        <v>0</v>
      </c>
      <c r="K382" t="n">
        <v>0</v>
      </c>
      <c r="L382" t="n">
        <v>0</v>
      </c>
      <c r="M382" t="n">
        <v>0</v>
      </c>
      <c r="N382" t="n">
        <v>0</v>
      </c>
      <c r="O382" t="n">
        <v>0</v>
      </c>
      <c r="P382" t="n">
        <v>0</v>
      </c>
      <c r="Q382" t="n">
        <v>1</v>
      </c>
      <c r="R382" s="2" t="inlineStr">
        <is>
          <t>Blomskägglav</t>
        </is>
      </c>
      <c r="S382">
        <f>HYPERLINK("https://klasma.github.io/Logging_VASTERVIK/artfynd/A 27203-2019.xlsx", "A 27203-2019")</f>
        <v/>
      </c>
      <c r="T382">
        <f>HYPERLINK("https://klasma.github.io/Logging_VASTERVIK/kartor/A 27203-2019.png", "A 27203-2019")</f>
        <v/>
      </c>
      <c r="V382">
        <f>HYPERLINK("https://klasma.github.io/Logging_VASTERVIK/klagomål/A 27203-2019.docx", "A 27203-2019")</f>
        <v/>
      </c>
      <c r="W382">
        <f>HYPERLINK("https://klasma.github.io/Logging_VASTERVIK/klagomålsmail/A 27203-2019.docx", "A 27203-2019")</f>
        <v/>
      </c>
      <c r="X382">
        <f>HYPERLINK("https://klasma.github.io/Logging_VASTERVIK/tillsyn/A 27203-2019.docx", "A 27203-2019")</f>
        <v/>
      </c>
      <c r="Y382">
        <f>HYPERLINK("https://klasma.github.io/Logging_VASTERVIK/tillsynsmail/A 27203-2019.docx", "A 27203-2019")</f>
        <v/>
      </c>
    </row>
    <row r="383" ht="15" customHeight="1">
      <c r="A383" t="inlineStr">
        <is>
          <t>A 27204-2019</t>
        </is>
      </c>
      <c r="B383" s="1" t="n">
        <v>43614</v>
      </c>
      <c r="C383" s="1" t="n">
        <v>45190</v>
      </c>
      <c r="D383" t="inlineStr">
        <is>
          <t>KALMAR LÄN</t>
        </is>
      </c>
      <c r="E383" t="inlineStr">
        <is>
          <t>VÄSTERVIK</t>
        </is>
      </c>
      <c r="F383" t="inlineStr">
        <is>
          <t>Sveaskog</t>
        </is>
      </c>
      <c r="G383" t="n">
        <v>12.9</v>
      </c>
      <c r="H383" t="n">
        <v>0</v>
      </c>
      <c r="I383" t="n">
        <v>1</v>
      </c>
      <c r="J383" t="n">
        <v>0</v>
      </c>
      <c r="K383" t="n">
        <v>0</v>
      </c>
      <c r="L383" t="n">
        <v>0</v>
      </c>
      <c r="M383" t="n">
        <v>0</v>
      </c>
      <c r="N383" t="n">
        <v>0</v>
      </c>
      <c r="O383" t="n">
        <v>0</v>
      </c>
      <c r="P383" t="n">
        <v>0</v>
      </c>
      <c r="Q383" t="n">
        <v>1</v>
      </c>
      <c r="R383" s="2" t="inlineStr">
        <is>
          <t>Platt fjädermossa</t>
        </is>
      </c>
      <c r="S383">
        <f>HYPERLINK("https://klasma.github.io/Logging_VASTERVIK/artfynd/A 27204-2019.xlsx", "A 27204-2019")</f>
        <v/>
      </c>
      <c r="T383">
        <f>HYPERLINK("https://klasma.github.io/Logging_VASTERVIK/kartor/A 27204-2019.png", "A 27204-2019")</f>
        <v/>
      </c>
      <c r="V383">
        <f>HYPERLINK("https://klasma.github.io/Logging_VASTERVIK/klagomål/A 27204-2019.docx", "A 27204-2019")</f>
        <v/>
      </c>
      <c r="W383">
        <f>HYPERLINK("https://klasma.github.io/Logging_VASTERVIK/klagomålsmail/A 27204-2019.docx", "A 27204-2019")</f>
        <v/>
      </c>
      <c r="X383">
        <f>HYPERLINK("https://klasma.github.io/Logging_VASTERVIK/tillsyn/A 27204-2019.docx", "A 27204-2019")</f>
        <v/>
      </c>
      <c r="Y383">
        <f>HYPERLINK("https://klasma.github.io/Logging_VASTERVIK/tillsynsmail/A 27204-2019.docx", "A 27204-2019")</f>
        <v/>
      </c>
    </row>
    <row r="384" ht="15" customHeight="1">
      <c r="A384" t="inlineStr">
        <is>
          <t>A 32602-2019</t>
        </is>
      </c>
      <c r="B384" s="1" t="n">
        <v>43647</v>
      </c>
      <c r="C384" s="1" t="n">
        <v>45190</v>
      </c>
      <c r="D384" t="inlineStr">
        <is>
          <t>KALMAR LÄN</t>
        </is>
      </c>
      <c r="E384" t="inlineStr">
        <is>
          <t>VIMMERBY</t>
        </is>
      </c>
      <c r="G384" t="n">
        <v>3.4</v>
      </c>
      <c r="H384" t="n">
        <v>0</v>
      </c>
      <c r="I384" t="n">
        <v>0</v>
      </c>
      <c r="J384" t="n">
        <v>1</v>
      </c>
      <c r="K384" t="n">
        <v>0</v>
      </c>
      <c r="L384" t="n">
        <v>0</v>
      </c>
      <c r="M384" t="n">
        <v>0</v>
      </c>
      <c r="N384" t="n">
        <v>0</v>
      </c>
      <c r="O384" t="n">
        <v>1</v>
      </c>
      <c r="P384" t="n">
        <v>0</v>
      </c>
      <c r="Q384" t="n">
        <v>1</v>
      </c>
      <c r="R384" s="2" t="inlineStr">
        <is>
          <t>Vedskivlav</t>
        </is>
      </c>
      <c r="S384">
        <f>HYPERLINK("https://klasma.github.io/Logging_VIMMERBY/artfynd/A 32602-2019.xlsx", "A 32602-2019")</f>
        <v/>
      </c>
      <c r="T384">
        <f>HYPERLINK("https://klasma.github.io/Logging_VIMMERBY/kartor/A 32602-2019.png", "A 32602-2019")</f>
        <v/>
      </c>
      <c r="V384">
        <f>HYPERLINK("https://klasma.github.io/Logging_VIMMERBY/klagomål/A 32602-2019.docx", "A 32602-2019")</f>
        <v/>
      </c>
      <c r="W384">
        <f>HYPERLINK("https://klasma.github.io/Logging_VIMMERBY/klagomålsmail/A 32602-2019.docx", "A 32602-2019")</f>
        <v/>
      </c>
      <c r="X384">
        <f>HYPERLINK("https://klasma.github.io/Logging_VIMMERBY/tillsyn/A 32602-2019.docx", "A 32602-2019")</f>
        <v/>
      </c>
      <c r="Y384">
        <f>HYPERLINK("https://klasma.github.io/Logging_VIMMERBY/tillsynsmail/A 32602-2019.docx", "A 32602-2019")</f>
        <v/>
      </c>
    </row>
    <row r="385" ht="15" customHeight="1">
      <c r="A385" t="inlineStr">
        <is>
          <t>A 34728-2019</t>
        </is>
      </c>
      <c r="B385" s="1" t="n">
        <v>43648</v>
      </c>
      <c r="C385" s="1" t="n">
        <v>45190</v>
      </c>
      <c r="D385" t="inlineStr">
        <is>
          <t>KALMAR LÄN</t>
        </is>
      </c>
      <c r="E385" t="inlineStr">
        <is>
          <t>MÖNSTERÅS</t>
        </is>
      </c>
      <c r="G385" t="n">
        <v>1</v>
      </c>
      <c r="H385" t="n">
        <v>0</v>
      </c>
      <c r="I385" t="n">
        <v>0</v>
      </c>
      <c r="J385" t="n">
        <v>1</v>
      </c>
      <c r="K385" t="n">
        <v>0</v>
      </c>
      <c r="L385" t="n">
        <v>0</v>
      </c>
      <c r="M385" t="n">
        <v>0</v>
      </c>
      <c r="N385" t="n">
        <v>0</v>
      </c>
      <c r="O385" t="n">
        <v>1</v>
      </c>
      <c r="P385" t="n">
        <v>0</v>
      </c>
      <c r="Q385" t="n">
        <v>1</v>
      </c>
      <c r="R385" s="2" t="inlineStr">
        <is>
          <t>Tallticka</t>
        </is>
      </c>
      <c r="S385">
        <f>HYPERLINK("https://klasma.github.io/Logging_MONSTERAS/artfynd/A 34728-2019.xlsx", "A 34728-2019")</f>
        <v/>
      </c>
      <c r="T385">
        <f>HYPERLINK("https://klasma.github.io/Logging_MONSTERAS/kartor/A 34728-2019.png", "A 34728-2019")</f>
        <v/>
      </c>
      <c r="V385">
        <f>HYPERLINK("https://klasma.github.io/Logging_MONSTERAS/klagomål/A 34728-2019.docx", "A 34728-2019")</f>
        <v/>
      </c>
      <c r="W385">
        <f>HYPERLINK("https://klasma.github.io/Logging_MONSTERAS/klagomålsmail/A 34728-2019.docx", "A 34728-2019")</f>
        <v/>
      </c>
      <c r="X385">
        <f>HYPERLINK("https://klasma.github.io/Logging_MONSTERAS/tillsyn/A 34728-2019.docx", "A 34728-2019")</f>
        <v/>
      </c>
      <c r="Y385">
        <f>HYPERLINK("https://klasma.github.io/Logging_MONSTERAS/tillsynsmail/A 34728-2019.docx", "A 34728-2019")</f>
        <v/>
      </c>
    </row>
    <row r="386" ht="15" customHeight="1">
      <c r="A386" t="inlineStr">
        <is>
          <t>A 36218-2019</t>
        </is>
      </c>
      <c r="B386" s="1" t="n">
        <v>43669</v>
      </c>
      <c r="C386" s="1" t="n">
        <v>45190</v>
      </c>
      <c r="D386" t="inlineStr">
        <is>
          <t>KALMAR LÄN</t>
        </is>
      </c>
      <c r="E386" t="inlineStr">
        <is>
          <t>TORSÅS</t>
        </is>
      </c>
      <c r="G386" t="n">
        <v>15.5</v>
      </c>
      <c r="H386" t="n">
        <v>0</v>
      </c>
      <c r="I386" t="n">
        <v>0</v>
      </c>
      <c r="J386" t="n">
        <v>1</v>
      </c>
      <c r="K386" t="n">
        <v>0</v>
      </c>
      <c r="L386" t="n">
        <v>0</v>
      </c>
      <c r="M386" t="n">
        <v>0</v>
      </c>
      <c r="N386" t="n">
        <v>0</v>
      </c>
      <c r="O386" t="n">
        <v>1</v>
      </c>
      <c r="P386" t="n">
        <v>0</v>
      </c>
      <c r="Q386" t="n">
        <v>1</v>
      </c>
      <c r="R386" s="2" t="inlineStr">
        <is>
          <t>Rödlånke</t>
        </is>
      </c>
      <c r="S386">
        <f>HYPERLINK("https://klasma.github.io/Logging_TORSAS/artfynd/A 36218-2019.xlsx", "A 36218-2019")</f>
        <v/>
      </c>
      <c r="T386">
        <f>HYPERLINK("https://klasma.github.io/Logging_TORSAS/kartor/A 36218-2019.png", "A 36218-2019")</f>
        <v/>
      </c>
      <c r="V386">
        <f>HYPERLINK("https://klasma.github.io/Logging_TORSAS/klagomål/A 36218-2019.docx", "A 36218-2019")</f>
        <v/>
      </c>
      <c r="W386">
        <f>HYPERLINK("https://klasma.github.io/Logging_TORSAS/klagomålsmail/A 36218-2019.docx", "A 36218-2019")</f>
        <v/>
      </c>
      <c r="X386">
        <f>HYPERLINK("https://klasma.github.io/Logging_TORSAS/tillsyn/A 36218-2019.docx", "A 36218-2019")</f>
        <v/>
      </c>
      <c r="Y386">
        <f>HYPERLINK("https://klasma.github.io/Logging_TORSAS/tillsynsmail/A 36218-2019.docx", "A 36218-2019")</f>
        <v/>
      </c>
    </row>
    <row r="387" ht="15" customHeight="1">
      <c r="A387" t="inlineStr">
        <is>
          <t>A 36542-2019</t>
        </is>
      </c>
      <c r="B387" s="1" t="n">
        <v>43671</v>
      </c>
      <c r="C387" s="1" t="n">
        <v>45190</v>
      </c>
      <c r="D387" t="inlineStr">
        <is>
          <t>KALMAR LÄN</t>
        </is>
      </c>
      <c r="E387" t="inlineStr">
        <is>
          <t>OSKARSHAMN</t>
        </is>
      </c>
      <c r="F387" t="inlineStr">
        <is>
          <t>Sveaskog</t>
        </is>
      </c>
      <c r="G387" t="n">
        <v>0.8</v>
      </c>
      <c r="H387" t="n">
        <v>1</v>
      </c>
      <c r="I387" t="n">
        <v>0</v>
      </c>
      <c r="J387" t="n">
        <v>0</v>
      </c>
      <c r="K387" t="n">
        <v>0</v>
      </c>
      <c r="L387" t="n">
        <v>0</v>
      </c>
      <c r="M387" t="n">
        <v>0</v>
      </c>
      <c r="N387" t="n">
        <v>0</v>
      </c>
      <c r="O387" t="n">
        <v>0</v>
      </c>
      <c r="P387" t="n">
        <v>0</v>
      </c>
      <c r="Q387" t="n">
        <v>1</v>
      </c>
      <c r="R387" s="2" t="inlineStr">
        <is>
          <t>Mattlummer</t>
        </is>
      </c>
      <c r="S387">
        <f>HYPERLINK("https://klasma.github.io/Logging_OSKARSHAMN/artfynd/A 36542-2019.xlsx", "A 36542-2019")</f>
        <v/>
      </c>
      <c r="T387">
        <f>HYPERLINK("https://klasma.github.io/Logging_OSKARSHAMN/kartor/A 36542-2019.png", "A 36542-2019")</f>
        <v/>
      </c>
      <c r="V387">
        <f>HYPERLINK("https://klasma.github.io/Logging_OSKARSHAMN/klagomål/A 36542-2019.docx", "A 36542-2019")</f>
        <v/>
      </c>
      <c r="W387">
        <f>HYPERLINK("https://klasma.github.io/Logging_OSKARSHAMN/klagomålsmail/A 36542-2019.docx", "A 36542-2019")</f>
        <v/>
      </c>
      <c r="X387">
        <f>HYPERLINK("https://klasma.github.io/Logging_OSKARSHAMN/tillsyn/A 36542-2019.docx", "A 36542-2019")</f>
        <v/>
      </c>
      <c r="Y387">
        <f>HYPERLINK("https://klasma.github.io/Logging_OSKARSHAMN/tillsynsmail/A 36542-2019.docx", "A 36542-2019")</f>
        <v/>
      </c>
    </row>
    <row r="388" ht="15" customHeight="1">
      <c r="A388" t="inlineStr">
        <is>
          <t>A 36540-2019</t>
        </is>
      </c>
      <c r="B388" s="1" t="n">
        <v>43671</v>
      </c>
      <c r="C388" s="1" t="n">
        <v>45190</v>
      </c>
      <c r="D388" t="inlineStr">
        <is>
          <t>KALMAR LÄN</t>
        </is>
      </c>
      <c r="E388" t="inlineStr">
        <is>
          <t>OSKARSHAMN</t>
        </is>
      </c>
      <c r="F388" t="inlineStr">
        <is>
          <t>Sveaskog</t>
        </is>
      </c>
      <c r="G388" t="n">
        <v>3.3</v>
      </c>
      <c r="H388" t="n">
        <v>1</v>
      </c>
      <c r="I388" t="n">
        <v>0</v>
      </c>
      <c r="J388" t="n">
        <v>0</v>
      </c>
      <c r="K388" t="n">
        <v>0</v>
      </c>
      <c r="L388" t="n">
        <v>0</v>
      </c>
      <c r="M388" t="n">
        <v>0</v>
      </c>
      <c r="N388" t="n">
        <v>0</v>
      </c>
      <c r="O388" t="n">
        <v>0</v>
      </c>
      <c r="P388" t="n">
        <v>0</v>
      </c>
      <c r="Q388" t="n">
        <v>1</v>
      </c>
      <c r="R388" s="2" t="inlineStr">
        <is>
          <t>Fläcknycklar</t>
        </is>
      </c>
      <c r="S388">
        <f>HYPERLINK("https://klasma.github.io/Logging_OSKARSHAMN/artfynd/A 36540-2019.xlsx", "A 36540-2019")</f>
        <v/>
      </c>
      <c r="T388">
        <f>HYPERLINK("https://klasma.github.io/Logging_OSKARSHAMN/kartor/A 36540-2019.png", "A 36540-2019")</f>
        <v/>
      </c>
      <c r="V388">
        <f>HYPERLINK("https://klasma.github.io/Logging_OSKARSHAMN/klagomål/A 36540-2019.docx", "A 36540-2019")</f>
        <v/>
      </c>
      <c r="W388">
        <f>HYPERLINK("https://klasma.github.io/Logging_OSKARSHAMN/klagomålsmail/A 36540-2019.docx", "A 36540-2019")</f>
        <v/>
      </c>
      <c r="X388">
        <f>HYPERLINK("https://klasma.github.io/Logging_OSKARSHAMN/tillsyn/A 36540-2019.docx", "A 36540-2019")</f>
        <v/>
      </c>
      <c r="Y388">
        <f>HYPERLINK("https://klasma.github.io/Logging_OSKARSHAMN/tillsynsmail/A 36540-2019.docx", "A 36540-2019")</f>
        <v/>
      </c>
    </row>
    <row r="389" ht="15" customHeight="1">
      <c r="A389" t="inlineStr">
        <is>
          <t>A 37605-2019</t>
        </is>
      </c>
      <c r="B389" s="1" t="n">
        <v>43680</v>
      </c>
      <c r="C389" s="1" t="n">
        <v>45190</v>
      </c>
      <c r="D389" t="inlineStr">
        <is>
          <t>KALMAR LÄN</t>
        </is>
      </c>
      <c r="E389" t="inlineStr">
        <is>
          <t>KALMAR</t>
        </is>
      </c>
      <c r="G389" t="n">
        <v>0.9</v>
      </c>
      <c r="H389" t="n">
        <v>0</v>
      </c>
      <c r="I389" t="n">
        <v>1</v>
      </c>
      <c r="J389" t="n">
        <v>0</v>
      </c>
      <c r="K389" t="n">
        <v>0</v>
      </c>
      <c r="L389" t="n">
        <v>0</v>
      </c>
      <c r="M389" t="n">
        <v>0</v>
      </c>
      <c r="N389" t="n">
        <v>0</v>
      </c>
      <c r="O389" t="n">
        <v>0</v>
      </c>
      <c r="P389" t="n">
        <v>0</v>
      </c>
      <c r="Q389" t="n">
        <v>1</v>
      </c>
      <c r="R389" s="2" t="inlineStr">
        <is>
          <t>Vedticka</t>
        </is>
      </c>
      <c r="S389">
        <f>HYPERLINK("https://klasma.github.io/Logging_KALMAR/artfynd/A 37605-2019.xlsx", "A 37605-2019")</f>
        <v/>
      </c>
      <c r="T389">
        <f>HYPERLINK("https://klasma.github.io/Logging_KALMAR/kartor/A 37605-2019.png", "A 37605-2019")</f>
        <v/>
      </c>
      <c r="V389">
        <f>HYPERLINK("https://klasma.github.io/Logging_KALMAR/klagomål/A 37605-2019.docx", "A 37605-2019")</f>
        <v/>
      </c>
      <c r="W389">
        <f>HYPERLINK("https://klasma.github.io/Logging_KALMAR/klagomålsmail/A 37605-2019.docx", "A 37605-2019")</f>
        <v/>
      </c>
      <c r="X389">
        <f>HYPERLINK("https://klasma.github.io/Logging_KALMAR/tillsyn/A 37605-2019.docx", "A 37605-2019")</f>
        <v/>
      </c>
      <c r="Y389">
        <f>HYPERLINK("https://klasma.github.io/Logging_KALMAR/tillsynsmail/A 37605-2019.docx", "A 37605-2019")</f>
        <v/>
      </c>
    </row>
    <row r="390" ht="15" customHeight="1">
      <c r="A390" t="inlineStr">
        <is>
          <t>A 37689-2019</t>
        </is>
      </c>
      <c r="B390" s="1" t="n">
        <v>43682</v>
      </c>
      <c r="C390" s="1" t="n">
        <v>45190</v>
      </c>
      <c r="D390" t="inlineStr">
        <is>
          <t>KALMAR LÄN</t>
        </is>
      </c>
      <c r="E390" t="inlineStr">
        <is>
          <t>TORSÅS</t>
        </is>
      </c>
      <c r="G390" t="n">
        <v>7</v>
      </c>
      <c r="H390" t="n">
        <v>0</v>
      </c>
      <c r="I390" t="n">
        <v>0</v>
      </c>
      <c r="J390" t="n">
        <v>1</v>
      </c>
      <c r="K390" t="n">
        <v>0</v>
      </c>
      <c r="L390" t="n">
        <v>0</v>
      </c>
      <c r="M390" t="n">
        <v>0</v>
      </c>
      <c r="N390" t="n">
        <v>0</v>
      </c>
      <c r="O390" t="n">
        <v>1</v>
      </c>
      <c r="P390" t="n">
        <v>0</v>
      </c>
      <c r="Q390" t="n">
        <v>1</v>
      </c>
      <c r="R390" s="2" t="inlineStr">
        <is>
          <t>Sumpviol</t>
        </is>
      </c>
      <c r="S390">
        <f>HYPERLINK("https://klasma.github.io/Logging_TORSAS/artfynd/A 37689-2019.xlsx", "A 37689-2019")</f>
        <v/>
      </c>
      <c r="T390">
        <f>HYPERLINK("https://klasma.github.io/Logging_TORSAS/kartor/A 37689-2019.png", "A 37689-2019")</f>
        <v/>
      </c>
      <c r="V390">
        <f>HYPERLINK("https://klasma.github.io/Logging_TORSAS/klagomål/A 37689-2019.docx", "A 37689-2019")</f>
        <v/>
      </c>
      <c r="W390">
        <f>HYPERLINK("https://klasma.github.io/Logging_TORSAS/klagomålsmail/A 37689-2019.docx", "A 37689-2019")</f>
        <v/>
      </c>
      <c r="X390">
        <f>HYPERLINK("https://klasma.github.io/Logging_TORSAS/tillsyn/A 37689-2019.docx", "A 37689-2019")</f>
        <v/>
      </c>
      <c r="Y390">
        <f>HYPERLINK("https://klasma.github.io/Logging_TORSAS/tillsynsmail/A 37689-2019.docx", "A 37689-2019")</f>
        <v/>
      </c>
    </row>
    <row r="391" ht="15" customHeight="1">
      <c r="A391" t="inlineStr">
        <is>
          <t>A 38893-2019</t>
        </is>
      </c>
      <c r="B391" s="1" t="n">
        <v>43686</v>
      </c>
      <c r="C391" s="1" t="n">
        <v>45190</v>
      </c>
      <c r="D391" t="inlineStr">
        <is>
          <t>KALMAR LÄN</t>
        </is>
      </c>
      <c r="E391" t="inlineStr">
        <is>
          <t>HÖGSBY</t>
        </is>
      </c>
      <c r="G391" t="n">
        <v>8.699999999999999</v>
      </c>
      <c r="H391" t="n">
        <v>0</v>
      </c>
      <c r="I391" t="n">
        <v>0</v>
      </c>
      <c r="J391" t="n">
        <v>1</v>
      </c>
      <c r="K391" t="n">
        <v>0</v>
      </c>
      <c r="L391" t="n">
        <v>0</v>
      </c>
      <c r="M391" t="n">
        <v>0</v>
      </c>
      <c r="N391" t="n">
        <v>0</v>
      </c>
      <c r="O391" t="n">
        <v>1</v>
      </c>
      <c r="P391" t="n">
        <v>0</v>
      </c>
      <c r="Q391" t="n">
        <v>1</v>
      </c>
      <c r="R391" s="2" t="inlineStr">
        <is>
          <t>Bergjohannesört</t>
        </is>
      </c>
      <c r="S391">
        <f>HYPERLINK("https://klasma.github.io/Logging_HOGSBY/artfynd/A 38893-2019.xlsx", "A 38893-2019")</f>
        <v/>
      </c>
      <c r="T391">
        <f>HYPERLINK("https://klasma.github.io/Logging_HOGSBY/kartor/A 38893-2019.png", "A 38893-2019")</f>
        <v/>
      </c>
      <c r="V391">
        <f>HYPERLINK("https://klasma.github.io/Logging_HOGSBY/klagomål/A 38893-2019.docx", "A 38893-2019")</f>
        <v/>
      </c>
      <c r="W391">
        <f>HYPERLINK("https://klasma.github.io/Logging_HOGSBY/klagomålsmail/A 38893-2019.docx", "A 38893-2019")</f>
        <v/>
      </c>
      <c r="X391">
        <f>HYPERLINK("https://klasma.github.io/Logging_HOGSBY/tillsyn/A 38893-2019.docx", "A 38893-2019")</f>
        <v/>
      </c>
      <c r="Y391">
        <f>HYPERLINK("https://klasma.github.io/Logging_HOGSBY/tillsynsmail/A 38893-2019.docx", "A 38893-2019")</f>
        <v/>
      </c>
    </row>
    <row r="392" ht="15" customHeight="1">
      <c r="A392" t="inlineStr">
        <is>
          <t>A 39367-2019</t>
        </is>
      </c>
      <c r="B392" s="1" t="n">
        <v>43690</v>
      </c>
      <c r="C392" s="1" t="n">
        <v>45190</v>
      </c>
      <c r="D392" t="inlineStr">
        <is>
          <t>KALMAR LÄN</t>
        </is>
      </c>
      <c r="E392" t="inlineStr">
        <is>
          <t>MÖRBYLÅNGA</t>
        </is>
      </c>
      <c r="G392" t="n">
        <v>1</v>
      </c>
      <c r="H392" t="n">
        <v>1</v>
      </c>
      <c r="I392" t="n">
        <v>0</v>
      </c>
      <c r="J392" t="n">
        <v>0</v>
      </c>
      <c r="K392" t="n">
        <v>0</v>
      </c>
      <c r="L392" t="n">
        <v>0</v>
      </c>
      <c r="M392" t="n">
        <v>0</v>
      </c>
      <c r="N392" t="n">
        <v>0</v>
      </c>
      <c r="O392" t="n">
        <v>0</v>
      </c>
      <c r="P392" t="n">
        <v>0</v>
      </c>
      <c r="Q392" t="n">
        <v>1</v>
      </c>
      <c r="R392" s="2" t="inlineStr">
        <is>
          <t>Blåsippa</t>
        </is>
      </c>
      <c r="S392">
        <f>HYPERLINK("https://klasma.github.io/Logging_MORBYLANGA/artfynd/A 39367-2019.xlsx", "A 39367-2019")</f>
        <v/>
      </c>
      <c r="T392">
        <f>HYPERLINK("https://klasma.github.io/Logging_MORBYLANGA/kartor/A 39367-2019.png", "A 39367-2019")</f>
        <v/>
      </c>
      <c r="V392">
        <f>HYPERLINK("https://klasma.github.io/Logging_MORBYLANGA/klagomål/A 39367-2019.docx", "A 39367-2019")</f>
        <v/>
      </c>
      <c r="W392">
        <f>HYPERLINK("https://klasma.github.io/Logging_MORBYLANGA/klagomålsmail/A 39367-2019.docx", "A 39367-2019")</f>
        <v/>
      </c>
      <c r="X392">
        <f>HYPERLINK("https://klasma.github.io/Logging_MORBYLANGA/tillsyn/A 39367-2019.docx", "A 39367-2019")</f>
        <v/>
      </c>
      <c r="Y392">
        <f>HYPERLINK("https://klasma.github.io/Logging_MORBYLANGA/tillsynsmail/A 39367-2019.docx", "A 39367-2019")</f>
        <v/>
      </c>
    </row>
    <row r="393" ht="15" customHeight="1">
      <c r="A393" t="inlineStr">
        <is>
          <t>A 39421-2019</t>
        </is>
      </c>
      <c r="B393" s="1" t="n">
        <v>43690</v>
      </c>
      <c r="C393" s="1" t="n">
        <v>45190</v>
      </c>
      <c r="D393" t="inlineStr">
        <is>
          <t>KALMAR LÄN</t>
        </is>
      </c>
      <c r="E393" t="inlineStr">
        <is>
          <t>HÖGSBY</t>
        </is>
      </c>
      <c r="G393" t="n">
        <v>10.7</v>
      </c>
      <c r="H393" t="n">
        <v>0</v>
      </c>
      <c r="I393" t="n">
        <v>0</v>
      </c>
      <c r="J393" t="n">
        <v>1</v>
      </c>
      <c r="K393" t="n">
        <v>0</v>
      </c>
      <c r="L393" t="n">
        <v>0</v>
      </c>
      <c r="M393" t="n">
        <v>0</v>
      </c>
      <c r="N393" t="n">
        <v>0</v>
      </c>
      <c r="O393" t="n">
        <v>1</v>
      </c>
      <c r="P393" t="n">
        <v>0</v>
      </c>
      <c r="Q393" t="n">
        <v>1</v>
      </c>
      <c r="R393" s="2" t="inlineStr">
        <is>
          <t>Sandviol</t>
        </is>
      </c>
      <c r="S393">
        <f>HYPERLINK("https://klasma.github.io/Logging_HOGSBY/artfynd/A 39421-2019.xlsx", "A 39421-2019")</f>
        <v/>
      </c>
      <c r="T393">
        <f>HYPERLINK("https://klasma.github.io/Logging_HOGSBY/kartor/A 39421-2019.png", "A 39421-2019")</f>
        <v/>
      </c>
      <c r="V393">
        <f>HYPERLINK("https://klasma.github.io/Logging_HOGSBY/klagomål/A 39421-2019.docx", "A 39421-2019")</f>
        <v/>
      </c>
      <c r="W393">
        <f>HYPERLINK("https://klasma.github.io/Logging_HOGSBY/klagomålsmail/A 39421-2019.docx", "A 39421-2019")</f>
        <v/>
      </c>
      <c r="X393">
        <f>HYPERLINK("https://klasma.github.io/Logging_HOGSBY/tillsyn/A 39421-2019.docx", "A 39421-2019")</f>
        <v/>
      </c>
      <c r="Y393">
        <f>HYPERLINK("https://klasma.github.io/Logging_HOGSBY/tillsynsmail/A 39421-2019.docx", "A 39421-2019")</f>
        <v/>
      </c>
    </row>
    <row r="394" ht="15" customHeight="1">
      <c r="A394" t="inlineStr">
        <is>
          <t>A 39360-2019</t>
        </is>
      </c>
      <c r="B394" s="1" t="n">
        <v>43690</v>
      </c>
      <c r="C394" s="1" t="n">
        <v>45190</v>
      </c>
      <c r="D394" t="inlineStr">
        <is>
          <t>KALMAR LÄN</t>
        </is>
      </c>
      <c r="E394" t="inlineStr">
        <is>
          <t>NYBRO</t>
        </is>
      </c>
      <c r="G394" t="n">
        <v>0.6</v>
      </c>
      <c r="H394" t="n">
        <v>1</v>
      </c>
      <c r="I394" t="n">
        <v>0</v>
      </c>
      <c r="J394" t="n">
        <v>0</v>
      </c>
      <c r="K394" t="n">
        <v>0</v>
      </c>
      <c r="L394" t="n">
        <v>0</v>
      </c>
      <c r="M394" t="n">
        <v>0</v>
      </c>
      <c r="N394" t="n">
        <v>0</v>
      </c>
      <c r="O394" t="n">
        <v>0</v>
      </c>
      <c r="P394" t="n">
        <v>0</v>
      </c>
      <c r="Q394" t="n">
        <v>1</v>
      </c>
      <c r="R394" s="2" t="inlineStr">
        <is>
          <t>Revlummer</t>
        </is>
      </c>
      <c r="S394">
        <f>HYPERLINK("https://klasma.github.io/Logging_NYBRO/artfynd/A 39360-2019.xlsx", "A 39360-2019")</f>
        <v/>
      </c>
      <c r="T394">
        <f>HYPERLINK("https://klasma.github.io/Logging_NYBRO/kartor/A 39360-2019.png", "A 39360-2019")</f>
        <v/>
      </c>
      <c r="U394">
        <f>HYPERLINK("https://klasma.github.io/Logging_NYBRO/knärot/A 39360-2019.png", "A 39360-2019")</f>
        <v/>
      </c>
      <c r="V394">
        <f>HYPERLINK("https://klasma.github.io/Logging_NYBRO/klagomål/A 39360-2019.docx", "A 39360-2019")</f>
        <v/>
      </c>
      <c r="W394">
        <f>HYPERLINK("https://klasma.github.io/Logging_NYBRO/klagomålsmail/A 39360-2019.docx", "A 39360-2019")</f>
        <v/>
      </c>
      <c r="X394">
        <f>HYPERLINK("https://klasma.github.io/Logging_NYBRO/tillsyn/A 39360-2019.docx", "A 39360-2019")</f>
        <v/>
      </c>
      <c r="Y394">
        <f>HYPERLINK("https://klasma.github.io/Logging_NYBRO/tillsynsmail/A 39360-2019.docx", "A 39360-2019")</f>
        <v/>
      </c>
    </row>
    <row r="395" ht="15" customHeight="1">
      <c r="A395" t="inlineStr">
        <is>
          <t>A 40786-2019</t>
        </is>
      </c>
      <c r="B395" s="1" t="n">
        <v>43692</v>
      </c>
      <c r="C395" s="1" t="n">
        <v>45190</v>
      </c>
      <c r="D395" t="inlineStr">
        <is>
          <t>KALMAR LÄN</t>
        </is>
      </c>
      <c r="E395" t="inlineStr">
        <is>
          <t>EMMABODA</t>
        </is>
      </c>
      <c r="F395" t="inlineStr">
        <is>
          <t>Kyrkan</t>
        </is>
      </c>
      <c r="G395" t="n">
        <v>6.6</v>
      </c>
      <c r="H395" t="n">
        <v>0</v>
      </c>
      <c r="I395" t="n">
        <v>0</v>
      </c>
      <c r="J395" t="n">
        <v>1</v>
      </c>
      <c r="K395" t="n">
        <v>0</v>
      </c>
      <c r="L395" t="n">
        <v>0</v>
      </c>
      <c r="M395" t="n">
        <v>0</v>
      </c>
      <c r="N395" t="n">
        <v>0</v>
      </c>
      <c r="O395" t="n">
        <v>1</v>
      </c>
      <c r="P395" t="n">
        <v>0</v>
      </c>
      <c r="Q395" t="n">
        <v>1</v>
      </c>
      <c r="R395" s="2" t="inlineStr">
        <is>
          <t>Gullklöver</t>
        </is>
      </c>
      <c r="S395">
        <f>HYPERLINK("https://klasma.github.io/Logging_EMMABODA/artfynd/A 40786-2019.xlsx", "A 40786-2019")</f>
        <v/>
      </c>
      <c r="T395">
        <f>HYPERLINK("https://klasma.github.io/Logging_EMMABODA/kartor/A 40786-2019.png", "A 40786-2019")</f>
        <v/>
      </c>
      <c r="V395">
        <f>HYPERLINK("https://klasma.github.io/Logging_EMMABODA/klagomål/A 40786-2019.docx", "A 40786-2019")</f>
        <v/>
      </c>
      <c r="W395">
        <f>HYPERLINK("https://klasma.github.io/Logging_EMMABODA/klagomålsmail/A 40786-2019.docx", "A 40786-2019")</f>
        <v/>
      </c>
      <c r="X395">
        <f>HYPERLINK("https://klasma.github.io/Logging_EMMABODA/tillsyn/A 40786-2019.docx", "A 40786-2019")</f>
        <v/>
      </c>
      <c r="Y395">
        <f>HYPERLINK("https://klasma.github.io/Logging_EMMABODA/tillsynsmail/A 40786-2019.docx", "A 40786-2019")</f>
        <v/>
      </c>
    </row>
    <row r="396" ht="15" customHeight="1">
      <c r="A396" t="inlineStr">
        <is>
          <t>A 41664-2019</t>
        </is>
      </c>
      <c r="B396" s="1" t="n">
        <v>43699</v>
      </c>
      <c r="C396" s="1" t="n">
        <v>45190</v>
      </c>
      <c r="D396" t="inlineStr">
        <is>
          <t>KALMAR LÄN</t>
        </is>
      </c>
      <c r="E396" t="inlineStr">
        <is>
          <t>MÖNSTERÅS</t>
        </is>
      </c>
      <c r="G396" t="n">
        <v>10.2</v>
      </c>
      <c r="H396" t="n">
        <v>0</v>
      </c>
      <c r="I396" t="n">
        <v>1</v>
      </c>
      <c r="J396" t="n">
        <v>0</v>
      </c>
      <c r="K396" t="n">
        <v>0</v>
      </c>
      <c r="L396" t="n">
        <v>0</v>
      </c>
      <c r="M396" t="n">
        <v>0</v>
      </c>
      <c r="N396" t="n">
        <v>0</v>
      </c>
      <c r="O396" t="n">
        <v>0</v>
      </c>
      <c r="P396" t="n">
        <v>0</v>
      </c>
      <c r="Q396" t="n">
        <v>1</v>
      </c>
      <c r="R396" s="2" t="inlineStr">
        <is>
          <t>Underviol</t>
        </is>
      </c>
      <c r="S396">
        <f>HYPERLINK("https://klasma.github.io/Logging_MONSTERAS/artfynd/A 41664-2019.xlsx", "A 41664-2019")</f>
        <v/>
      </c>
      <c r="T396">
        <f>HYPERLINK("https://klasma.github.io/Logging_MONSTERAS/kartor/A 41664-2019.png", "A 41664-2019")</f>
        <v/>
      </c>
      <c r="V396">
        <f>HYPERLINK("https://klasma.github.io/Logging_MONSTERAS/klagomål/A 41664-2019.docx", "A 41664-2019")</f>
        <v/>
      </c>
      <c r="W396">
        <f>HYPERLINK("https://klasma.github.io/Logging_MONSTERAS/klagomålsmail/A 41664-2019.docx", "A 41664-2019")</f>
        <v/>
      </c>
      <c r="X396">
        <f>HYPERLINK("https://klasma.github.io/Logging_MONSTERAS/tillsyn/A 41664-2019.docx", "A 41664-2019")</f>
        <v/>
      </c>
      <c r="Y396">
        <f>HYPERLINK("https://klasma.github.io/Logging_MONSTERAS/tillsynsmail/A 41664-2019.docx", "A 41664-2019")</f>
        <v/>
      </c>
    </row>
    <row r="397" ht="15" customHeight="1">
      <c r="A397" t="inlineStr">
        <is>
          <t>A 42104-2019</t>
        </is>
      </c>
      <c r="B397" s="1" t="n">
        <v>43702</v>
      </c>
      <c r="C397" s="1" t="n">
        <v>45190</v>
      </c>
      <c r="D397" t="inlineStr">
        <is>
          <t>KALMAR LÄN</t>
        </is>
      </c>
      <c r="E397" t="inlineStr">
        <is>
          <t>HULTSFRED</t>
        </is>
      </c>
      <c r="G397" t="n">
        <v>29.4</v>
      </c>
      <c r="H397" t="n">
        <v>0</v>
      </c>
      <c r="I397" t="n">
        <v>1</v>
      </c>
      <c r="J397" t="n">
        <v>0</v>
      </c>
      <c r="K397" t="n">
        <v>0</v>
      </c>
      <c r="L397" t="n">
        <v>0</v>
      </c>
      <c r="M397" t="n">
        <v>0</v>
      </c>
      <c r="N397" t="n">
        <v>0</v>
      </c>
      <c r="O397" t="n">
        <v>0</v>
      </c>
      <c r="P397" t="n">
        <v>0</v>
      </c>
      <c r="Q397" t="n">
        <v>1</v>
      </c>
      <c r="R397" s="2" t="inlineStr">
        <is>
          <t>Murgröna</t>
        </is>
      </c>
      <c r="S397">
        <f>HYPERLINK("https://klasma.github.io/Logging_HULTSFRED/artfynd/A 42104-2019.xlsx", "A 42104-2019")</f>
        <v/>
      </c>
      <c r="T397">
        <f>HYPERLINK("https://klasma.github.io/Logging_HULTSFRED/kartor/A 42104-2019.png", "A 42104-2019")</f>
        <v/>
      </c>
      <c r="V397">
        <f>HYPERLINK("https://klasma.github.io/Logging_HULTSFRED/klagomål/A 42104-2019.docx", "A 42104-2019")</f>
        <v/>
      </c>
      <c r="W397">
        <f>HYPERLINK("https://klasma.github.io/Logging_HULTSFRED/klagomålsmail/A 42104-2019.docx", "A 42104-2019")</f>
        <v/>
      </c>
      <c r="X397">
        <f>HYPERLINK("https://klasma.github.io/Logging_HULTSFRED/tillsyn/A 42104-2019.docx", "A 42104-2019")</f>
        <v/>
      </c>
      <c r="Y397">
        <f>HYPERLINK("https://klasma.github.io/Logging_HULTSFRED/tillsynsmail/A 42104-2019.docx", "A 42104-2019")</f>
        <v/>
      </c>
    </row>
    <row r="398" ht="15" customHeight="1">
      <c r="A398" t="inlineStr">
        <is>
          <t>A 42211-2019</t>
        </is>
      </c>
      <c r="B398" s="1" t="n">
        <v>43703</v>
      </c>
      <c r="C398" s="1" t="n">
        <v>45190</v>
      </c>
      <c r="D398" t="inlineStr">
        <is>
          <t>KALMAR LÄN</t>
        </is>
      </c>
      <c r="E398" t="inlineStr">
        <is>
          <t>TORSÅS</t>
        </is>
      </c>
      <c r="G398" t="n">
        <v>2.3</v>
      </c>
      <c r="H398" t="n">
        <v>0</v>
      </c>
      <c r="I398" t="n">
        <v>0</v>
      </c>
      <c r="J398" t="n">
        <v>0</v>
      </c>
      <c r="K398" t="n">
        <v>0</v>
      </c>
      <c r="L398" t="n">
        <v>0</v>
      </c>
      <c r="M398" t="n">
        <v>0</v>
      </c>
      <c r="N398" t="n">
        <v>1</v>
      </c>
      <c r="O398" t="n">
        <v>1</v>
      </c>
      <c r="P398" t="n">
        <v>0</v>
      </c>
      <c r="Q398" t="n">
        <v>1</v>
      </c>
      <c r="R398" s="2" t="inlineStr">
        <is>
          <t>Pimpinellros</t>
        </is>
      </c>
      <c r="S398">
        <f>HYPERLINK("https://klasma.github.io/Logging_TORSAS/artfynd/A 42211-2019.xlsx", "A 42211-2019")</f>
        <v/>
      </c>
      <c r="T398">
        <f>HYPERLINK("https://klasma.github.io/Logging_TORSAS/kartor/A 42211-2019.png", "A 42211-2019")</f>
        <v/>
      </c>
      <c r="V398">
        <f>HYPERLINK("https://klasma.github.io/Logging_TORSAS/klagomål/A 42211-2019.docx", "A 42211-2019")</f>
        <v/>
      </c>
      <c r="W398">
        <f>HYPERLINK("https://klasma.github.io/Logging_TORSAS/klagomålsmail/A 42211-2019.docx", "A 42211-2019")</f>
        <v/>
      </c>
      <c r="X398">
        <f>HYPERLINK("https://klasma.github.io/Logging_TORSAS/tillsyn/A 42211-2019.docx", "A 42211-2019")</f>
        <v/>
      </c>
      <c r="Y398">
        <f>HYPERLINK("https://klasma.github.io/Logging_TORSAS/tillsynsmail/A 42211-2019.docx", "A 42211-2019")</f>
        <v/>
      </c>
    </row>
    <row r="399" ht="15" customHeight="1">
      <c r="A399" t="inlineStr">
        <is>
          <t>A 43503-2019</t>
        </is>
      </c>
      <c r="B399" s="1" t="n">
        <v>43706</v>
      </c>
      <c r="C399" s="1" t="n">
        <v>45190</v>
      </c>
      <c r="D399" t="inlineStr">
        <is>
          <t>KALMAR LÄN</t>
        </is>
      </c>
      <c r="E399" t="inlineStr">
        <is>
          <t>MÖNSTERÅS</t>
        </is>
      </c>
      <c r="G399" t="n">
        <v>7.5</v>
      </c>
      <c r="H399" t="n">
        <v>0</v>
      </c>
      <c r="I399" t="n">
        <v>0</v>
      </c>
      <c r="J399" t="n">
        <v>1</v>
      </c>
      <c r="K399" t="n">
        <v>0</v>
      </c>
      <c r="L399" t="n">
        <v>0</v>
      </c>
      <c r="M399" t="n">
        <v>0</v>
      </c>
      <c r="N399" t="n">
        <v>0</v>
      </c>
      <c r="O399" t="n">
        <v>1</v>
      </c>
      <c r="P399" t="n">
        <v>0</v>
      </c>
      <c r="Q399" t="n">
        <v>1</v>
      </c>
      <c r="R399" s="2" t="inlineStr">
        <is>
          <t>Ekgetingbock</t>
        </is>
      </c>
      <c r="S399">
        <f>HYPERLINK("https://klasma.github.io/Logging_MONSTERAS/artfynd/A 43503-2019.xlsx", "A 43503-2019")</f>
        <v/>
      </c>
      <c r="T399">
        <f>HYPERLINK("https://klasma.github.io/Logging_MONSTERAS/kartor/A 43503-2019.png", "A 43503-2019")</f>
        <v/>
      </c>
      <c r="V399">
        <f>HYPERLINK("https://klasma.github.io/Logging_MONSTERAS/klagomål/A 43503-2019.docx", "A 43503-2019")</f>
        <v/>
      </c>
      <c r="W399">
        <f>HYPERLINK("https://klasma.github.io/Logging_MONSTERAS/klagomålsmail/A 43503-2019.docx", "A 43503-2019")</f>
        <v/>
      </c>
      <c r="X399">
        <f>HYPERLINK("https://klasma.github.io/Logging_MONSTERAS/tillsyn/A 43503-2019.docx", "A 43503-2019")</f>
        <v/>
      </c>
      <c r="Y399">
        <f>HYPERLINK("https://klasma.github.io/Logging_MONSTERAS/tillsynsmail/A 43503-2019.docx", "A 43503-2019")</f>
        <v/>
      </c>
    </row>
    <row r="400" ht="15" customHeight="1">
      <c r="A400" t="inlineStr">
        <is>
          <t>A 46011-2019</t>
        </is>
      </c>
      <c r="B400" s="1" t="n">
        <v>43718</v>
      </c>
      <c r="C400" s="1" t="n">
        <v>45190</v>
      </c>
      <c r="D400" t="inlineStr">
        <is>
          <t>KALMAR LÄN</t>
        </is>
      </c>
      <c r="E400" t="inlineStr">
        <is>
          <t>HÖGSBY</t>
        </is>
      </c>
      <c r="F400" t="inlineStr">
        <is>
          <t>Sveaskog</t>
        </is>
      </c>
      <c r="G400" t="n">
        <v>5.3</v>
      </c>
      <c r="H400" t="n">
        <v>1</v>
      </c>
      <c r="I400" t="n">
        <v>0</v>
      </c>
      <c r="J400" t="n">
        <v>0</v>
      </c>
      <c r="K400" t="n">
        <v>1</v>
      </c>
      <c r="L400" t="n">
        <v>0</v>
      </c>
      <c r="M400" t="n">
        <v>0</v>
      </c>
      <c r="N400" t="n">
        <v>0</v>
      </c>
      <c r="O400" t="n">
        <v>1</v>
      </c>
      <c r="P400" t="n">
        <v>1</v>
      </c>
      <c r="Q400" t="n">
        <v>1</v>
      </c>
      <c r="R400" s="2" t="inlineStr">
        <is>
          <t>Läderbagge</t>
        </is>
      </c>
      <c r="S400">
        <f>HYPERLINK("https://klasma.github.io/Logging_HOGSBY/artfynd/A 46011-2019.xlsx", "A 46011-2019")</f>
        <v/>
      </c>
      <c r="T400">
        <f>HYPERLINK("https://klasma.github.io/Logging_HOGSBY/kartor/A 46011-2019.png", "A 46011-2019")</f>
        <v/>
      </c>
      <c r="V400">
        <f>HYPERLINK("https://klasma.github.io/Logging_HOGSBY/klagomål/A 46011-2019.docx", "A 46011-2019")</f>
        <v/>
      </c>
      <c r="W400">
        <f>HYPERLINK("https://klasma.github.io/Logging_HOGSBY/klagomålsmail/A 46011-2019.docx", "A 46011-2019")</f>
        <v/>
      </c>
      <c r="X400">
        <f>HYPERLINK("https://klasma.github.io/Logging_HOGSBY/tillsyn/A 46011-2019.docx", "A 46011-2019")</f>
        <v/>
      </c>
      <c r="Y400">
        <f>HYPERLINK("https://klasma.github.io/Logging_HOGSBY/tillsynsmail/A 46011-2019.docx", "A 46011-2019")</f>
        <v/>
      </c>
    </row>
    <row r="401" ht="15" customHeight="1">
      <c r="A401" t="inlineStr">
        <is>
          <t>A 48001-2019</t>
        </is>
      </c>
      <c r="B401" s="1" t="n">
        <v>43725</v>
      </c>
      <c r="C401" s="1" t="n">
        <v>45190</v>
      </c>
      <c r="D401" t="inlineStr">
        <is>
          <t>KALMAR LÄN</t>
        </is>
      </c>
      <c r="E401" t="inlineStr">
        <is>
          <t>MÖRBYLÅNGA</t>
        </is>
      </c>
      <c r="G401" t="n">
        <v>2.6</v>
      </c>
      <c r="H401" t="n">
        <v>0</v>
      </c>
      <c r="I401" t="n">
        <v>1</v>
      </c>
      <c r="J401" t="n">
        <v>0</v>
      </c>
      <c r="K401" t="n">
        <v>0</v>
      </c>
      <c r="L401" t="n">
        <v>0</v>
      </c>
      <c r="M401" t="n">
        <v>0</v>
      </c>
      <c r="N401" t="n">
        <v>0</v>
      </c>
      <c r="O401" t="n">
        <v>0</v>
      </c>
      <c r="P401" t="n">
        <v>0</v>
      </c>
      <c r="Q401" t="n">
        <v>1</v>
      </c>
      <c r="R401" s="2" t="inlineStr">
        <is>
          <t>Murgröna</t>
        </is>
      </c>
      <c r="S401">
        <f>HYPERLINK("https://klasma.github.io/Logging_MORBYLANGA/artfynd/A 48001-2019.xlsx", "A 48001-2019")</f>
        <v/>
      </c>
      <c r="T401">
        <f>HYPERLINK("https://klasma.github.io/Logging_MORBYLANGA/kartor/A 48001-2019.png", "A 48001-2019")</f>
        <v/>
      </c>
      <c r="V401">
        <f>HYPERLINK("https://klasma.github.io/Logging_MORBYLANGA/klagomål/A 48001-2019.docx", "A 48001-2019")</f>
        <v/>
      </c>
      <c r="W401">
        <f>HYPERLINK("https://klasma.github.io/Logging_MORBYLANGA/klagomålsmail/A 48001-2019.docx", "A 48001-2019")</f>
        <v/>
      </c>
      <c r="X401">
        <f>HYPERLINK("https://klasma.github.io/Logging_MORBYLANGA/tillsyn/A 48001-2019.docx", "A 48001-2019")</f>
        <v/>
      </c>
      <c r="Y401">
        <f>HYPERLINK("https://klasma.github.io/Logging_MORBYLANGA/tillsynsmail/A 48001-2019.docx", "A 48001-2019")</f>
        <v/>
      </c>
    </row>
    <row r="402" ht="15" customHeight="1">
      <c r="A402" t="inlineStr">
        <is>
          <t>A 49015-2019</t>
        </is>
      </c>
      <c r="B402" s="1" t="n">
        <v>43731</v>
      </c>
      <c r="C402" s="1" t="n">
        <v>45190</v>
      </c>
      <c r="D402" t="inlineStr">
        <is>
          <t>KALMAR LÄN</t>
        </is>
      </c>
      <c r="E402" t="inlineStr">
        <is>
          <t>KALMAR</t>
        </is>
      </c>
      <c r="G402" t="n">
        <v>0.5</v>
      </c>
      <c r="H402" t="n">
        <v>1</v>
      </c>
      <c r="I402" t="n">
        <v>0</v>
      </c>
      <c r="J402" t="n">
        <v>0</v>
      </c>
      <c r="K402" t="n">
        <v>1</v>
      </c>
      <c r="L402" t="n">
        <v>0</v>
      </c>
      <c r="M402" t="n">
        <v>0</v>
      </c>
      <c r="N402" t="n">
        <v>0</v>
      </c>
      <c r="O402" t="n">
        <v>1</v>
      </c>
      <c r="P402" t="n">
        <v>1</v>
      </c>
      <c r="Q402" t="n">
        <v>1</v>
      </c>
      <c r="R402" s="2" t="inlineStr">
        <is>
          <t>Knärot</t>
        </is>
      </c>
      <c r="S402">
        <f>HYPERLINK("https://klasma.github.io/Logging_KALMAR/artfynd/A 49015-2019.xlsx", "A 49015-2019")</f>
        <v/>
      </c>
      <c r="T402">
        <f>HYPERLINK("https://klasma.github.io/Logging_KALMAR/kartor/A 49015-2019.png", "A 49015-2019")</f>
        <v/>
      </c>
      <c r="U402">
        <f>HYPERLINK("https://klasma.github.io/Logging_KALMAR/knärot/A 49015-2019.png", "A 49015-2019")</f>
        <v/>
      </c>
      <c r="V402">
        <f>HYPERLINK("https://klasma.github.io/Logging_KALMAR/klagomål/A 49015-2019.docx", "A 49015-2019")</f>
        <v/>
      </c>
      <c r="W402">
        <f>HYPERLINK("https://klasma.github.io/Logging_KALMAR/klagomålsmail/A 49015-2019.docx", "A 49015-2019")</f>
        <v/>
      </c>
      <c r="X402">
        <f>HYPERLINK("https://klasma.github.io/Logging_KALMAR/tillsyn/A 49015-2019.docx", "A 49015-2019")</f>
        <v/>
      </c>
      <c r="Y402">
        <f>HYPERLINK("https://klasma.github.io/Logging_KALMAR/tillsynsmail/A 49015-2019.docx", "A 49015-2019")</f>
        <v/>
      </c>
    </row>
    <row r="403" ht="15" customHeight="1">
      <c r="A403" t="inlineStr">
        <is>
          <t>A 50067-2019</t>
        </is>
      </c>
      <c r="B403" s="1" t="n">
        <v>43734</v>
      </c>
      <c r="C403" s="1" t="n">
        <v>45190</v>
      </c>
      <c r="D403" t="inlineStr">
        <is>
          <t>KALMAR LÄN</t>
        </is>
      </c>
      <c r="E403" t="inlineStr">
        <is>
          <t>KALMAR</t>
        </is>
      </c>
      <c r="G403" t="n">
        <v>4</v>
      </c>
      <c r="H403" t="n">
        <v>0</v>
      </c>
      <c r="I403" t="n">
        <v>1</v>
      </c>
      <c r="J403" t="n">
        <v>0</v>
      </c>
      <c r="K403" t="n">
        <v>0</v>
      </c>
      <c r="L403" t="n">
        <v>0</v>
      </c>
      <c r="M403" t="n">
        <v>0</v>
      </c>
      <c r="N403" t="n">
        <v>0</v>
      </c>
      <c r="O403" t="n">
        <v>0</v>
      </c>
      <c r="P403" t="n">
        <v>0</v>
      </c>
      <c r="Q403" t="n">
        <v>1</v>
      </c>
      <c r="R403" s="2" t="inlineStr">
        <is>
          <t>Murgröna</t>
        </is>
      </c>
      <c r="S403">
        <f>HYPERLINK("https://klasma.github.io/Logging_KALMAR/artfynd/A 50067-2019.xlsx", "A 50067-2019")</f>
        <v/>
      </c>
      <c r="T403">
        <f>HYPERLINK("https://klasma.github.io/Logging_KALMAR/kartor/A 50067-2019.png", "A 50067-2019")</f>
        <v/>
      </c>
      <c r="V403">
        <f>HYPERLINK("https://klasma.github.io/Logging_KALMAR/klagomål/A 50067-2019.docx", "A 50067-2019")</f>
        <v/>
      </c>
      <c r="W403">
        <f>HYPERLINK("https://klasma.github.io/Logging_KALMAR/klagomålsmail/A 50067-2019.docx", "A 50067-2019")</f>
        <v/>
      </c>
      <c r="X403">
        <f>HYPERLINK("https://klasma.github.io/Logging_KALMAR/tillsyn/A 50067-2019.docx", "A 50067-2019")</f>
        <v/>
      </c>
      <c r="Y403">
        <f>HYPERLINK("https://klasma.github.io/Logging_KALMAR/tillsynsmail/A 50067-2019.docx", "A 50067-2019")</f>
        <v/>
      </c>
    </row>
    <row r="404" ht="15" customHeight="1">
      <c r="A404" t="inlineStr">
        <is>
          <t>A 50161-2019</t>
        </is>
      </c>
      <c r="B404" s="1" t="n">
        <v>43734</v>
      </c>
      <c r="C404" s="1" t="n">
        <v>45190</v>
      </c>
      <c r="D404" t="inlineStr">
        <is>
          <t>KALMAR LÄN</t>
        </is>
      </c>
      <c r="E404" t="inlineStr">
        <is>
          <t>NYBRO</t>
        </is>
      </c>
      <c r="G404" t="n">
        <v>1.6</v>
      </c>
      <c r="H404" t="n">
        <v>1</v>
      </c>
      <c r="I404" t="n">
        <v>1</v>
      </c>
      <c r="J404" t="n">
        <v>0</v>
      </c>
      <c r="K404" t="n">
        <v>0</v>
      </c>
      <c r="L404" t="n">
        <v>0</v>
      </c>
      <c r="M404" t="n">
        <v>0</v>
      </c>
      <c r="N404" t="n">
        <v>0</v>
      </c>
      <c r="O404" t="n">
        <v>0</v>
      </c>
      <c r="P404" t="n">
        <v>0</v>
      </c>
      <c r="Q404" t="n">
        <v>1</v>
      </c>
      <c r="R404" s="2" t="inlineStr">
        <is>
          <t>Korallrot</t>
        </is>
      </c>
      <c r="S404">
        <f>HYPERLINK("https://klasma.github.io/Logging_NYBRO/artfynd/A 50161-2019.xlsx", "A 50161-2019")</f>
        <v/>
      </c>
      <c r="T404">
        <f>HYPERLINK("https://klasma.github.io/Logging_NYBRO/kartor/A 50161-2019.png", "A 50161-2019")</f>
        <v/>
      </c>
      <c r="V404">
        <f>HYPERLINK("https://klasma.github.io/Logging_NYBRO/klagomål/A 50161-2019.docx", "A 50161-2019")</f>
        <v/>
      </c>
      <c r="W404">
        <f>HYPERLINK("https://klasma.github.io/Logging_NYBRO/klagomålsmail/A 50161-2019.docx", "A 50161-2019")</f>
        <v/>
      </c>
      <c r="X404">
        <f>HYPERLINK("https://klasma.github.io/Logging_NYBRO/tillsyn/A 50161-2019.docx", "A 50161-2019")</f>
        <v/>
      </c>
      <c r="Y404">
        <f>HYPERLINK("https://klasma.github.io/Logging_NYBRO/tillsynsmail/A 50161-2019.docx", "A 50161-2019")</f>
        <v/>
      </c>
    </row>
    <row r="405" ht="15" customHeight="1">
      <c r="A405" t="inlineStr">
        <is>
          <t>A 50457-2019</t>
        </is>
      </c>
      <c r="B405" s="1" t="n">
        <v>43735</v>
      </c>
      <c r="C405" s="1" t="n">
        <v>45190</v>
      </c>
      <c r="D405" t="inlineStr">
        <is>
          <t>KALMAR LÄN</t>
        </is>
      </c>
      <c r="E405" t="inlineStr">
        <is>
          <t>HÖGSBY</t>
        </is>
      </c>
      <c r="G405" t="n">
        <v>11.9</v>
      </c>
      <c r="H405" t="n">
        <v>1</v>
      </c>
      <c r="I405" t="n">
        <v>0</v>
      </c>
      <c r="J405" t="n">
        <v>0</v>
      </c>
      <c r="K405" t="n">
        <v>0</v>
      </c>
      <c r="L405" t="n">
        <v>0</v>
      </c>
      <c r="M405" t="n">
        <v>0</v>
      </c>
      <c r="N405" t="n">
        <v>0</v>
      </c>
      <c r="O405" t="n">
        <v>0</v>
      </c>
      <c r="P405" t="n">
        <v>0</v>
      </c>
      <c r="Q405" t="n">
        <v>1</v>
      </c>
      <c r="R405" s="2" t="inlineStr">
        <is>
          <t>Blåsippa</t>
        </is>
      </c>
      <c r="S405">
        <f>HYPERLINK("https://klasma.github.io/Logging_HOGSBY/artfynd/A 50457-2019.xlsx", "A 50457-2019")</f>
        <v/>
      </c>
      <c r="T405">
        <f>HYPERLINK("https://klasma.github.io/Logging_HOGSBY/kartor/A 50457-2019.png", "A 50457-2019")</f>
        <v/>
      </c>
      <c r="U405">
        <f>HYPERLINK("https://klasma.github.io/Logging_HOGSBY/knärot/A 50457-2019.png", "A 50457-2019")</f>
        <v/>
      </c>
      <c r="V405">
        <f>HYPERLINK("https://klasma.github.io/Logging_HOGSBY/klagomål/A 50457-2019.docx", "A 50457-2019")</f>
        <v/>
      </c>
      <c r="W405">
        <f>HYPERLINK("https://klasma.github.io/Logging_HOGSBY/klagomålsmail/A 50457-2019.docx", "A 50457-2019")</f>
        <v/>
      </c>
      <c r="X405">
        <f>HYPERLINK("https://klasma.github.io/Logging_HOGSBY/tillsyn/A 50457-2019.docx", "A 50457-2019")</f>
        <v/>
      </c>
      <c r="Y405">
        <f>HYPERLINK("https://klasma.github.io/Logging_HOGSBY/tillsynsmail/A 50457-2019.docx", "A 50457-2019")</f>
        <v/>
      </c>
    </row>
    <row r="406" ht="15" customHeight="1">
      <c r="A406" t="inlineStr">
        <is>
          <t>A 51735-2019</t>
        </is>
      </c>
      <c r="B406" s="1" t="n">
        <v>43740</v>
      </c>
      <c r="C406" s="1" t="n">
        <v>45190</v>
      </c>
      <c r="D406" t="inlineStr">
        <is>
          <t>KALMAR LÄN</t>
        </is>
      </c>
      <c r="E406" t="inlineStr">
        <is>
          <t>NYBRO</t>
        </is>
      </c>
      <c r="F406" t="inlineStr">
        <is>
          <t>Kyrkan</t>
        </is>
      </c>
      <c r="G406" t="n">
        <v>2.9</v>
      </c>
      <c r="H406" t="n">
        <v>1</v>
      </c>
      <c r="I406" t="n">
        <v>0</v>
      </c>
      <c r="J406" t="n">
        <v>1</v>
      </c>
      <c r="K406" t="n">
        <v>0</v>
      </c>
      <c r="L406" t="n">
        <v>0</v>
      </c>
      <c r="M406" t="n">
        <v>0</v>
      </c>
      <c r="N406" t="n">
        <v>0</v>
      </c>
      <c r="O406" t="n">
        <v>1</v>
      </c>
      <c r="P406" t="n">
        <v>0</v>
      </c>
      <c r="Q406" t="n">
        <v>1</v>
      </c>
      <c r="R406" s="2" t="inlineStr">
        <is>
          <t>Havsörn</t>
        </is>
      </c>
      <c r="S406">
        <f>HYPERLINK("https://klasma.github.io/Logging_NYBRO/artfynd/A 51735-2019.xlsx", "A 51735-2019")</f>
        <v/>
      </c>
      <c r="T406">
        <f>HYPERLINK("https://klasma.github.io/Logging_NYBRO/kartor/A 51735-2019.png", "A 51735-2019")</f>
        <v/>
      </c>
      <c r="V406">
        <f>HYPERLINK("https://klasma.github.io/Logging_NYBRO/klagomål/A 51735-2019.docx", "A 51735-2019")</f>
        <v/>
      </c>
      <c r="W406">
        <f>HYPERLINK("https://klasma.github.io/Logging_NYBRO/klagomålsmail/A 51735-2019.docx", "A 51735-2019")</f>
        <v/>
      </c>
      <c r="X406">
        <f>HYPERLINK("https://klasma.github.io/Logging_NYBRO/tillsyn/A 51735-2019.docx", "A 51735-2019")</f>
        <v/>
      </c>
      <c r="Y406">
        <f>HYPERLINK("https://klasma.github.io/Logging_NYBRO/tillsynsmail/A 51735-2019.docx", "A 51735-2019")</f>
        <v/>
      </c>
    </row>
    <row r="407" ht="15" customHeight="1">
      <c r="A407" t="inlineStr">
        <is>
          <t>A 52156-2019</t>
        </is>
      </c>
      <c r="B407" s="1" t="n">
        <v>43742</v>
      </c>
      <c r="C407" s="1" t="n">
        <v>45190</v>
      </c>
      <c r="D407" t="inlineStr">
        <is>
          <t>KALMAR LÄN</t>
        </is>
      </c>
      <c r="E407" t="inlineStr">
        <is>
          <t>VIMMERBY</t>
        </is>
      </c>
      <c r="G407" t="n">
        <v>3.7</v>
      </c>
      <c r="H407" t="n">
        <v>1</v>
      </c>
      <c r="I407" t="n">
        <v>0</v>
      </c>
      <c r="J407" t="n">
        <v>0</v>
      </c>
      <c r="K407" t="n">
        <v>0</v>
      </c>
      <c r="L407" t="n">
        <v>0</v>
      </c>
      <c r="M407" t="n">
        <v>0</v>
      </c>
      <c r="N407" t="n">
        <v>0</v>
      </c>
      <c r="O407" t="n">
        <v>0</v>
      </c>
      <c r="P407" t="n">
        <v>0</v>
      </c>
      <c r="Q407" t="n">
        <v>1</v>
      </c>
      <c r="R407" s="2" t="inlineStr">
        <is>
          <t>Blåsippa</t>
        </is>
      </c>
      <c r="S407">
        <f>HYPERLINK("https://klasma.github.io/Logging_VIMMERBY/artfynd/A 52156-2019.xlsx", "A 52156-2019")</f>
        <v/>
      </c>
      <c r="T407">
        <f>HYPERLINK("https://klasma.github.io/Logging_VIMMERBY/kartor/A 52156-2019.png", "A 52156-2019")</f>
        <v/>
      </c>
      <c r="U407">
        <f>HYPERLINK("https://klasma.github.io/Logging_VIMMERBY/knärot/A 52156-2019.png", "A 52156-2019")</f>
        <v/>
      </c>
      <c r="V407">
        <f>HYPERLINK("https://klasma.github.io/Logging_VIMMERBY/klagomål/A 52156-2019.docx", "A 52156-2019")</f>
        <v/>
      </c>
      <c r="W407">
        <f>HYPERLINK("https://klasma.github.io/Logging_VIMMERBY/klagomålsmail/A 52156-2019.docx", "A 52156-2019")</f>
        <v/>
      </c>
      <c r="X407">
        <f>HYPERLINK("https://klasma.github.io/Logging_VIMMERBY/tillsyn/A 52156-2019.docx", "A 52156-2019")</f>
        <v/>
      </c>
      <c r="Y407">
        <f>HYPERLINK("https://klasma.github.io/Logging_VIMMERBY/tillsynsmail/A 52156-2019.docx", "A 52156-2019")</f>
        <v/>
      </c>
    </row>
    <row r="408" ht="15" customHeight="1">
      <c r="A408" t="inlineStr">
        <is>
          <t>A 57302-2019</t>
        </is>
      </c>
      <c r="B408" s="1" t="n">
        <v>43760</v>
      </c>
      <c r="C408" s="1" t="n">
        <v>45190</v>
      </c>
      <c r="D408" t="inlineStr">
        <is>
          <t>KALMAR LÄN</t>
        </is>
      </c>
      <c r="E408" t="inlineStr">
        <is>
          <t>MÖNSTERÅS</t>
        </is>
      </c>
      <c r="G408" t="n">
        <v>11.3</v>
      </c>
      <c r="H408" t="n">
        <v>0</v>
      </c>
      <c r="I408" t="n">
        <v>0</v>
      </c>
      <c r="J408" t="n">
        <v>1</v>
      </c>
      <c r="K408" t="n">
        <v>0</v>
      </c>
      <c r="L408" t="n">
        <v>0</v>
      </c>
      <c r="M408" t="n">
        <v>0</v>
      </c>
      <c r="N408" t="n">
        <v>0</v>
      </c>
      <c r="O408" t="n">
        <v>1</v>
      </c>
      <c r="P408" t="n">
        <v>0</v>
      </c>
      <c r="Q408" t="n">
        <v>1</v>
      </c>
      <c r="R408" s="2" t="inlineStr">
        <is>
          <t>Spetspraktbagge</t>
        </is>
      </c>
      <c r="S408">
        <f>HYPERLINK("https://klasma.github.io/Logging_MONSTERAS/artfynd/A 57302-2019.xlsx", "A 57302-2019")</f>
        <v/>
      </c>
      <c r="T408">
        <f>HYPERLINK("https://klasma.github.io/Logging_MONSTERAS/kartor/A 57302-2019.png", "A 57302-2019")</f>
        <v/>
      </c>
      <c r="V408">
        <f>HYPERLINK("https://klasma.github.io/Logging_MONSTERAS/klagomål/A 57302-2019.docx", "A 57302-2019")</f>
        <v/>
      </c>
      <c r="W408">
        <f>HYPERLINK("https://klasma.github.io/Logging_MONSTERAS/klagomålsmail/A 57302-2019.docx", "A 57302-2019")</f>
        <v/>
      </c>
      <c r="X408">
        <f>HYPERLINK("https://klasma.github.io/Logging_MONSTERAS/tillsyn/A 57302-2019.docx", "A 57302-2019")</f>
        <v/>
      </c>
      <c r="Y408">
        <f>HYPERLINK("https://klasma.github.io/Logging_MONSTERAS/tillsynsmail/A 57302-2019.docx", "A 57302-2019")</f>
        <v/>
      </c>
    </row>
    <row r="409" ht="15" customHeight="1">
      <c r="A409" t="inlineStr">
        <is>
          <t>A 57756-2019</t>
        </is>
      </c>
      <c r="B409" s="1" t="n">
        <v>43762</v>
      </c>
      <c r="C409" s="1" t="n">
        <v>45190</v>
      </c>
      <c r="D409" t="inlineStr">
        <is>
          <t>KALMAR LÄN</t>
        </is>
      </c>
      <c r="E409" t="inlineStr">
        <is>
          <t>BORGHOLM</t>
        </is>
      </c>
      <c r="G409" t="n">
        <v>3.3</v>
      </c>
      <c r="H409" t="n">
        <v>0</v>
      </c>
      <c r="I409" t="n">
        <v>0</v>
      </c>
      <c r="J409" t="n">
        <v>0</v>
      </c>
      <c r="K409" t="n">
        <v>0</v>
      </c>
      <c r="L409" t="n">
        <v>1</v>
      </c>
      <c r="M409" t="n">
        <v>0</v>
      </c>
      <c r="N409" t="n">
        <v>0</v>
      </c>
      <c r="O409" t="n">
        <v>1</v>
      </c>
      <c r="P409" t="n">
        <v>1</v>
      </c>
      <c r="Q409" t="n">
        <v>1</v>
      </c>
      <c r="R409" s="2" t="inlineStr">
        <is>
          <t>Ask</t>
        </is>
      </c>
      <c r="S409">
        <f>HYPERLINK("https://klasma.github.io/Logging_BORGHOLM/artfynd/A 57756-2019.xlsx", "A 57756-2019")</f>
        <v/>
      </c>
      <c r="T409">
        <f>HYPERLINK("https://klasma.github.io/Logging_BORGHOLM/kartor/A 57756-2019.png", "A 57756-2019")</f>
        <v/>
      </c>
      <c r="V409">
        <f>HYPERLINK("https://klasma.github.io/Logging_BORGHOLM/klagomål/A 57756-2019.docx", "A 57756-2019")</f>
        <v/>
      </c>
      <c r="W409">
        <f>HYPERLINK("https://klasma.github.io/Logging_BORGHOLM/klagomålsmail/A 57756-2019.docx", "A 57756-2019")</f>
        <v/>
      </c>
      <c r="X409">
        <f>HYPERLINK("https://klasma.github.io/Logging_BORGHOLM/tillsyn/A 57756-2019.docx", "A 57756-2019")</f>
        <v/>
      </c>
      <c r="Y409">
        <f>HYPERLINK("https://klasma.github.io/Logging_BORGHOLM/tillsynsmail/A 57756-2019.docx", "A 57756-2019")</f>
        <v/>
      </c>
    </row>
    <row r="410" ht="15" customHeight="1">
      <c r="A410" t="inlineStr">
        <is>
          <t>A 57390-2019</t>
        </is>
      </c>
      <c r="B410" s="1" t="n">
        <v>43767</v>
      </c>
      <c r="C410" s="1" t="n">
        <v>45190</v>
      </c>
      <c r="D410" t="inlineStr">
        <is>
          <t>KALMAR LÄN</t>
        </is>
      </c>
      <c r="E410" t="inlineStr">
        <is>
          <t>HÖGSBY</t>
        </is>
      </c>
      <c r="G410" t="n">
        <v>4.9</v>
      </c>
      <c r="H410" t="n">
        <v>1</v>
      </c>
      <c r="I410" t="n">
        <v>0</v>
      </c>
      <c r="J410" t="n">
        <v>0</v>
      </c>
      <c r="K410" t="n">
        <v>0</v>
      </c>
      <c r="L410" t="n">
        <v>0</v>
      </c>
      <c r="M410" t="n">
        <v>0</v>
      </c>
      <c r="N410" t="n">
        <v>0</v>
      </c>
      <c r="O410" t="n">
        <v>0</v>
      </c>
      <c r="P410" t="n">
        <v>0</v>
      </c>
      <c r="Q410" t="n">
        <v>1</v>
      </c>
      <c r="R410" s="2" t="inlineStr">
        <is>
          <t>Gullviva</t>
        </is>
      </c>
      <c r="S410">
        <f>HYPERLINK("https://klasma.github.io/Logging_HOGSBY/artfynd/A 57390-2019.xlsx", "A 57390-2019")</f>
        <v/>
      </c>
      <c r="T410">
        <f>HYPERLINK("https://klasma.github.io/Logging_HOGSBY/kartor/A 57390-2019.png", "A 57390-2019")</f>
        <v/>
      </c>
      <c r="V410">
        <f>HYPERLINK("https://klasma.github.io/Logging_HOGSBY/klagomål/A 57390-2019.docx", "A 57390-2019")</f>
        <v/>
      </c>
      <c r="W410">
        <f>HYPERLINK("https://klasma.github.io/Logging_HOGSBY/klagomålsmail/A 57390-2019.docx", "A 57390-2019")</f>
        <v/>
      </c>
      <c r="X410">
        <f>HYPERLINK("https://klasma.github.io/Logging_HOGSBY/tillsyn/A 57390-2019.docx", "A 57390-2019")</f>
        <v/>
      </c>
      <c r="Y410">
        <f>HYPERLINK("https://klasma.github.io/Logging_HOGSBY/tillsynsmail/A 57390-2019.docx", "A 57390-2019")</f>
        <v/>
      </c>
    </row>
    <row r="411" ht="15" customHeight="1">
      <c r="A411" t="inlineStr">
        <is>
          <t>A 58275-2019</t>
        </is>
      </c>
      <c r="B411" s="1" t="n">
        <v>43770</v>
      </c>
      <c r="C411" s="1" t="n">
        <v>45190</v>
      </c>
      <c r="D411" t="inlineStr">
        <is>
          <t>KALMAR LÄN</t>
        </is>
      </c>
      <c r="E411" t="inlineStr">
        <is>
          <t>BORGHOLM</t>
        </is>
      </c>
      <c r="G411" t="n">
        <v>3.8</v>
      </c>
      <c r="H411" t="n">
        <v>0</v>
      </c>
      <c r="I411" t="n">
        <v>0</v>
      </c>
      <c r="J411" t="n">
        <v>1</v>
      </c>
      <c r="K411" t="n">
        <v>0</v>
      </c>
      <c r="L411" t="n">
        <v>0</v>
      </c>
      <c r="M411" t="n">
        <v>0</v>
      </c>
      <c r="N411" t="n">
        <v>0</v>
      </c>
      <c r="O411" t="n">
        <v>1</v>
      </c>
      <c r="P411" t="n">
        <v>0</v>
      </c>
      <c r="Q411" t="n">
        <v>1</v>
      </c>
      <c r="R411" s="2" t="inlineStr">
        <is>
          <t>Stor sotdyna</t>
        </is>
      </c>
      <c r="S411">
        <f>HYPERLINK("https://klasma.github.io/Logging_BORGHOLM/artfynd/A 58275-2019.xlsx", "A 58275-2019")</f>
        <v/>
      </c>
      <c r="T411">
        <f>HYPERLINK("https://klasma.github.io/Logging_BORGHOLM/kartor/A 58275-2019.png", "A 58275-2019")</f>
        <v/>
      </c>
      <c r="V411">
        <f>HYPERLINK("https://klasma.github.io/Logging_BORGHOLM/klagomål/A 58275-2019.docx", "A 58275-2019")</f>
        <v/>
      </c>
      <c r="W411">
        <f>HYPERLINK("https://klasma.github.io/Logging_BORGHOLM/klagomålsmail/A 58275-2019.docx", "A 58275-2019")</f>
        <v/>
      </c>
      <c r="X411">
        <f>HYPERLINK("https://klasma.github.io/Logging_BORGHOLM/tillsyn/A 58275-2019.docx", "A 58275-2019")</f>
        <v/>
      </c>
      <c r="Y411">
        <f>HYPERLINK("https://klasma.github.io/Logging_BORGHOLM/tillsynsmail/A 58275-2019.docx", "A 58275-2019")</f>
        <v/>
      </c>
    </row>
    <row r="412" ht="15" customHeight="1">
      <c r="A412" t="inlineStr">
        <is>
          <t>A 59193-2019</t>
        </is>
      </c>
      <c r="B412" s="1" t="n">
        <v>43775</v>
      </c>
      <c r="C412" s="1" t="n">
        <v>45190</v>
      </c>
      <c r="D412" t="inlineStr">
        <is>
          <t>KALMAR LÄN</t>
        </is>
      </c>
      <c r="E412" t="inlineStr">
        <is>
          <t>VÄSTERVIK</t>
        </is>
      </c>
      <c r="G412" t="n">
        <v>3.8</v>
      </c>
      <c r="H412" t="n">
        <v>0</v>
      </c>
      <c r="I412" t="n">
        <v>0</v>
      </c>
      <c r="J412" t="n">
        <v>1</v>
      </c>
      <c r="K412" t="n">
        <v>0</v>
      </c>
      <c r="L412" t="n">
        <v>0</v>
      </c>
      <c r="M412" t="n">
        <v>0</v>
      </c>
      <c r="N412" t="n">
        <v>0</v>
      </c>
      <c r="O412" t="n">
        <v>1</v>
      </c>
      <c r="P412" t="n">
        <v>0</v>
      </c>
      <c r="Q412" t="n">
        <v>1</v>
      </c>
      <c r="R412" s="2" t="inlineStr">
        <is>
          <t>Åkerkulla</t>
        </is>
      </c>
      <c r="S412">
        <f>HYPERLINK("https://klasma.github.io/Logging_VASTERVIK/artfynd/A 59193-2019.xlsx", "A 59193-2019")</f>
        <v/>
      </c>
      <c r="T412">
        <f>HYPERLINK("https://klasma.github.io/Logging_VASTERVIK/kartor/A 59193-2019.png", "A 59193-2019")</f>
        <v/>
      </c>
      <c r="V412">
        <f>HYPERLINK("https://klasma.github.io/Logging_VASTERVIK/klagomål/A 59193-2019.docx", "A 59193-2019")</f>
        <v/>
      </c>
      <c r="W412">
        <f>HYPERLINK("https://klasma.github.io/Logging_VASTERVIK/klagomålsmail/A 59193-2019.docx", "A 59193-2019")</f>
        <v/>
      </c>
      <c r="X412">
        <f>HYPERLINK("https://klasma.github.io/Logging_VASTERVIK/tillsyn/A 59193-2019.docx", "A 59193-2019")</f>
        <v/>
      </c>
      <c r="Y412">
        <f>HYPERLINK("https://klasma.github.io/Logging_VASTERVIK/tillsynsmail/A 59193-2019.docx", "A 59193-2019")</f>
        <v/>
      </c>
    </row>
    <row r="413" ht="15" customHeight="1">
      <c r="A413" t="inlineStr">
        <is>
          <t>A 63075-2019</t>
        </is>
      </c>
      <c r="B413" s="1" t="n">
        <v>43790</v>
      </c>
      <c r="C413" s="1" t="n">
        <v>45190</v>
      </c>
      <c r="D413" t="inlineStr">
        <is>
          <t>KALMAR LÄN</t>
        </is>
      </c>
      <c r="E413" t="inlineStr">
        <is>
          <t>HÖGSBY</t>
        </is>
      </c>
      <c r="G413" t="n">
        <v>11.8</v>
      </c>
      <c r="H413" t="n">
        <v>0</v>
      </c>
      <c r="I413" t="n">
        <v>1</v>
      </c>
      <c r="J413" t="n">
        <v>0</v>
      </c>
      <c r="K413" t="n">
        <v>0</v>
      </c>
      <c r="L413" t="n">
        <v>0</v>
      </c>
      <c r="M413" t="n">
        <v>0</v>
      </c>
      <c r="N413" t="n">
        <v>0</v>
      </c>
      <c r="O413" t="n">
        <v>0</v>
      </c>
      <c r="P413" t="n">
        <v>0</v>
      </c>
      <c r="Q413" t="n">
        <v>1</v>
      </c>
      <c r="R413" s="2" t="inlineStr">
        <is>
          <t>Fällmossa</t>
        </is>
      </c>
      <c r="S413">
        <f>HYPERLINK("https://klasma.github.io/Logging_HOGSBY/artfynd/A 63075-2019.xlsx", "A 63075-2019")</f>
        <v/>
      </c>
      <c r="T413">
        <f>HYPERLINK("https://klasma.github.io/Logging_HOGSBY/kartor/A 63075-2019.png", "A 63075-2019")</f>
        <v/>
      </c>
      <c r="V413">
        <f>HYPERLINK("https://klasma.github.io/Logging_HOGSBY/klagomål/A 63075-2019.docx", "A 63075-2019")</f>
        <v/>
      </c>
      <c r="W413">
        <f>HYPERLINK("https://klasma.github.io/Logging_HOGSBY/klagomålsmail/A 63075-2019.docx", "A 63075-2019")</f>
        <v/>
      </c>
      <c r="X413">
        <f>HYPERLINK("https://klasma.github.io/Logging_HOGSBY/tillsyn/A 63075-2019.docx", "A 63075-2019")</f>
        <v/>
      </c>
      <c r="Y413">
        <f>HYPERLINK("https://klasma.github.io/Logging_HOGSBY/tillsynsmail/A 63075-2019.docx", "A 63075-2019")</f>
        <v/>
      </c>
    </row>
    <row r="414" ht="15" customHeight="1">
      <c r="A414" t="inlineStr">
        <is>
          <t>A 64121-2019</t>
        </is>
      </c>
      <c r="B414" s="1" t="n">
        <v>43796</v>
      </c>
      <c r="C414" s="1" t="n">
        <v>45190</v>
      </c>
      <c r="D414" t="inlineStr">
        <is>
          <t>KALMAR LÄN</t>
        </is>
      </c>
      <c r="E414" t="inlineStr">
        <is>
          <t>BORGHOLM</t>
        </is>
      </c>
      <c r="G414" t="n">
        <v>4</v>
      </c>
      <c r="H414" t="n">
        <v>0</v>
      </c>
      <c r="I414" t="n">
        <v>0</v>
      </c>
      <c r="J414" t="n">
        <v>0</v>
      </c>
      <c r="K414" t="n">
        <v>1</v>
      </c>
      <c r="L414" t="n">
        <v>0</v>
      </c>
      <c r="M414" t="n">
        <v>0</v>
      </c>
      <c r="N414" t="n">
        <v>0</v>
      </c>
      <c r="O414" t="n">
        <v>1</v>
      </c>
      <c r="P414" t="n">
        <v>1</v>
      </c>
      <c r="Q414" t="n">
        <v>1</v>
      </c>
      <c r="R414" s="2" t="inlineStr">
        <is>
          <t>Klosterlav</t>
        </is>
      </c>
      <c r="S414">
        <f>HYPERLINK("https://klasma.github.io/Logging_BORGHOLM/artfynd/A 64121-2019.xlsx", "A 64121-2019")</f>
        <v/>
      </c>
      <c r="T414">
        <f>HYPERLINK("https://klasma.github.io/Logging_BORGHOLM/kartor/A 64121-2019.png", "A 64121-2019")</f>
        <v/>
      </c>
      <c r="V414">
        <f>HYPERLINK("https://klasma.github.io/Logging_BORGHOLM/klagomål/A 64121-2019.docx", "A 64121-2019")</f>
        <v/>
      </c>
      <c r="W414">
        <f>HYPERLINK("https://klasma.github.io/Logging_BORGHOLM/klagomålsmail/A 64121-2019.docx", "A 64121-2019")</f>
        <v/>
      </c>
      <c r="X414">
        <f>HYPERLINK("https://klasma.github.io/Logging_BORGHOLM/tillsyn/A 64121-2019.docx", "A 64121-2019")</f>
        <v/>
      </c>
      <c r="Y414">
        <f>HYPERLINK("https://klasma.github.io/Logging_BORGHOLM/tillsynsmail/A 64121-2019.docx", "A 64121-2019")</f>
        <v/>
      </c>
    </row>
    <row r="415" ht="15" customHeight="1">
      <c r="A415" t="inlineStr">
        <is>
          <t>A 64120-2019</t>
        </is>
      </c>
      <c r="B415" s="1" t="n">
        <v>43796</v>
      </c>
      <c r="C415" s="1" t="n">
        <v>45190</v>
      </c>
      <c r="D415" t="inlineStr">
        <is>
          <t>KALMAR LÄN</t>
        </is>
      </c>
      <c r="E415" t="inlineStr">
        <is>
          <t>BORGHOLM</t>
        </is>
      </c>
      <c r="G415" t="n">
        <v>1</v>
      </c>
      <c r="H415" t="n">
        <v>0</v>
      </c>
      <c r="I415" t="n">
        <v>0</v>
      </c>
      <c r="J415" t="n">
        <v>1</v>
      </c>
      <c r="K415" t="n">
        <v>0</v>
      </c>
      <c r="L415" t="n">
        <v>0</v>
      </c>
      <c r="M415" t="n">
        <v>0</v>
      </c>
      <c r="N415" t="n">
        <v>0</v>
      </c>
      <c r="O415" t="n">
        <v>1</v>
      </c>
      <c r="P415" t="n">
        <v>0</v>
      </c>
      <c r="Q415" t="n">
        <v>1</v>
      </c>
      <c r="R415" s="2" t="inlineStr">
        <is>
          <t>Skogsklocka</t>
        </is>
      </c>
      <c r="S415">
        <f>HYPERLINK("https://klasma.github.io/Logging_BORGHOLM/artfynd/A 64120-2019.xlsx", "A 64120-2019")</f>
        <v/>
      </c>
      <c r="T415">
        <f>HYPERLINK("https://klasma.github.io/Logging_BORGHOLM/kartor/A 64120-2019.png", "A 64120-2019")</f>
        <v/>
      </c>
      <c r="V415">
        <f>HYPERLINK("https://klasma.github.io/Logging_BORGHOLM/klagomål/A 64120-2019.docx", "A 64120-2019")</f>
        <v/>
      </c>
      <c r="W415">
        <f>HYPERLINK("https://klasma.github.io/Logging_BORGHOLM/klagomålsmail/A 64120-2019.docx", "A 64120-2019")</f>
        <v/>
      </c>
      <c r="X415">
        <f>HYPERLINK("https://klasma.github.io/Logging_BORGHOLM/tillsyn/A 64120-2019.docx", "A 64120-2019")</f>
        <v/>
      </c>
      <c r="Y415">
        <f>HYPERLINK("https://klasma.github.io/Logging_BORGHOLM/tillsynsmail/A 64120-2019.docx", "A 64120-2019")</f>
        <v/>
      </c>
    </row>
    <row r="416" ht="15" customHeight="1">
      <c r="A416" t="inlineStr">
        <is>
          <t>A 64356-2019</t>
        </is>
      </c>
      <c r="B416" s="1" t="n">
        <v>43797</v>
      </c>
      <c r="C416" s="1" t="n">
        <v>45190</v>
      </c>
      <c r="D416" t="inlineStr">
        <is>
          <t>KALMAR LÄN</t>
        </is>
      </c>
      <c r="E416" t="inlineStr">
        <is>
          <t>VIMMERBY</t>
        </is>
      </c>
      <c r="G416" t="n">
        <v>1.4</v>
      </c>
      <c r="H416" t="n">
        <v>0</v>
      </c>
      <c r="I416" t="n">
        <v>1</v>
      </c>
      <c r="J416" t="n">
        <v>0</v>
      </c>
      <c r="K416" t="n">
        <v>0</v>
      </c>
      <c r="L416" t="n">
        <v>0</v>
      </c>
      <c r="M416" t="n">
        <v>0</v>
      </c>
      <c r="N416" t="n">
        <v>0</v>
      </c>
      <c r="O416" t="n">
        <v>0</v>
      </c>
      <c r="P416" t="n">
        <v>0</v>
      </c>
      <c r="Q416" t="n">
        <v>1</v>
      </c>
      <c r="R416" s="2" t="inlineStr">
        <is>
          <t>Fällmossa</t>
        </is>
      </c>
      <c r="S416">
        <f>HYPERLINK("https://klasma.github.io/Logging_VIMMERBY/artfynd/A 64356-2019.xlsx", "A 64356-2019")</f>
        <v/>
      </c>
      <c r="T416">
        <f>HYPERLINK("https://klasma.github.io/Logging_VIMMERBY/kartor/A 64356-2019.png", "A 64356-2019")</f>
        <v/>
      </c>
      <c r="V416">
        <f>HYPERLINK("https://klasma.github.io/Logging_VIMMERBY/klagomål/A 64356-2019.docx", "A 64356-2019")</f>
        <v/>
      </c>
      <c r="W416">
        <f>HYPERLINK("https://klasma.github.io/Logging_VIMMERBY/klagomålsmail/A 64356-2019.docx", "A 64356-2019")</f>
        <v/>
      </c>
      <c r="X416">
        <f>HYPERLINK("https://klasma.github.io/Logging_VIMMERBY/tillsyn/A 64356-2019.docx", "A 64356-2019")</f>
        <v/>
      </c>
      <c r="Y416">
        <f>HYPERLINK("https://klasma.github.io/Logging_VIMMERBY/tillsynsmail/A 64356-2019.docx", "A 64356-2019")</f>
        <v/>
      </c>
    </row>
    <row r="417" ht="15" customHeight="1">
      <c r="A417" t="inlineStr">
        <is>
          <t>A 64844-2019</t>
        </is>
      </c>
      <c r="B417" s="1" t="n">
        <v>43801</v>
      </c>
      <c r="C417" s="1" t="n">
        <v>45190</v>
      </c>
      <c r="D417" t="inlineStr">
        <is>
          <t>KALMAR LÄN</t>
        </is>
      </c>
      <c r="E417" t="inlineStr">
        <is>
          <t>NYBRO</t>
        </is>
      </c>
      <c r="G417" t="n">
        <v>11.9</v>
      </c>
      <c r="H417" t="n">
        <v>1</v>
      </c>
      <c r="I417" t="n">
        <v>0</v>
      </c>
      <c r="J417" t="n">
        <v>1</v>
      </c>
      <c r="K417" t="n">
        <v>0</v>
      </c>
      <c r="L417" t="n">
        <v>0</v>
      </c>
      <c r="M417" t="n">
        <v>0</v>
      </c>
      <c r="N417" t="n">
        <v>0</v>
      </c>
      <c r="O417" t="n">
        <v>1</v>
      </c>
      <c r="P417" t="n">
        <v>0</v>
      </c>
      <c r="Q417" t="n">
        <v>1</v>
      </c>
      <c r="R417" s="2" t="inlineStr">
        <is>
          <t>Mindre hackspett</t>
        </is>
      </c>
      <c r="S417">
        <f>HYPERLINK("https://klasma.github.io/Logging_NYBRO/artfynd/A 64844-2019.xlsx", "A 64844-2019")</f>
        <v/>
      </c>
      <c r="T417">
        <f>HYPERLINK("https://klasma.github.io/Logging_NYBRO/kartor/A 64844-2019.png", "A 64844-2019")</f>
        <v/>
      </c>
      <c r="V417">
        <f>HYPERLINK("https://klasma.github.io/Logging_NYBRO/klagomål/A 64844-2019.docx", "A 64844-2019")</f>
        <v/>
      </c>
      <c r="W417">
        <f>HYPERLINK("https://klasma.github.io/Logging_NYBRO/klagomålsmail/A 64844-2019.docx", "A 64844-2019")</f>
        <v/>
      </c>
      <c r="X417">
        <f>HYPERLINK("https://klasma.github.io/Logging_NYBRO/tillsyn/A 64844-2019.docx", "A 64844-2019")</f>
        <v/>
      </c>
      <c r="Y417">
        <f>HYPERLINK("https://klasma.github.io/Logging_NYBRO/tillsynsmail/A 64844-2019.docx", "A 64844-2019")</f>
        <v/>
      </c>
    </row>
    <row r="418" ht="15" customHeight="1">
      <c r="A418" t="inlineStr">
        <is>
          <t>A 65105-2019</t>
        </is>
      </c>
      <c r="B418" s="1" t="n">
        <v>43802</v>
      </c>
      <c r="C418" s="1" t="n">
        <v>45190</v>
      </c>
      <c r="D418" t="inlineStr">
        <is>
          <t>KALMAR LÄN</t>
        </is>
      </c>
      <c r="E418" t="inlineStr">
        <is>
          <t>MÖNSTERÅS</t>
        </is>
      </c>
      <c r="G418" t="n">
        <v>11.6</v>
      </c>
      <c r="H418" t="n">
        <v>0</v>
      </c>
      <c r="I418" t="n">
        <v>1</v>
      </c>
      <c r="J418" t="n">
        <v>0</v>
      </c>
      <c r="K418" t="n">
        <v>0</v>
      </c>
      <c r="L418" t="n">
        <v>0</v>
      </c>
      <c r="M418" t="n">
        <v>0</v>
      </c>
      <c r="N418" t="n">
        <v>0</v>
      </c>
      <c r="O418" t="n">
        <v>0</v>
      </c>
      <c r="P418" t="n">
        <v>0</v>
      </c>
      <c r="Q418" t="n">
        <v>1</v>
      </c>
      <c r="R418" s="2" t="inlineStr">
        <is>
          <t>Grönpyrola</t>
        </is>
      </c>
      <c r="S418">
        <f>HYPERLINK("https://klasma.github.io/Logging_MONSTERAS/artfynd/A 65105-2019.xlsx", "A 65105-2019")</f>
        <v/>
      </c>
      <c r="T418">
        <f>HYPERLINK("https://klasma.github.io/Logging_MONSTERAS/kartor/A 65105-2019.png", "A 65105-2019")</f>
        <v/>
      </c>
      <c r="V418">
        <f>HYPERLINK("https://klasma.github.io/Logging_MONSTERAS/klagomål/A 65105-2019.docx", "A 65105-2019")</f>
        <v/>
      </c>
      <c r="W418">
        <f>HYPERLINK("https://klasma.github.io/Logging_MONSTERAS/klagomålsmail/A 65105-2019.docx", "A 65105-2019")</f>
        <v/>
      </c>
      <c r="X418">
        <f>HYPERLINK("https://klasma.github.io/Logging_MONSTERAS/tillsyn/A 65105-2019.docx", "A 65105-2019")</f>
        <v/>
      </c>
      <c r="Y418">
        <f>HYPERLINK("https://klasma.github.io/Logging_MONSTERAS/tillsynsmail/A 65105-2019.docx", "A 65105-2019")</f>
        <v/>
      </c>
    </row>
    <row r="419" ht="15" customHeight="1">
      <c r="A419" t="inlineStr">
        <is>
          <t>A 67520-2019</t>
        </is>
      </c>
      <c r="B419" s="1" t="n">
        <v>43815</v>
      </c>
      <c r="C419" s="1" t="n">
        <v>45190</v>
      </c>
      <c r="D419" t="inlineStr">
        <is>
          <t>KALMAR LÄN</t>
        </is>
      </c>
      <c r="E419" t="inlineStr">
        <is>
          <t>NYBRO</t>
        </is>
      </c>
      <c r="F419" t="inlineStr">
        <is>
          <t>Kommuner</t>
        </is>
      </c>
      <c r="G419" t="n">
        <v>1.3</v>
      </c>
      <c r="H419" t="n">
        <v>0</v>
      </c>
      <c r="I419" t="n">
        <v>0</v>
      </c>
      <c r="J419" t="n">
        <v>1</v>
      </c>
      <c r="K419" t="n">
        <v>0</v>
      </c>
      <c r="L419" t="n">
        <v>0</v>
      </c>
      <c r="M419" t="n">
        <v>0</v>
      </c>
      <c r="N419" t="n">
        <v>0</v>
      </c>
      <c r="O419" t="n">
        <v>1</v>
      </c>
      <c r="P419" t="n">
        <v>0</v>
      </c>
      <c r="Q419" t="n">
        <v>1</v>
      </c>
      <c r="R419" s="2" t="inlineStr">
        <is>
          <t>Mjukdån</t>
        </is>
      </c>
      <c r="S419">
        <f>HYPERLINK("https://klasma.github.io/Logging_NYBRO/artfynd/A 67520-2019.xlsx", "A 67520-2019")</f>
        <v/>
      </c>
      <c r="T419">
        <f>HYPERLINK("https://klasma.github.io/Logging_NYBRO/kartor/A 67520-2019.png", "A 67520-2019")</f>
        <v/>
      </c>
      <c r="V419">
        <f>HYPERLINK("https://klasma.github.io/Logging_NYBRO/klagomål/A 67520-2019.docx", "A 67520-2019")</f>
        <v/>
      </c>
      <c r="W419">
        <f>HYPERLINK("https://klasma.github.io/Logging_NYBRO/klagomålsmail/A 67520-2019.docx", "A 67520-2019")</f>
        <v/>
      </c>
      <c r="X419">
        <f>HYPERLINK("https://klasma.github.io/Logging_NYBRO/tillsyn/A 67520-2019.docx", "A 67520-2019")</f>
        <v/>
      </c>
      <c r="Y419">
        <f>HYPERLINK("https://klasma.github.io/Logging_NYBRO/tillsynsmail/A 67520-2019.docx", "A 67520-2019")</f>
        <v/>
      </c>
    </row>
    <row r="420" ht="15" customHeight="1">
      <c r="A420" t="inlineStr">
        <is>
          <t>A 69121-2019</t>
        </is>
      </c>
      <c r="B420" s="1" t="n">
        <v>43815</v>
      </c>
      <c r="C420" s="1" t="n">
        <v>45190</v>
      </c>
      <c r="D420" t="inlineStr">
        <is>
          <t>KALMAR LÄN</t>
        </is>
      </c>
      <c r="E420" t="inlineStr">
        <is>
          <t>MÖNSTERÅS</t>
        </is>
      </c>
      <c r="F420" t="inlineStr">
        <is>
          <t>Övriga Aktiebolag</t>
        </is>
      </c>
      <c r="G420" t="n">
        <v>0.9</v>
      </c>
      <c r="H420" t="n">
        <v>0</v>
      </c>
      <c r="I420" t="n">
        <v>0</v>
      </c>
      <c r="J420" t="n">
        <v>1</v>
      </c>
      <c r="K420" t="n">
        <v>0</v>
      </c>
      <c r="L420" t="n">
        <v>0</v>
      </c>
      <c r="M420" t="n">
        <v>0</v>
      </c>
      <c r="N420" t="n">
        <v>0</v>
      </c>
      <c r="O420" t="n">
        <v>1</v>
      </c>
      <c r="P420" t="n">
        <v>0</v>
      </c>
      <c r="Q420" t="n">
        <v>1</v>
      </c>
      <c r="R420" s="2" t="inlineStr">
        <is>
          <t>Skogslysing</t>
        </is>
      </c>
      <c r="S420">
        <f>HYPERLINK("https://klasma.github.io/Logging_MONSTERAS/artfynd/A 69121-2019.xlsx", "A 69121-2019")</f>
        <v/>
      </c>
      <c r="T420">
        <f>HYPERLINK("https://klasma.github.io/Logging_MONSTERAS/kartor/A 69121-2019.png", "A 69121-2019")</f>
        <v/>
      </c>
      <c r="V420">
        <f>HYPERLINK("https://klasma.github.io/Logging_MONSTERAS/klagomål/A 69121-2019.docx", "A 69121-2019")</f>
        <v/>
      </c>
      <c r="W420">
        <f>HYPERLINK("https://klasma.github.io/Logging_MONSTERAS/klagomålsmail/A 69121-2019.docx", "A 69121-2019")</f>
        <v/>
      </c>
      <c r="X420">
        <f>HYPERLINK("https://klasma.github.io/Logging_MONSTERAS/tillsyn/A 69121-2019.docx", "A 69121-2019")</f>
        <v/>
      </c>
      <c r="Y420">
        <f>HYPERLINK("https://klasma.github.io/Logging_MONSTERAS/tillsynsmail/A 69121-2019.docx", "A 69121-2019")</f>
        <v/>
      </c>
    </row>
    <row r="421" ht="15" customHeight="1">
      <c r="A421" t="inlineStr">
        <is>
          <t>A 764-2020</t>
        </is>
      </c>
      <c r="B421" s="1" t="n">
        <v>43817</v>
      </c>
      <c r="C421" s="1" t="n">
        <v>45190</v>
      </c>
      <c r="D421" t="inlineStr">
        <is>
          <t>KALMAR LÄN</t>
        </is>
      </c>
      <c r="E421" t="inlineStr">
        <is>
          <t>NYBRO</t>
        </is>
      </c>
      <c r="G421" t="n">
        <v>2</v>
      </c>
      <c r="H421" t="n">
        <v>1</v>
      </c>
      <c r="I421" t="n">
        <v>1</v>
      </c>
      <c r="J421" t="n">
        <v>0</v>
      </c>
      <c r="K421" t="n">
        <v>0</v>
      </c>
      <c r="L421" t="n">
        <v>0</v>
      </c>
      <c r="M421" t="n">
        <v>0</v>
      </c>
      <c r="N421" t="n">
        <v>0</v>
      </c>
      <c r="O421" t="n">
        <v>0</v>
      </c>
      <c r="P421" t="n">
        <v>0</v>
      </c>
      <c r="Q421" t="n">
        <v>1</v>
      </c>
      <c r="R421" s="2" t="inlineStr">
        <is>
          <t>Purpurknipprot</t>
        </is>
      </c>
      <c r="S421">
        <f>HYPERLINK("https://klasma.github.io/Logging_NYBRO/artfynd/A 764-2020.xlsx", "A 764-2020")</f>
        <v/>
      </c>
      <c r="T421">
        <f>HYPERLINK("https://klasma.github.io/Logging_NYBRO/kartor/A 764-2020.png", "A 764-2020")</f>
        <v/>
      </c>
      <c r="V421">
        <f>HYPERLINK("https://klasma.github.io/Logging_NYBRO/klagomål/A 764-2020.docx", "A 764-2020")</f>
        <v/>
      </c>
      <c r="W421">
        <f>HYPERLINK("https://klasma.github.io/Logging_NYBRO/klagomålsmail/A 764-2020.docx", "A 764-2020")</f>
        <v/>
      </c>
      <c r="X421">
        <f>HYPERLINK("https://klasma.github.io/Logging_NYBRO/tillsyn/A 764-2020.docx", "A 764-2020")</f>
        <v/>
      </c>
      <c r="Y421">
        <f>HYPERLINK("https://klasma.github.io/Logging_NYBRO/tillsynsmail/A 764-2020.docx", "A 764-2020")</f>
        <v/>
      </c>
    </row>
    <row r="422" ht="15" customHeight="1">
      <c r="A422" t="inlineStr">
        <is>
          <t>A 3928-2020</t>
        </is>
      </c>
      <c r="B422" s="1" t="n">
        <v>43854</v>
      </c>
      <c r="C422" s="1" t="n">
        <v>45190</v>
      </c>
      <c r="D422" t="inlineStr">
        <is>
          <t>KALMAR LÄN</t>
        </is>
      </c>
      <c r="E422" t="inlineStr">
        <is>
          <t>KALMAR</t>
        </is>
      </c>
      <c r="G422" t="n">
        <v>2.3</v>
      </c>
      <c r="H422" t="n">
        <v>0</v>
      </c>
      <c r="I422" t="n">
        <v>0</v>
      </c>
      <c r="J422" t="n">
        <v>0</v>
      </c>
      <c r="K422" t="n">
        <v>0</v>
      </c>
      <c r="L422" t="n">
        <v>1</v>
      </c>
      <c r="M422" t="n">
        <v>0</v>
      </c>
      <c r="N422" t="n">
        <v>0</v>
      </c>
      <c r="O422" t="n">
        <v>1</v>
      </c>
      <c r="P422" t="n">
        <v>1</v>
      </c>
      <c r="Q422" t="n">
        <v>1</v>
      </c>
      <c r="R422" s="2" t="inlineStr">
        <is>
          <t>Ask</t>
        </is>
      </c>
      <c r="S422">
        <f>HYPERLINK("https://klasma.github.io/Logging_KALMAR/artfynd/A 3928-2020.xlsx", "A 3928-2020")</f>
        <v/>
      </c>
      <c r="T422">
        <f>HYPERLINK("https://klasma.github.io/Logging_KALMAR/kartor/A 3928-2020.png", "A 3928-2020")</f>
        <v/>
      </c>
      <c r="V422">
        <f>HYPERLINK("https://klasma.github.io/Logging_KALMAR/klagomål/A 3928-2020.docx", "A 3928-2020")</f>
        <v/>
      </c>
      <c r="W422">
        <f>HYPERLINK("https://klasma.github.io/Logging_KALMAR/klagomålsmail/A 3928-2020.docx", "A 3928-2020")</f>
        <v/>
      </c>
      <c r="X422">
        <f>HYPERLINK("https://klasma.github.io/Logging_KALMAR/tillsyn/A 3928-2020.docx", "A 3928-2020")</f>
        <v/>
      </c>
      <c r="Y422">
        <f>HYPERLINK("https://klasma.github.io/Logging_KALMAR/tillsynsmail/A 3928-2020.docx", "A 3928-2020")</f>
        <v/>
      </c>
    </row>
    <row r="423" ht="15" customHeight="1">
      <c r="A423" t="inlineStr">
        <is>
          <t>A 5038-2020</t>
        </is>
      </c>
      <c r="B423" s="1" t="n">
        <v>43859</v>
      </c>
      <c r="C423" s="1" t="n">
        <v>45190</v>
      </c>
      <c r="D423" t="inlineStr">
        <is>
          <t>KALMAR LÄN</t>
        </is>
      </c>
      <c r="E423" t="inlineStr">
        <is>
          <t>MÖNSTERÅS</t>
        </is>
      </c>
      <c r="G423" t="n">
        <v>13.6</v>
      </c>
      <c r="H423" t="n">
        <v>1</v>
      </c>
      <c r="I423" t="n">
        <v>0</v>
      </c>
      <c r="J423" t="n">
        <v>0</v>
      </c>
      <c r="K423" t="n">
        <v>1</v>
      </c>
      <c r="L423" t="n">
        <v>0</v>
      </c>
      <c r="M423" t="n">
        <v>0</v>
      </c>
      <c r="N423" t="n">
        <v>0</v>
      </c>
      <c r="O423" t="n">
        <v>1</v>
      </c>
      <c r="P423" t="n">
        <v>1</v>
      </c>
      <c r="Q423" t="n">
        <v>1</v>
      </c>
      <c r="R423" s="2" t="inlineStr">
        <is>
          <t>Knärot</t>
        </is>
      </c>
      <c r="S423">
        <f>HYPERLINK("https://klasma.github.io/Logging_MONSTERAS/artfynd/A 5038-2020.xlsx", "A 5038-2020")</f>
        <v/>
      </c>
      <c r="T423">
        <f>HYPERLINK("https://klasma.github.io/Logging_MONSTERAS/kartor/A 5038-2020.png", "A 5038-2020")</f>
        <v/>
      </c>
      <c r="U423">
        <f>HYPERLINK("https://klasma.github.io/Logging_MONSTERAS/knärot/A 5038-2020.png", "A 5038-2020")</f>
        <v/>
      </c>
      <c r="V423">
        <f>HYPERLINK("https://klasma.github.io/Logging_MONSTERAS/klagomål/A 5038-2020.docx", "A 5038-2020")</f>
        <v/>
      </c>
      <c r="W423">
        <f>HYPERLINK("https://klasma.github.io/Logging_MONSTERAS/klagomålsmail/A 5038-2020.docx", "A 5038-2020")</f>
        <v/>
      </c>
      <c r="X423">
        <f>HYPERLINK("https://klasma.github.io/Logging_MONSTERAS/tillsyn/A 5038-2020.docx", "A 5038-2020")</f>
        <v/>
      </c>
      <c r="Y423">
        <f>HYPERLINK("https://klasma.github.io/Logging_MONSTERAS/tillsynsmail/A 5038-2020.docx", "A 5038-2020")</f>
        <v/>
      </c>
    </row>
    <row r="424" ht="15" customHeight="1">
      <c r="A424" t="inlineStr">
        <is>
          <t>A 7371-2020</t>
        </is>
      </c>
      <c r="B424" s="1" t="n">
        <v>43871</v>
      </c>
      <c r="C424" s="1" t="n">
        <v>45190</v>
      </c>
      <c r="D424" t="inlineStr">
        <is>
          <t>KALMAR LÄN</t>
        </is>
      </c>
      <c r="E424" t="inlineStr">
        <is>
          <t>MÖNSTERÅS</t>
        </is>
      </c>
      <c r="G424" t="n">
        <v>7.1</v>
      </c>
      <c r="H424" t="n">
        <v>0</v>
      </c>
      <c r="I424" t="n">
        <v>0</v>
      </c>
      <c r="J424" t="n">
        <v>1</v>
      </c>
      <c r="K424" t="n">
        <v>0</v>
      </c>
      <c r="L424" t="n">
        <v>0</v>
      </c>
      <c r="M424" t="n">
        <v>0</v>
      </c>
      <c r="N424" t="n">
        <v>0</v>
      </c>
      <c r="O424" t="n">
        <v>1</v>
      </c>
      <c r="P424" t="n">
        <v>0</v>
      </c>
      <c r="Q424" t="n">
        <v>1</v>
      </c>
      <c r="R424" s="2" t="inlineStr">
        <is>
          <t>Rödbrun blankbock</t>
        </is>
      </c>
      <c r="S424">
        <f>HYPERLINK("https://klasma.github.io/Logging_MONSTERAS/artfynd/A 7371-2020.xlsx", "A 7371-2020")</f>
        <v/>
      </c>
      <c r="T424">
        <f>HYPERLINK("https://klasma.github.io/Logging_MONSTERAS/kartor/A 7371-2020.png", "A 7371-2020")</f>
        <v/>
      </c>
      <c r="V424">
        <f>HYPERLINK("https://klasma.github.io/Logging_MONSTERAS/klagomål/A 7371-2020.docx", "A 7371-2020")</f>
        <v/>
      </c>
      <c r="W424">
        <f>HYPERLINK("https://klasma.github.io/Logging_MONSTERAS/klagomålsmail/A 7371-2020.docx", "A 7371-2020")</f>
        <v/>
      </c>
      <c r="X424">
        <f>HYPERLINK("https://klasma.github.io/Logging_MONSTERAS/tillsyn/A 7371-2020.docx", "A 7371-2020")</f>
        <v/>
      </c>
      <c r="Y424">
        <f>HYPERLINK("https://klasma.github.io/Logging_MONSTERAS/tillsynsmail/A 7371-2020.docx", "A 7371-2020")</f>
        <v/>
      </c>
    </row>
    <row r="425" ht="15" customHeight="1">
      <c r="A425" t="inlineStr">
        <is>
          <t>A 10900-2020</t>
        </is>
      </c>
      <c r="B425" s="1" t="n">
        <v>43885</v>
      </c>
      <c r="C425" s="1" t="n">
        <v>45190</v>
      </c>
      <c r="D425" t="inlineStr">
        <is>
          <t>KALMAR LÄN</t>
        </is>
      </c>
      <c r="E425" t="inlineStr">
        <is>
          <t>NYBRO</t>
        </is>
      </c>
      <c r="G425" t="n">
        <v>1.1</v>
      </c>
      <c r="H425" t="n">
        <v>1</v>
      </c>
      <c r="I425" t="n">
        <v>0</v>
      </c>
      <c r="J425" t="n">
        <v>0</v>
      </c>
      <c r="K425" t="n">
        <v>1</v>
      </c>
      <c r="L425" t="n">
        <v>0</v>
      </c>
      <c r="M425" t="n">
        <v>0</v>
      </c>
      <c r="N425" t="n">
        <v>0</v>
      </c>
      <c r="O425" t="n">
        <v>1</v>
      </c>
      <c r="P425" t="n">
        <v>1</v>
      </c>
      <c r="Q425" t="n">
        <v>1</v>
      </c>
      <c r="R425" s="2" t="inlineStr">
        <is>
          <t>Knärot</t>
        </is>
      </c>
      <c r="S425">
        <f>HYPERLINK("https://klasma.github.io/Logging_NYBRO/artfynd/A 10900-2020.xlsx", "A 10900-2020")</f>
        <v/>
      </c>
      <c r="T425">
        <f>HYPERLINK("https://klasma.github.io/Logging_NYBRO/kartor/A 10900-2020.png", "A 10900-2020")</f>
        <v/>
      </c>
      <c r="U425">
        <f>HYPERLINK("https://klasma.github.io/Logging_NYBRO/knärot/A 10900-2020.png", "A 10900-2020")</f>
        <v/>
      </c>
      <c r="V425">
        <f>HYPERLINK("https://klasma.github.io/Logging_NYBRO/klagomål/A 10900-2020.docx", "A 10900-2020")</f>
        <v/>
      </c>
      <c r="W425">
        <f>HYPERLINK("https://klasma.github.io/Logging_NYBRO/klagomålsmail/A 10900-2020.docx", "A 10900-2020")</f>
        <v/>
      </c>
      <c r="X425">
        <f>HYPERLINK("https://klasma.github.io/Logging_NYBRO/tillsyn/A 10900-2020.docx", "A 10900-2020")</f>
        <v/>
      </c>
      <c r="Y425">
        <f>HYPERLINK("https://klasma.github.io/Logging_NYBRO/tillsynsmail/A 10900-2020.docx", "A 10900-2020")</f>
        <v/>
      </c>
    </row>
    <row r="426" ht="15" customHeight="1">
      <c r="A426" t="inlineStr">
        <is>
          <t>A 10864-2020</t>
        </is>
      </c>
      <c r="B426" s="1" t="n">
        <v>43889</v>
      </c>
      <c r="C426" s="1" t="n">
        <v>45190</v>
      </c>
      <c r="D426" t="inlineStr">
        <is>
          <t>KALMAR LÄN</t>
        </is>
      </c>
      <c r="E426" t="inlineStr">
        <is>
          <t>HULTSFRED</t>
        </is>
      </c>
      <c r="F426" t="inlineStr">
        <is>
          <t>Sveaskog</t>
        </is>
      </c>
      <c r="G426" t="n">
        <v>1</v>
      </c>
      <c r="H426" t="n">
        <v>0</v>
      </c>
      <c r="I426" t="n">
        <v>0</v>
      </c>
      <c r="J426" t="n">
        <v>0</v>
      </c>
      <c r="K426" t="n">
        <v>0</v>
      </c>
      <c r="L426" t="n">
        <v>0</v>
      </c>
      <c r="M426" t="n">
        <v>1</v>
      </c>
      <c r="N426" t="n">
        <v>0</v>
      </c>
      <c r="O426" t="n">
        <v>1</v>
      </c>
      <c r="P426" t="n">
        <v>1</v>
      </c>
      <c r="Q426" t="n">
        <v>1</v>
      </c>
      <c r="R426" s="2" t="inlineStr">
        <is>
          <t>Skogsalm</t>
        </is>
      </c>
      <c r="S426">
        <f>HYPERLINK("https://klasma.github.io/Logging_HULTSFRED/artfynd/A 10864-2020.xlsx", "A 10864-2020")</f>
        <v/>
      </c>
      <c r="T426">
        <f>HYPERLINK("https://klasma.github.io/Logging_HULTSFRED/kartor/A 10864-2020.png", "A 10864-2020")</f>
        <v/>
      </c>
      <c r="V426">
        <f>HYPERLINK("https://klasma.github.io/Logging_HULTSFRED/klagomål/A 10864-2020.docx", "A 10864-2020")</f>
        <v/>
      </c>
      <c r="W426">
        <f>HYPERLINK("https://klasma.github.io/Logging_HULTSFRED/klagomålsmail/A 10864-2020.docx", "A 10864-2020")</f>
        <v/>
      </c>
      <c r="X426">
        <f>HYPERLINK("https://klasma.github.io/Logging_HULTSFRED/tillsyn/A 10864-2020.docx", "A 10864-2020")</f>
        <v/>
      </c>
      <c r="Y426">
        <f>HYPERLINK("https://klasma.github.io/Logging_HULTSFRED/tillsynsmail/A 10864-2020.docx", "A 10864-2020")</f>
        <v/>
      </c>
    </row>
    <row r="427" ht="15" customHeight="1">
      <c r="A427" t="inlineStr">
        <is>
          <t>A 13471-2020</t>
        </is>
      </c>
      <c r="B427" s="1" t="n">
        <v>43902</v>
      </c>
      <c r="C427" s="1" t="n">
        <v>45190</v>
      </c>
      <c r="D427" t="inlineStr">
        <is>
          <t>KALMAR LÄN</t>
        </is>
      </c>
      <c r="E427" t="inlineStr">
        <is>
          <t>HULTSFRED</t>
        </is>
      </c>
      <c r="G427" t="n">
        <v>1.2</v>
      </c>
      <c r="H427" t="n">
        <v>1</v>
      </c>
      <c r="I427" t="n">
        <v>0</v>
      </c>
      <c r="J427" t="n">
        <v>0</v>
      </c>
      <c r="K427" t="n">
        <v>1</v>
      </c>
      <c r="L427" t="n">
        <v>0</v>
      </c>
      <c r="M427" t="n">
        <v>0</v>
      </c>
      <c r="N427" t="n">
        <v>0</v>
      </c>
      <c r="O427" t="n">
        <v>1</v>
      </c>
      <c r="P427" t="n">
        <v>1</v>
      </c>
      <c r="Q427" t="n">
        <v>1</v>
      </c>
      <c r="R427" s="2" t="inlineStr">
        <is>
          <t>Knärot</t>
        </is>
      </c>
      <c r="S427">
        <f>HYPERLINK("https://klasma.github.io/Logging_HULTSFRED/artfynd/A 13471-2020.xlsx", "A 13471-2020")</f>
        <v/>
      </c>
      <c r="T427">
        <f>HYPERLINK("https://klasma.github.io/Logging_HULTSFRED/kartor/A 13471-2020.png", "A 13471-2020")</f>
        <v/>
      </c>
      <c r="U427">
        <f>HYPERLINK("https://klasma.github.io/Logging_HULTSFRED/knärot/A 13471-2020.png", "A 13471-2020")</f>
        <v/>
      </c>
      <c r="V427">
        <f>HYPERLINK("https://klasma.github.io/Logging_HULTSFRED/klagomål/A 13471-2020.docx", "A 13471-2020")</f>
        <v/>
      </c>
      <c r="W427">
        <f>HYPERLINK("https://klasma.github.io/Logging_HULTSFRED/klagomålsmail/A 13471-2020.docx", "A 13471-2020")</f>
        <v/>
      </c>
      <c r="X427">
        <f>HYPERLINK("https://klasma.github.io/Logging_HULTSFRED/tillsyn/A 13471-2020.docx", "A 13471-2020")</f>
        <v/>
      </c>
      <c r="Y427">
        <f>HYPERLINK("https://klasma.github.io/Logging_HULTSFRED/tillsynsmail/A 13471-2020.docx", "A 13471-2020")</f>
        <v/>
      </c>
    </row>
    <row r="428" ht="15" customHeight="1">
      <c r="A428" t="inlineStr">
        <is>
          <t>A 16608-2020</t>
        </is>
      </c>
      <c r="B428" s="1" t="n">
        <v>43908</v>
      </c>
      <c r="C428" s="1" t="n">
        <v>45190</v>
      </c>
      <c r="D428" t="inlineStr">
        <is>
          <t>KALMAR LÄN</t>
        </is>
      </c>
      <c r="E428" t="inlineStr">
        <is>
          <t>VÄSTERVIK</t>
        </is>
      </c>
      <c r="F428" t="inlineStr">
        <is>
          <t>Övriga Aktiebolag</t>
        </is>
      </c>
      <c r="G428" t="n">
        <v>1.7</v>
      </c>
      <c r="H428" t="n">
        <v>0</v>
      </c>
      <c r="I428" t="n">
        <v>0</v>
      </c>
      <c r="J428" t="n">
        <v>1</v>
      </c>
      <c r="K428" t="n">
        <v>0</v>
      </c>
      <c r="L428" t="n">
        <v>0</v>
      </c>
      <c r="M428" t="n">
        <v>0</v>
      </c>
      <c r="N428" t="n">
        <v>0</v>
      </c>
      <c r="O428" t="n">
        <v>1</v>
      </c>
      <c r="P428" t="n">
        <v>0</v>
      </c>
      <c r="Q428" t="n">
        <v>1</v>
      </c>
      <c r="R428" s="2" t="inlineStr">
        <is>
          <t>Skogsklocka</t>
        </is>
      </c>
      <c r="S428">
        <f>HYPERLINK("https://klasma.github.io/Logging_VASTERVIK/artfynd/A 16608-2020.xlsx", "A 16608-2020")</f>
        <v/>
      </c>
      <c r="T428">
        <f>HYPERLINK("https://klasma.github.io/Logging_VASTERVIK/kartor/A 16608-2020.png", "A 16608-2020")</f>
        <v/>
      </c>
      <c r="V428">
        <f>HYPERLINK("https://klasma.github.io/Logging_VASTERVIK/klagomål/A 16608-2020.docx", "A 16608-2020")</f>
        <v/>
      </c>
      <c r="W428">
        <f>HYPERLINK("https://klasma.github.io/Logging_VASTERVIK/klagomålsmail/A 16608-2020.docx", "A 16608-2020")</f>
        <v/>
      </c>
      <c r="X428">
        <f>HYPERLINK("https://klasma.github.io/Logging_VASTERVIK/tillsyn/A 16608-2020.docx", "A 16608-2020")</f>
        <v/>
      </c>
      <c r="Y428">
        <f>HYPERLINK("https://klasma.github.io/Logging_VASTERVIK/tillsynsmail/A 16608-2020.docx", "A 16608-2020")</f>
        <v/>
      </c>
    </row>
    <row r="429" ht="15" customHeight="1">
      <c r="A429" t="inlineStr">
        <is>
          <t>A 15357-2020</t>
        </is>
      </c>
      <c r="B429" s="1" t="n">
        <v>43913</v>
      </c>
      <c r="C429" s="1" t="n">
        <v>45190</v>
      </c>
      <c r="D429" t="inlineStr">
        <is>
          <t>KALMAR LÄN</t>
        </is>
      </c>
      <c r="E429" t="inlineStr">
        <is>
          <t>VÄSTERVIK</t>
        </is>
      </c>
      <c r="G429" t="n">
        <v>2.9</v>
      </c>
      <c r="H429" t="n">
        <v>0</v>
      </c>
      <c r="I429" t="n">
        <v>1</v>
      </c>
      <c r="J429" t="n">
        <v>0</v>
      </c>
      <c r="K429" t="n">
        <v>0</v>
      </c>
      <c r="L429" t="n">
        <v>0</v>
      </c>
      <c r="M429" t="n">
        <v>0</v>
      </c>
      <c r="N429" t="n">
        <v>0</v>
      </c>
      <c r="O429" t="n">
        <v>0</v>
      </c>
      <c r="P429" t="n">
        <v>0</v>
      </c>
      <c r="Q429" t="n">
        <v>1</v>
      </c>
      <c r="R429" s="2" t="inlineStr">
        <is>
          <t>Grönpyrola</t>
        </is>
      </c>
      <c r="S429">
        <f>HYPERLINK("https://klasma.github.io/Logging_VASTERVIK/artfynd/A 15357-2020.xlsx", "A 15357-2020")</f>
        <v/>
      </c>
      <c r="T429">
        <f>HYPERLINK("https://klasma.github.io/Logging_VASTERVIK/kartor/A 15357-2020.png", "A 15357-2020")</f>
        <v/>
      </c>
      <c r="U429">
        <f>HYPERLINK("https://klasma.github.io/Logging_VASTERVIK/knärot/A 15357-2020.png", "A 15357-2020")</f>
        <v/>
      </c>
      <c r="V429">
        <f>HYPERLINK("https://klasma.github.io/Logging_VASTERVIK/klagomål/A 15357-2020.docx", "A 15357-2020")</f>
        <v/>
      </c>
      <c r="W429">
        <f>HYPERLINK("https://klasma.github.io/Logging_VASTERVIK/klagomålsmail/A 15357-2020.docx", "A 15357-2020")</f>
        <v/>
      </c>
      <c r="X429">
        <f>HYPERLINK("https://klasma.github.io/Logging_VASTERVIK/tillsyn/A 15357-2020.docx", "A 15357-2020")</f>
        <v/>
      </c>
      <c r="Y429">
        <f>HYPERLINK("https://klasma.github.io/Logging_VASTERVIK/tillsynsmail/A 15357-2020.docx", "A 15357-2020")</f>
        <v/>
      </c>
    </row>
    <row r="430" ht="15" customHeight="1">
      <c r="A430" t="inlineStr">
        <is>
          <t>A 17491-2020</t>
        </is>
      </c>
      <c r="B430" s="1" t="n">
        <v>43920</v>
      </c>
      <c r="C430" s="1" t="n">
        <v>45190</v>
      </c>
      <c r="D430" t="inlineStr">
        <is>
          <t>KALMAR LÄN</t>
        </is>
      </c>
      <c r="E430" t="inlineStr">
        <is>
          <t>HULTSFRED</t>
        </is>
      </c>
      <c r="G430" t="n">
        <v>5.4</v>
      </c>
      <c r="H430" t="n">
        <v>1</v>
      </c>
      <c r="I430" t="n">
        <v>0</v>
      </c>
      <c r="J430" t="n">
        <v>0</v>
      </c>
      <c r="K430" t="n">
        <v>0</v>
      </c>
      <c r="L430" t="n">
        <v>0</v>
      </c>
      <c r="M430" t="n">
        <v>0</v>
      </c>
      <c r="N430" t="n">
        <v>0</v>
      </c>
      <c r="O430" t="n">
        <v>0</v>
      </c>
      <c r="P430" t="n">
        <v>0</v>
      </c>
      <c r="Q430" t="n">
        <v>1</v>
      </c>
      <c r="R430" s="2" t="inlineStr">
        <is>
          <t>Lopplummer</t>
        </is>
      </c>
      <c r="S430">
        <f>HYPERLINK("https://klasma.github.io/Logging_HULTSFRED/artfynd/A 17491-2020.xlsx", "A 17491-2020")</f>
        <v/>
      </c>
      <c r="T430">
        <f>HYPERLINK("https://klasma.github.io/Logging_HULTSFRED/kartor/A 17491-2020.png", "A 17491-2020")</f>
        <v/>
      </c>
      <c r="V430">
        <f>HYPERLINK("https://klasma.github.io/Logging_HULTSFRED/klagomål/A 17491-2020.docx", "A 17491-2020")</f>
        <v/>
      </c>
      <c r="W430">
        <f>HYPERLINK("https://klasma.github.io/Logging_HULTSFRED/klagomålsmail/A 17491-2020.docx", "A 17491-2020")</f>
        <v/>
      </c>
      <c r="X430">
        <f>HYPERLINK("https://klasma.github.io/Logging_HULTSFRED/tillsyn/A 17491-2020.docx", "A 17491-2020")</f>
        <v/>
      </c>
      <c r="Y430">
        <f>HYPERLINK("https://klasma.github.io/Logging_HULTSFRED/tillsynsmail/A 17491-2020.docx", "A 17491-2020")</f>
        <v/>
      </c>
    </row>
    <row r="431" ht="15" customHeight="1">
      <c r="A431" t="inlineStr">
        <is>
          <t>A 18186-2020</t>
        </is>
      </c>
      <c r="B431" s="1" t="n">
        <v>43927</v>
      </c>
      <c r="C431" s="1" t="n">
        <v>45190</v>
      </c>
      <c r="D431" t="inlineStr">
        <is>
          <t>KALMAR LÄN</t>
        </is>
      </c>
      <c r="E431" t="inlineStr">
        <is>
          <t>KALMAR</t>
        </is>
      </c>
      <c r="G431" t="n">
        <v>4.1</v>
      </c>
      <c r="H431" t="n">
        <v>0</v>
      </c>
      <c r="I431" t="n">
        <v>0</v>
      </c>
      <c r="J431" t="n">
        <v>1</v>
      </c>
      <c r="K431" t="n">
        <v>0</v>
      </c>
      <c r="L431" t="n">
        <v>0</v>
      </c>
      <c r="M431" t="n">
        <v>0</v>
      </c>
      <c r="N431" t="n">
        <v>0</v>
      </c>
      <c r="O431" t="n">
        <v>1</v>
      </c>
      <c r="P431" t="n">
        <v>0</v>
      </c>
      <c r="Q431" t="n">
        <v>1</v>
      </c>
      <c r="R431" s="2" t="inlineStr">
        <is>
          <t>Linmåra/småsnärjmåra</t>
        </is>
      </c>
      <c r="S431">
        <f>HYPERLINK("https://klasma.github.io/Logging_KALMAR/artfynd/A 18186-2020.xlsx", "A 18186-2020")</f>
        <v/>
      </c>
      <c r="T431">
        <f>HYPERLINK("https://klasma.github.io/Logging_KALMAR/kartor/A 18186-2020.png", "A 18186-2020")</f>
        <v/>
      </c>
      <c r="V431">
        <f>HYPERLINK("https://klasma.github.io/Logging_KALMAR/klagomål/A 18186-2020.docx", "A 18186-2020")</f>
        <v/>
      </c>
      <c r="W431">
        <f>HYPERLINK("https://klasma.github.io/Logging_KALMAR/klagomålsmail/A 18186-2020.docx", "A 18186-2020")</f>
        <v/>
      </c>
      <c r="X431">
        <f>HYPERLINK("https://klasma.github.io/Logging_KALMAR/tillsyn/A 18186-2020.docx", "A 18186-2020")</f>
        <v/>
      </c>
      <c r="Y431">
        <f>HYPERLINK("https://klasma.github.io/Logging_KALMAR/tillsynsmail/A 18186-2020.docx", "A 18186-2020")</f>
        <v/>
      </c>
    </row>
    <row r="432" ht="15" customHeight="1">
      <c r="A432" t="inlineStr">
        <is>
          <t>A 18351-2020</t>
        </is>
      </c>
      <c r="B432" s="1" t="n">
        <v>43928</v>
      </c>
      <c r="C432" s="1" t="n">
        <v>45190</v>
      </c>
      <c r="D432" t="inlineStr">
        <is>
          <t>KALMAR LÄN</t>
        </is>
      </c>
      <c r="E432" t="inlineStr">
        <is>
          <t>KALMAR</t>
        </is>
      </c>
      <c r="G432" t="n">
        <v>1.8</v>
      </c>
      <c r="H432" t="n">
        <v>0</v>
      </c>
      <c r="I432" t="n">
        <v>0</v>
      </c>
      <c r="J432" t="n">
        <v>1</v>
      </c>
      <c r="K432" t="n">
        <v>0</v>
      </c>
      <c r="L432" t="n">
        <v>0</v>
      </c>
      <c r="M432" t="n">
        <v>0</v>
      </c>
      <c r="N432" t="n">
        <v>0</v>
      </c>
      <c r="O432" t="n">
        <v>1</v>
      </c>
      <c r="P432" t="n">
        <v>0</v>
      </c>
      <c r="Q432" t="n">
        <v>1</v>
      </c>
      <c r="R432" s="2" t="inlineStr">
        <is>
          <t>Korskovall</t>
        </is>
      </c>
      <c r="S432">
        <f>HYPERLINK("https://klasma.github.io/Logging_KALMAR/artfynd/A 18351-2020.xlsx", "A 18351-2020")</f>
        <v/>
      </c>
      <c r="T432">
        <f>HYPERLINK("https://klasma.github.io/Logging_KALMAR/kartor/A 18351-2020.png", "A 18351-2020")</f>
        <v/>
      </c>
      <c r="V432">
        <f>HYPERLINK("https://klasma.github.io/Logging_KALMAR/klagomål/A 18351-2020.docx", "A 18351-2020")</f>
        <v/>
      </c>
      <c r="W432">
        <f>HYPERLINK("https://klasma.github.io/Logging_KALMAR/klagomålsmail/A 18351-2020.docx", "A 18351-2020")</f>
        <v/>
      </c>
      <c r="X432">
        <f>HYPERLINK("https://klasma.github.io/Logging_KALMAR/tillsyn/A 18351-2020.docx", "A 18351-2020")</f>
        <v/>
      </c>
      <c r="Y432">
        <f>HYPERLINK("https://klasma.github.io/Logging_KALMAR/tillsynsmail/A 18351-2020.docx", "A 18351-2020")</f>
        <v/>
      </c>
    </row>
    <row r="433" ht="15" customHeight="1">
      <c r="A433" t="inlineStr">
        <is>
          <t>A 22170-2020</t>
        </is>
      </c>
      <c r="B433" s="1" t="n">
        <v>43956</v>
      </c>
      <c r="C433" s="1" t="n">
        <v>45190</v>
      </c>
      <c r="D433" t="inlineStr">
        <is>
          <t>KALMAR LÄN</t>
        </is>
      </c>
      <c r="E433" t="inlineStr">
        <is>
          <t>MÖRBYLÅNGA</t>
        </is>
      </c>
      <c r="G433" t="n">
        <v>1.4</v>
      </c>
      <c r="H433" t="n">
        <v>0</v>
      </c>
      <c r="I433" t="n">
        <v>1</v>
      </c>
      <c r="J433" t="n">
        <v>0</v>
      </c>
      <c r="K433" t="n">
        <v>0</v>
      </c>
      <c r="L433" t="n">
        <v>0</v>
      </c>
      <c r="M433" t="n">
        <v>0</v>
      </c>
      <c r="N433" t="n">
        <v>0</v>
      </c>
      <c r="O433" t="n">
        <v>0</v>
      </c>
      <c r="P433" t="n">
        <v>0</v>
      </c>
      <c r="Q433" t="n">
        <v>1</v>
      </c>
      <c r="R433" s="2" t="inlineStr">
        <is>
          <t>Hässleklocka</t>
        </is>
      </c>
      <c r="S433">
        <f>HYPERLINK("https://klasma.github.io/Logging_MORBYLANGA/artfynd/A 22170-2020.xlsx", "A 22170-2020")</f>
        <v/>
      </c>
      <c r="T433">
        <f>HYPERLINK("https://klasma.github.io/Logging_MORBYLANGA/kartor/A 22170-2020.png", "A 22170-2020")</f>
        <v/>
      </c>
      <c r="V433">
        <f>HYPERLINK("https://klasma.github.io/Logging_MORBYLANGA/klagomål/A 22170-2020.docx", "A 22170-2020")</f>
        <v/>
      </c>
      <c r="W433">
        <f>HYPERLINK("https://klasma.github.io/Logging_MORBYLANGA/klagomålsmail/A 22170-2020.docx", "A 22170-2020")</f>
        <v/>
      </c>
      <c r="X433">
        <f>HYPERLINK("https://klasma.github.io/Logging_MORBYLANGA/tillsyn/A 22170-2020.docx", "A 22170-2020")</f>
        <v/>
      </c>
      <c r="Y433">
        <f>HYPERLINK("https://klasma.github.io/Logging_MORBYLANGA/tillsynsmail/A 22170-2020.docx", "A 22170-2020")</f>
        <v/>
      </c>
    </row>
    <row r="434" ht="15" customHeight="1">
      <c r="A434" t="inlineStr">
        <is>
          <t>A 22149-2020</t>
        </is>
      </c>
      <c r="B434" s="1" t="n">
        <v>43961</v>
      </c>
      <c r="C434" s="1" t="n">
        <v>45190</v>
      </c>
      <c r="D434" t="inlineStr">
        <is>
          <t>KALMAR LÄN</t>
        </is>
      </c>
      <c r="E434" t="inlineStr">
        <is>
          <t>NYBRO</t>
        </is>
      </c>
      <c r="G434" t="n">
        <v>11.4</v>
      </c>
      <c r="H434" t="n">
        <v>0</v>
      </c>
      <c r="I434" t="n">
        <v>0</v>
      </c>
      <c r="J434" t="n">
        <v>1</v>
      </c>
      <c r="K434" t="n">
        <v>0</v>
      </c>
      <c r="L434" t="n">
        <v>0</v>
      </c>
      <c r="M434" t="n">
        <v>0</v>
      </c>
      <c r="N434" t="n">
        <v>0</v>
      </c>
      <c r="O434" t="n">
        <v>1</v>
      </c>
      <c r="P434" t="n">
        <v>0</v>
      </c>
      <c r="Q434" t="n">
        <v>1</v>
      </c>
      <c r="R434" s="2" t="inlineStr">
        <is>
          <t>Småjungfrukam</t>
        </is>
      </c>
      <c r="S434">
        <f>HYPERLINK("https://klasma.github.io/Logging_NYBRO/artfynd/A 22149-2020.xlsx", "A 22149-2020")</f>
        <v/>
      </c>
      <c r="T434">
        <f>HYPERLINK("https://klasma.github.io/Logging_NYBRO/kartor/A 22149-2020.png", "A 22149-2020")</f>
        <v/>
      </c>
      <c r="V434">
        <f>HYPERLINK("https://klasma.github.io/Logging_NYBRO/klagomål/A 22149-2020.docx", "A 22149-2020")</f>
        <v/>
      </c>
      <c r="W434">
        <f>HYPERLINK("https://klasma.github.io/Logging_NYBRO/klagomålsmail/A 22149-2020.docx", "A 22149-2020")</f>
        <v/>
      </c>
      <c r="X434">
        <f>HYPERLINK("https://klasma.github.io/Logging_NYBRO/tillsyn/A 22149-2020.docx", "A 22149-2020")</f>
        <v/>
      </c>
      <c r="Y434">
        <f>HYPERLINK("https://klasma.github.io/Logging_NYBRO/tillsynsmail/A 22149-2020.docx", "A 22149-2020")</f>
        <v/>
      </c>
    </row>
    <row r="435" ht="15" customHeight="1">
      <c r="A435" t="inlineStr">
        <is>
          <t>A 22391-2020</t>
        </is>
      </c>
      <c r="B435" s="1" t="n">
        <v>43962</v>
      </c>
      <c r="C435" s="1" t="n">
        <v>45190</v>
      </c>
      <c r="D435" t="inlineStr">
        <is>
          <t>KALMAR LÄN</t>
        </is>
      </c>
      <c r="E435" t="inlineStr">
        <is>
          <t>HULTSFRED</t>
        </is>
      </c>
      <c r="G435" t="n">
        <v>1.8</v>
      </c>
      <c r="H435" t="n">
        <v>0</v>
      </c>
      <c r="I435" t="n">
        <v>0</v>
      </c>
      <c r="J435" t="n">
        <v>0</v>
      </c>
      <c r="K435" t="n">
        <v>0</v>
      </c>
      <c r="L435" t="n">
        <v>1</v>
      </c>
      <c r="M435" t="n">
        <v>0</v>
      </c>
      <c r="N435" t="n">
        <v>0</v>
      </c>
      <c r="O435" t="n">
        <v>1</v>
      </c>
      <c r="P435" t="n">
        <v>1</v>
      </c>
      <c r="Q435" t="n">
        <v>1</v>
      </c>
      <c r="R435" s="2" t="inlineStr">
        <is>
          <t>Ryl</t>
        </is>
      </c>
      <c r="S435">
        <f>HYPERLINK("https://klasma.github.io/Logging_HULTSFRED/artfynd/A 22391-2020.xlsx", "A 22391-2020")</f>
        <v/>
      </c>
      <c r="T435">
        <f>HYPERLINK("https://klasma.github.io/Logging_HULTSFRED/kartor/A 22391-2020.png", "A 22391-2020")</f>
        <v/>
      </c>
      <c r="V435">
        <f>HYPERLINK("https://klasma.github.io/Logging_HULTSFRED/klagomål/A 22391-2020.docx", "A 22391-2020")</f>
        <v/>
      </c>
      <c r="W435">
        <f>HYPERLINK("https://klasma.github.io/Logging_HULTSFRED/klagomålsmail/A 22391-2020.docx", "A 22391-2020")</f>
        <v/>
      </c>
      <c r="X435">
        <f>HYPERLINK("https://klasma.github.io/Logging_HULTSFRED/tillsyn/A 22391-2020.docx", "A 22391-2020")</f>
        <v/>
      </c>
      <c r="Y435">
        <f>HYPERLINK("https://klasma.github.io/Logging_HULTSFRED/tillsynsmail/A 22391-2020.docx", "A 22391-2020")</f>
        <v/>
      </c>
    </row>
    <row r="436" ht="15" customHeight="1">
      <c r="A436" t="inlineStr">
        <is>
          <t>A 22629-2020</t>
        </is>
      </c>
      <c r="B436" s="1" t="n">
        <v>43963</v>
      </c>
      <c r="C436" s="1" t="n">
        <v>45190</v>
      </c>
      <c r="D436" t="inlineStr">
        <is>
          <t>KALMAR LÄN</t>
        </is>
      </c>
      <c r="E436" t="inlineStr">
        <is>
          <t>NYBRO</t>
        </is>
      </c>
      <c r="G436" t="n">
        <v>9.4</v>
      </c>
      <c r="H436" t="n">
        <v>1</v>
      </c>
      <c r="I436" t="n">
        <v>1</v>
      </c>
      <c r="J436" t="n">
        <v>0</v>
      </c>
      <c r="K436" t="n">
        <v>0</v>
      </c>
      <c r="L436" t="n">
        <v>0</v>
      </c>
      <c r="M436" t="n">
        <v>0</v>
      </c>
      <c r="N436" t="n">
        <v>0</v>
      </c>
      <c r="O436" t="n">
        <v>0</v>
      </c>
      <c r="P436" t="n">
        <v>0</v>
      </c>
      <c r="Q436" t="n">
        <v>1</v>
      </c>
      <c r="R436" s="2" t="inlineStr">
        <is>
          <t>Skogsknipprot</t>
        </is>
      </c>
      <c r="S436">
        <f>HYPERLINK("https://klasma.github.io/Logging_NYBRO/artfynd/A 22629-2020.xlsx", "A 22629-2020")</f>
        <v/>
      </c>
      <c r="T436">
        <f>HYPERLINK("https://klasma.github.io/Logging_NYBRO/kartor/A 22629-2020.png", "A 22629-2020")</f>
        <v/>
      </c>
      <c r="V436">
        <f>HYPERLINK("https://klasma.github.io/Logging_NYBRO/klagomål/A 22629-2020.docx", "A 22629-2020")</f>
        <v/>
      </c>
      <c r="W436">
        <f>HYPERLINK("https://klasma.github.io/Logging_NYBRO/klagomålsmail/A 22629-2020.docx", "A 22629-2020")</f>
        <v/>
      </c>
      <c r="X436">
        <f>HYPERLINK("https://klasma.github.io/Logging_NYBRO/tillsyn/A 22629-2020.docx", "A 22629-2020")</f>
        <v/>
      </c>
      <c r="Y436">
        <f>HYPERLINK("https://klasma.github.io/Logging_NYBRO/tillsynsmail/A 22629-2020.docx", "A 22629-2020")</f>
        <v/>
      </c>
    </row>
    <row r="437" ht="15" customHeight="1">
      <c r="A437" t="inlineStr">
        <is>
          <t>A 25736-2020</t>
        </is>
      </c>
      <c r="B437" s="1" t="n">
        <v>43984</v>
      </c>
      <c r="C437" s="1" t="n">
        <v>45190</v>
      </c>
      <c r="D437" t="inlineStr">
        <is>
          <t>KALMAR LÄN</t>
        </is>
      </c>
      <c r="E437" t="inlineStr">
        <is>
          <t>NYBRO</t>
        </is>
      </c>
      <c r="G437" t="n">
        <v>1.2</v>
      </c>
      <c r="H437" t="n">
        <v>0</v>
      </c>
      <c r="I437" t="n">
        <v>1</v>
      </c>
      <c r="J437" t="n">
        <v>0</v>
      </c>
      <c r="K437" t="n">
        <v>0</v>
      </c>
      <c r="L437" t="n">
        <v>0</v>
      </c>
      <c r="M437" t="n">
        <v>0</v>
      </c>
      <c r="N437" t="n">
        <v>0</v>
      </c>
      <c r="O437" t="n">
        <v>0</v>
      </c>
      <c r="P437" t="n">
        <v>0</v>
      </c>
      <c r="Q437" t="n">
        <v>1</v>
      </c>
      <c r="R437" s="2" t="inlineStr">
        <is>
          <t>Blåmossa</t>
        </is>
      </c>
      <c r="S437">
        <f>HYPERLINK("https://klasma.github.io/Logging_NYBRO/artfynd/A 25736-2020.xlsx", "A 25736-2020")</f>
        <v/>
      </c>
      <c r="T437">
        <f>HYPERLINK("https://klasma.github.io/Logging_NYBRO/kartor/A 25736-2020.png", "A 25736-2020")</f>
        <v/>
      </c>
      <c r="V437">
        <f>HYPERLINK("https://klasma.github.io/Logging_NYBRO/klagomål/A 25736-2020.docx", "A 25736-2020")</f>
        <v/>
      </c>
      <c r="W437">
        <f>HYPERLINK("https://klasma.github.io/Logging_NYBRO/klagomålsmail/A 25736-2020.docx", "A 25736-2020")</f>
        <v/>
      </c>
      <c r="X437">
        <f>HYPERLINK("https://klasma.github.io/Logging_NYBRO/tillsyn/A 25736-2020.docx", "A 25736-2020")</f>
        <v/>
      </c>
      <c r="Y437">
        <f>HYPERLINK("https://klasma.github.io/Logging_NYBRO/tillsynsmail/A 25736-2020.docx", "A 25736-2020")</f>
        <v/>
      </c>
    </row>
    <row r="438" ht="15" customHeight="1">
      <c r="A438" t="inlineStr">
        <is>
          <t>A 29616-2020</t>
        </is>
      </c>
      <c r="B438" s="1" t="n">
        <v>44004</v>
      </c>
      <c r="C438" s="1" t="n">
        <v>45190</v>
      </c>
      <c r="D438" t="inlineStr">
        <is>
          <t>KALMAR LÄN</t>
        </is>
      </c>
      <c r="E438" t="inlineStr">
        <is>
          <t>MÖNSTERÅS</t>
        </is>
      </c>
      <c r="G438" t="n">
        <v>2.9</v>
      </c>
      <c r="H438" t="n">
        <v>0</v>
      </c>
      <c r="I438" t="n">
        <v>1</v>
      </c>
      <c r="J438" t="n">
        <v>0</v>
      </c>
      <c r="K438" t="n">
        <v>0</v>
      </c>
      <c r="L438" t="n">
        <v>0</v>
      </c>
      <c r="M438" t="n">
        <v>0</v>
      </c>
      <c r="N438" t="n">
        <v>0</v>
      </c>
      <c r="O438" t="n">
        <v>0</v>
      </c>
      <c r="P438" t="n">
        <v>0</v>
      </c>
      <c r="Q438" t="n">
        <v>1</v>
      </c>
      <c r="R438" s="2" t="inlineStr">
        <is>
          <t>Granbarkgnagare</t>
        </is>
      </c>
      <c r="S438">
        <f>HYPERLINK("https://klasma.github.io/Logging_MONSTERAS/artfynd/A 29616-2020.xlsx", "A 29616-2020")</f>
        <v/>
      </c>
      <c r="T438">
        <f>HYPERLINK("https://klasma.github.io/Logging_MONSTERAS/kartor/A 29616-2020.png", "A 29616-2020")</f>
        <v/>
      </c>
      <c r="V438">
        <f>HYPERLINK("https://klasma.github.io/Logging_MONSTERAS/klagomål/A 29616-2020.docx", "A 29616-2020")</f>
        <v/>
      </c>
      <c r="W438">
        <f>HYPERLINK("https://klasma.github.io/Logging_MONSTERAS/klagomålsmail/A 29616-2020.docx", "A 29616-2020")</f>
        <v/>
      </c>
      <c r="X438">
        <f>HYPERLINK("https://klasma.github.io/Logging_MONSTERAS/tillsyn/A 29616-2020.docx", "A 29616-2020")</f>
        <v/>
      </c>
      <c r="Y438">
        <f>HYPERLINK("https://klasma.github.io/Logging_MONSTERAS/tillsynsmail/A 29616-2020.docx", "A 29616-2020")</f>
        <v/>
      </c>
    </row>
    <row r="439" ht="15" customHeight="1">
      <c r="A439" t="inlineStr">
        <is>
          <t>A 30772-2020</t>
        </is>
      </c>
      <c r="B439" s="1" t="n">
        <v>44009</v>
      </c>
      <c r="C439" s="1" t="n">
        <v>45190</v>
      </c>
      <c r="D439" t="inlineStr">
        <is>
          <t>KALMAR LÄN</t>
        </is>
      </c>
      <c r="E439" t="inlineStr">
        <is>
          <t>NYBRO</t>
        </is>
      </c>
      <c r="G439" t="n">
        <v>21.1</v>
      </c>
      <c r="H439" t="n">
        <v>1</v>
      </c>
      <c r="I439" t="n">
        <v>0</v>
      </c>
      <c r="J439" t="n">
        <v>0</v>
      </c>
      <c r="K439" t="n">
        <v>0</v>
      </c>
      <c r="L439" t="n">
        <v>0</v>
      </c>
      <c r="M439" t="n">
        <v>0</v>
      </c>
      <c r="N439" t="n">
        <v>0</v>
      </c>
      <c r="O439" t="n">
        <v>0</v>
      </c>
      <c r="P439" t="n">
        <v>0</v>
      </c>
      <c r="Q439" t="n">
        <v>1</v>
      </c>
      <c r="R439" s="2" t="inlineStr">
        <is>
          <t>Fläcknycklar</t>
        </is>
      </c>
      <c r="S439">
        <f>HYPERLINK("https://klasma.github.io/Logging_NYBRO/artfynd/A 30772-2020.xlsx", "A 30772-2020")</f>
        <v/>
      </c>
      <c r="T439">
        <f>HYPERLINK("https://klasma.github.io/Logging_NYBRO/kartor/A 30772-2020.png", "A 30772-2020")</f>
        <v/>
      </c>
      <c r="V439">
        <f>HYPERLINK("https://klasma.github.io/Logging_NYBRO/klagomål/A 30772-2020.docx", "A 30772-2020")</f>
        <v/>
      </c>
      <c r="W439">
        <f>HYPERLINK("https://klasma.github.io/Logging_NYBRO/klagomålsmail/A 30772-2020.docx", "A 30772-2020")</f>
        <v/>
      </c>
      <c r="X439">
        <f>HYPERLINK("https://klasma.github.io/Logging_NYBRO/tillsyn/A 30772-2020.docx", "A 30772-2020")</f>
        <v/>
      </c>
      <c r="Y439">
        <f>HYPERLINK("https://klasma.github.io/Logging_NYBRO/tillsynsmail/A 30772-2020.docx", "A 30772-2020")</f>
        <v/>
      </c>
    </row>
    <row r="440" ht="15" customHeight="1">
      <c r="A440" t="inlineStr">
        <is>
          <t>A 32143-2020</t>
        </is>
      </c>
      <c r="B440" s="1" t="n">
        <v>44015</v>
      </c>
      <c r="C440" s="1" t="n">
        <v>45190</v>
      </c>
      <c r="D440" t="inlineStr">
        <is>
          <t>KALMAR LÄN</t>
        </is>
      </c>
      <c r="E440" t="inlineStr">
        <is>
          <t>MÖNSTERÅS</t>
        </is>
      </c>
      <c r="G440" t="n">
        <v>12.1</v>
      </c>
      <c r="H440" t="n">
        <v>0</v>
      </c>
      <c r="I440" t="n">
        <v>0</v>
      </c>
      <c r="J440" t="n">
        <v>1</v>
      </c>
      <c r="K440" t="n">
        <v>0</v>
      </c>
      <c r="L440" t="n">
        <v>0</v>
      </c>
      <c r="M440" t="n">
        <v>0</v>
      </c>
      <c r="N440" t="n">
        <v>0</v>
      </c>
      <c r="O440" t="n">
        <v>1</v>
      </c>
      <c r="P440" t="n">
        <v>0</v>
      </c>
      <c r="Q440" t="n">
        <v>1</v>
      </c>
      <c r="R440" s="2" t="inlineStr">
        <is>
          <t>Tallticka</t>
        </is>
      </c>
      <c r="S440">
        <f>HYPERLINK("https://klasma.github.io/Logging_MONSTERAS/artfynd/A 32143-2020.xlsx", "A 32143-2020")</f>
        <v/>
      </c>
      <c r="T440">
        <f>HYPERLINK("https://klasma.github.io/Logging_MONSTERAS/kartor/A 32143-2020.png", "A 32143-2020")</f>
        <v/>
      </c>
      <c r="V440">
        <f>HYPERLINK("https://klasma.github.io/Logging_MONSTERAS/klagomål/A 32143-2020.docx", "A 32143-2020")</f>
        <v/>
      </c>
      <c r="W440">
        <f>HYPERLINK("https://klasma.github.io/Logging_MONSTERAS/klagomålsmail/A 32143-2020.docx", "A 32143-2020")</f>
        <v/>
      </c>
      <c r="X440">
        <f>HYPERLINK("https://klasma.github.io/Logging_MONSTERAS/tillsyn/A 32143-2020.docx", "A 32143-2020")</f>
        <v/>
      </c>
      <c r="Y440">
        <f>HYPERLINK("https://klasma.github.io/Logging_MONSTERAS/tillsynsmail/A 32143-2020.docx", "A 32143-2020")</f>
        <v/>
      </c>
    </row>
    <row r="441" ht="15" customHeight="1">
      <c r="A441" t="inlineStr">
        <is>
          <t>A 35462-2020</t>
        </is>
      </c>
      <c r="B441" s="1" t="n">
        <v>44042</v>
      </c>
      <c r="C441" s="1" t="n">
        <v>45190</v>
      </c>
      <c r="D441" t="inlineStr">
        <is>
          <t>KALMAR LÄN</t>
        </is>
      </c>
      <c r="E441" t="inlineStr">
        <is>
          <t>VIMMERBY</t>
        </is>
      </c>
      <c r="G441" t="n">
        <v>4.3</v>
      </c>
      <c r="H441" t="n">
        <v>1</v>
      </c>
      <c r="I441" t="n">
        <v>0</v>
      </c>
      <c r="J441" t="n">
        <v>0</v>
      </c>
      <c r="K441" t="n">
        <v>0</v>
      </c>
      <c r="L441" t="n">
        <v>0</v>
      </c>
      <c r="M441" t="n">
        <v>0</v>
      </c>
      <c r="N441" t="n">
        <v>0</v>
      </c>
      <c r="O441" t="n">
        <v>0</v>
      </c>
      <c r="P441" t="n">
        <v>0</v>
      </c>
      <c r="Q441" t="n">
        <v>1</v>
      </c>
      <c r="R441" s="2" t="inlineStr">
        <is>
          <t>Lopplummer</t>
        </is>
      </c>
      <c r="S441">
        <f>HYPERLINK("https://klasma.github.io/Logging_VIMMERBY/artfynd/A 35462-2020.xlsx", "A 35462-2020")</f>
        <v/>
      </c>
      <c r="T441">
        <f>HYPERLINK("https://klasma.github.io/Logging_VIMMERBY/kartor/A 35462-2020.png", "A 35462-2020")</f>
        <v/>
      </c>
      <c r="V441">
        <f>HYPERLINK("https://klasma.github.io/Logging_VIMMERBY/klagomål/A 35462-2020.docx", "A 35462-2020")</f>
        <v/>
      </c>
      <c r="W441">
        <f>HYPERLINK("https://klasma.github.io/Logging_VIMMERBY/klagomålsmail/A 35462-2020.docx", "A 35462-2020")</f>
        <v/>
      </c>
      <c r="X441">
        <f>HYPERLINK("https://klasma.github.io/Logging_VIMMERBY/tillsyn/A 35462-2020.docx", "A 35462-2020")</f>
        <v/>
      </c>
      <c r="Y441">
        <f>HYPERLINK("https://klasma.github.io/Logging_VIMMERBY/tillsynsmail/A 35462-2020.docx", "A 35462-2020")</f>
        <v/>
      </c>
    </row>
    <row r="442" ht="15" customHeight="1">
      <c r="A442" t="inlineStr">
        <is>
          <t>A 36717-2020</t>
        </is>
      </c>
      <c r="B442" s="1" t="n">
        <v>44053</v>
      </c>
      <c r="C442" s="1" t="n">
        <v>45190</v>
      </c>
      <c r="D442" t="inlineStr">
        <is>
          <t>KALMAR LÄN</t>
        </is>
      </c>
      <c r="E442" t="inlineStr">
        <is>
          <t>HULTSFRED</t>
        </is>
      </c>
      <c r="F442" t="inlineStr">
        <is>
          <t>Kyrkan</t>
        </is>
      </c>
      <c r="G442" t="n">
        <v>4.2</v>
      </c>
      <c r="H442" t="n">
        <v>0</v>
      </c>
      <c r="I442" t="n">
        <v>1</v>
      </c>
      <c r="J442" t="n">
        <v>0</v>
      </c>
      <c r="K442" t="n">
        <v>0</v>
      </c>
      <c r="L442" t="n">
        <v>0</v>
      </c>
      <c r="M442" t="n">
        <v>0</v>
      </c>
      <c r="N442" t="n">
        <v>0</v>
      </c>
      <c r="O442" t="n">
        <v>0</v>
      </c>
      <c r="P442" t="n">
        <v>0</v>
      </c>
      <c r="Q442" t="n">
        <v>1</v>
      </c>
      <c r="R442" s="2" t="inlineStr">
        <is>
          <t>Västlig hakmossa</t>
        </is>
      </c>
      <c r="S442">
        <f>HYPERLINK("https://klasma.github.io/Logging_HULTSFRED/artfynd/A 36717-2020.xlsx", "A 36717-2020")</f>
        <v/>
      </c>
      <c r="T442">
        <f>HYPERLINK("https://klasma.github.io/Logging_HULTSFRED/kartor/A 36717-2020.png", "A 36717-2020")</f>
        <v/>
      </c>
      <c r="V442">
        <f>HYPERLINK("https://klasma.github.io/Logging_HULTSFRED/klagomål/A 36717-2020.docx", "A 36717-2020")</f>
        <v/>
      </c>
      <c r="W442">
        <f>HYPERLINK("https://klasma.github.io/Logging_HULTSFRED/klagomålsmail/A 36717-2020.docx", "A 36717-2020")</f>
        <v/>
      </c>
      <c r="X442">
        <f>HYPERLINK("https://klasma.github.io/Logging_HULTSFRED/tillsyn/A 36717-2020.docx", "A 36717-2020")</f>
        <v/>
      </c>
      <c r="Y442">
        <f>HYPERLINK("https://klasma.github.io/Logging_HULTSFRED/tillsynsmail/A 36717-2020.docx", "A 36717-2020")</f>
        <v/>
      </c>
    </row>
    <row r="443" ht="15" customHeight="1">
      <c r="A443" t="inlineStr">
        <is>
          <t>A 37170-2020</t>
        </is>
      </c>
      <c r="B443" s="1" t="n">
        <v>44054</v>
      </c>
      <c r="C443" s="1" t="n">
        <v>45190</v>
      </c>
      <c r="D443" t="inlineStr">
        <is>
          <t>KALMAR LÄN</t>
        </is>
      </c>
      <c r="E443" t="inlineStr">
        <is>
          <t>EMMABODA</t>
        </is>
      </c>
      <c r="G443" t="n">
        <v>1.4</v>
      </c>
      <c r="H443" t="n">
        <v>0</v>
      </c>
      <c r="I443" t="n">
        <v>1</v>
      </c>
      <c r="J443" t="n">
        <v>0</v>
      </c>
      <c r="K443" t="n">
        <v>0</v>
      </c>
      <c r="L443" t="n">
        <v>0</v>
      </c>
      <c r="M443" t="n">
        <v>0</v>
      </c>
      <c r="N443" t="n">
        <v>0</v>
      </c>
      <c r="O443" t="n">
        <v>0</v>
      </c>
      <c r="P443" t="n">
        <v>0</v>
      </c>
      <c r="Q443" t="n">
        <v>1</v>
      </c>
      <c r="R443" s="2" t="inlineStr">
        <is>
          <t>Grönpyrola</t>
        </is>
      </c>
      <c r="S443">
        <f>HYPERLINK("https://klasma.github.io/Logging_EMMABODA/artfynd/A 37170-2020.xlsx", "A 37170-2020")</f>
        <v/>
      </c>
      <c r="T443">
        <f>HYPERLINK("https://klasma.github.io/Logging_EMMABODA/kartor/A 37170-2020.png", "A 37170-2020")</f>
        <v/>
      </c>
      <c r="V443">
        <f>HYPERLINK("https://klasma.github.io/Logging_EMMABODA/klagomål/A 37170-2020.docx", "A 37170-2020")</f>
        <v/>
      </c>
      <c r="W443">
        <f>HYPERLINK("https://klasma.github.io/Logging_EMMABODA/klagomålsmail/A 37170-2020.docx", "A 37170-2020")</f>
        <v/>
      </c>
      <c r="X443">
        <f>HYPERLINK("https://klasma.github.io/Logging_EMMABODA/tillsyn/A 37170-2020.docx", "A 37170-2020")</f>
        <v/>
      </c>
      <c r="Y443">
        <f>HYPERLINK("https://klasma.github.io/Logging_EMMABODA/tillsynsmail/A 37170-2020.docx", "A 37170-2020")</f>
        <v/>
      </c>
    </row>
    <row r="444" ht="15" customHeight="1">
      <c r="A444" t="inlineStr">
        <is>
          <t>A 37939-2020</t>
        </is>
      </c>
      <c r="B444" s="1" t="n">
        <v>44057</v>
      </c>
      <c r="C444" s="1" t="n">
        <v>45190</v>
      </c>
      <c r="D444" t="inlineStr">
        <is>
          <t>KALMAR LÄN</t>
        </is>
      </c>
      <c r="E444" t="inlineStr">
        <is>
          <t>NYBRO</t>
        </is>
      </c>
      <c r="G444" t="n">
        <v>3.5</v>
      </c>
      <c r="H444" t="n">
        <v>1</v>
      </c>
      <c r="I444" t="n">
        <v>0</v>
      </c>
      <c r="J444" t="n">
        <v>0</v>
      </c>
      <c r="K444" t="n">
        <v>0</v>
      </c>
      <c r="L444" t="n">
        <v>0</v>
      </c>
      <c r="M444" t="n">
        <v>0</v>
      </c>
      <c r="N444" t="n">
        <v>0</v>
      </c>
      <c r="O444" t="n">
        <v>0</v>
      </c>
      <c r="P444" t="n">
        <v>0</v>
      </c>
      <c r="Q444" t="n">
        <v>1</v>
      </c>
      <c r="R444" s="2" t="inlineStr">
        <is>
          <t>Lopplummer</t>
        </is>
      </c>
      <c r="S444">
        <f>HYPERLINK("https://klasma.github.io/Logging_NYBRO/artfynd/A 37939-2020.xlsx", "A 37939-2020")</f>
        <v/>
      </c>
      <c r="T444">
        <f>HYPERLINK("https://klasma.github.io/Logging_NYBRO/kartor/A 37939-2020.png", "A 37939-2020")</f>
        <v/>
      </c>
      <c r="V444">
        <f>HYPERLINK("https://klasma.github.io/Logging_NYBRO/klagomål/A 37939-2020.docx", "A 37939-2020")</f>
        <v/>
      </c>
      <c r="W444">
        <f>HYPERLINK("https://klasma.github.io/Logging_NYBRO/klagomålsmail/A 37939-2020.docx", "A 37939-2020")</f>
        <v/>
      </c>
      <c r="X444">
        <f>HYPERLINK("https://klasma.github.io/Logging_NYBRO/tillsyn/A 37939-2020.docx", "A 37939-2020")</f>
        <v/>
      </c>
      <c r="Y444">
        <f>HYPERLINK("https://klasma.github.io/Logging_NYBRO/tillsynsmail/A 37939-2020.docx", "A 37939-2020")</f>
        <v/>
      </c>
    </row>
    <row r="445" ht="15" customHeight="1">
      <c r="A445" t="inlineStr">
        <is>
          <t>A 38830-2020</t>
        </is>
      </c>
      <c r="B445" s="1" t="n">
        <v>44062</v>
      </c>
      <c r="C445" s="1" t="n">
        <v>45190</v>
      </c>
      <c r="D445" t="inlineStr">
        <is>
          <t>KALMAR LÄN</t>
        </is>
      </c>
      <c r="E445" t="inlineStr">
        <is>
          <t>OSKARSHAMN</t>
        </is>
      </c>
      <c r="G445" t="n">
        <v>1.4</v>
      </c>
      <c r="H445" t="n">
        <v>0</v>
      </c>
      <c r="I445" t="n">
        <v>0</v>
      </c>
      <c r="J445" t="n">
        <v>0</v>
      </c>
      <c r="K445" t="n">
        <v>1</v>
      </c>
      <c r="L445" t="n">
        <v>0</v>
      </c>
      <c r="M445" t="n">
        <v>0</v>
      </c>
      <c r="N445" t="n">
        <v>0</v>
      </c>
      <c r="O445" t="n">
        <v>1</v>
      </c>
      <c r="P445" t="n">
        <v>1</v>
      </c>
      <c r="Q445" t="n">
        <v>1</v>
      </c>
      <c r="R445" s="2" t="inlineStr">
        <is>
          <t>Blek kraterlav</t>
        </is>
      </c>
      <c r="S445">
        <f>HYPERLINK("https://klasma.github.io/Logging_OSKARSHAMN/artfynd/A 38830-2020.xlsx", "A 38830-2020")</f>
        <v/>
      </c>
      <c r="T445">
        <f>HYPERLINK("https://klasma.github.io/Logging_OSKARSHAMN/kartor/A 38830-2020.png", "A 38830-2020")</f>
        <v/>
      </c>
      <c r="V445">
        <f>HYPERLINK("https://klasma.github.io/Logging_OSKARSHAMN/klagomål/A 38830-2020.docx", "A 38830-2020")</f>
        <v/>
      </c>
      <c r="W445">
        <f>HYPERLINK("https://klasma.github.io/Logging_OSKARSHAMN/klagomålsmail/A 38830-2020.docx", "A 38830-2020")</f>
        <v/>
      </c>
      <c r="X445">
        <f>HYPERLINK("https://klasma.github.io/Logging_OSKARSHAMN/tillsyn/A 38830-2020.docx", "A 38830-2020")</f>
        <v/>
      </c>
      <c r="Y445">
        <f>HYPERLINK("https://klasma.github.io/Logging_OSKARSHAMN/tillsynsmail/A 38830-2020.docx", "A 38830-2020")</f>
        <v/>
      </c>
    </row>
    <row r="446" ht="15" customHeight="1">
      <c r="A446" t="inlineStr">
        <is>
          <t>A 39836-2020</t>
        </is>
      </c>
      <c r="B446" s="1" t="n">
        <v>44064</v>
      </c>
      <c r="C446" s="1" t="n">
        <v>45190</v>
      </c>
      <c r="D446" t="inlineStr">
        <is>
          <t>KALMAR LÄN</t>
        </is>
      </c>
      <c r="E446" t="inlineStr">
        <is>
          <t>VÄSTERVIK</t>
        </is>
      </c>
      <c r="G446" t="n">
        <v>13.4</v>
      </c>
      <c r="H446" t="n">
        <v>1</v>
      </c>
      <c r="I446" t="n">
        <v>0</v>
      </c>
      <c r="J446" t="n">
        <v>1</v>
      </c>
      <c r="K446" t="n">
        <v>0</v>
      </c>
      <c r="L446" t="n">
        <v>0</v>
      </c>
      <c r="M446" t="n">
        <v>0</v>
      </c>
      <c r="N446" t="n">
        <v>0</v>
      </c>
      <c r="O446" t="n">
        <v>1</v>
      </c>
      <c r="P446" t="n">
        <v>0</v>
      </c>
      <c r="Q446" t="n">
        <v>1</v>
      </c>
      <c r="R446" s="2" t="inlineStr">
        <is>
          <t>Havsörn</t>
        </is>
      </c>
      <c r="S446">
        <f>HYPERLINK("https://klasma.github.io/Logging_VASTERVIK/artfynd/A 39836-2020.xlsx", "A 39836-2020")</f>
        <v/>
      </c>
      <c r="T446">
        <f>HYPERLINK("https://klasma.github.io/Logging_VASTERVIK/kartor/A 39836-2020.png", "A 39836-2020")</f>
        <v/>
      </c>
      <c r="V446">
        <f>HYPERLINK("https://klasma.github.io/Logging_VASTERVIK/klagomål/A 39836-2020.docx", "A 39836-2020")</f>
        <v/>
      </c>
      <c r="W446">
        <f>HYPERLINK("https://klasma.github.io/Logging_VASTERVIK/klagomålsmail/A 39836-2020.docx", "A 39836-2020")</f>
        <v/>
      </c>
      <c r="X446">
        <f>HYPERLINK("https://klasma.github.io/Logging_VASTERVIK/tillsyn/A 39836-2020.docx", "A 39836-2020")</f>
        <v/>
      </c>
      <c r="Y446">
        <f>HYPERLINK("https://klasma.github.io/Logging_VASTERVIK/tillsynsmail/A 39836-2020.docx", "A 39836-2020")</f>
        <v/>
      </c>
    </row>
    <row r="447" ht="15" customHeight="1">
      <c r="A447" t="inlineStr">
        <is>
          <t>A 40734-2020</t>
        </is>
      </c>
      <c r="B447" s="1" t="n">
        <v>44069</v>
      </c>
      <c r="C447" s="1" t="n">
        <v>45190</v>
      </c>
      <c r="D447" t="inlineStr">
        <is>
          <t>KALMAR LÄN</t>
        </is>
      </c>
      <c r="E447" t="inlineStr">
        <is>
          <t>KALMAR</t>
        </is>
      </c>
      <c r="G447" t="n">
        <v>1.6</v>
      </c>
      <c r="H447" t="n">
        <v>1</v>
      </c>
      <c r="I447" t="n">
        <v>1</v>
      </c>
      <c r="J447" t="n">
        <v>0</v>
      </c>
      <c r="K447" t="n">
        <v>0</v>
      </c>
      <c r="L447" t="n">
        <v>0</v>
      </c>
      <c r="M447" t="n">
        <v>0</v>
      </c>
      <c r="N447" t="n">
        <v>0</v>
      </c>
      <c r="O447" t="n">
        <v>0</v>
      </c>
      <c r="P447" t="n">
        <v>0</v>
      </c>
      <c r="Q447" t="n">
        <v>1</v>
      </c>
      <c r="R447" s="2" t="inlineStr">
        <is>
          <t>Ekoxe</t>
        </is>
      </c>
      <c r="S447">
        <f>HYPERLINK("https://klasma.github.io/Logging_KALMAR/artfynd/A 40734-2020.xlsx", "A 40734-2020")</f>
        <v/>
      </c>
      <c r="T447">
        <f>HYPERLINK("https://klasma.github.io/Logging_KALMAR/kartor/A 40734-2020.png", "A 40734-2020")</f>
        <v/>
      </c>
      <c r="V447">
        <f>HYPERLINK("https://klasma.github.io/Logging_KALMAR/klagomål/A 40734-2020.docx", "A 40734-2020")</f>
        <v/>
      </c>
      <c r="W447">
        <f>HYPERLINK("https://klasma.github.io/Logging_KALMAR/klagomålsmail/A 40734-2020.docx", "A 40734-2020")</f>
        <v/>
      </c>
      <c r="X447">
        <f>HYPERLINK("https://klasma.github.io/Logging_KALMAR/tillsyn/A 40734-2020.docx", "A 40734-2020")</f>
        <v/>
      </c>
      <c r="Y447">
        <f>HYPERLINK("https://klasma.github.io/Logging_KALMAR/tillsynsmail/A 40734-2020.docx", "A 40734-2020")</f>
        <v/>
      </c>
    </row>
    <row r="448" ht="15" customHeight="1">
      <c r="A448" t="inlineStr">
        <is>
          <t>A 42097-2020</t>
        </is>
      </c>
      <c r="B448" s="1" t="n">
        <v>44075</v>
      </c>
      <c r="C448" s="1" t="n">
        <v>45190</v>
      </c>
      <c r="D448" t="inlineStr">
        <is>
          <t>KALMAR LÄN</t>
        </is>
      </c>
      <c r="E448" t="inlineStr">
        <is>
          <t>VIMMERBY</t>
        </is>
      </c>
      <c r="G448" t="n">
        <v>5.5</v>
      </c>
      <c r="H448" t="n">
        <v>0</v>
      </c>
      <c r="I448" t="n">
        <v>0</v>
      </c>
      <c r="J448" t="n">
        <v>1</v>
      </c>
      <c r="K448" t="n">
        <v>0</v>
      </c>
      <c r="L448" t="n">
        <v>0</v>
      </c>
      <c r="M448" t="n">
        <v>0</v>
      </c>
      <c r="N448" t="n">
        <v>0</v>
      </c>
      <c r="O448" t="n">
        <v>1</v>
      </c>
      <c r="P448" t="n">
        <v>0</v>
      </c>
      <c r="Q448" t="n">
        <v>1</v>
      </c>
      <c r="R448" s="2" t="inlineStr">
        <is>
          <t>Mjukdån</t>
        </is>
      </c>
      <c r="S448">
        <f>HYPERLINK("https://klasma.github.io/Logging_VIMMERBY/artfynd/A 42097-2020.xlsx", "A 42097-2020")</f>
        <v/>
      </c>
      <c r="T448">
        <f>HYPERLINK("https://klasma.github.io/Logging_VIMMERBY/kartor/A 42097-2020.png", "A 42097-2020")</f>
        <v/>
      </c>
      <c r="V448">
        <f>HYPERLINK("https://klasma.github.io/Logging_VIMMERBY/klagomål/A 42097-2020.docx", "A 42097-2020")</f>
        <v/>
      </c>
      <c r="W448">
        <f>HYPERLINK("https://klasma.github.io/Logging_VIMMERBY/klagomålsmail/A 42097-2020.docx", "A 42097-2020")</f>
        <v/>
      </c>
      <c r="X448">
        <f>HYPERLINK("https://klasma.github.io/Logging_VIMMERBY/tillsyn/A 42097-2020.docx", "A 42097-2020")</f>
        <v/>
      </c>
      <c r="Y448">
        <f>HYPERLINK("https://klasma.github.io/Logging_VIMMERBY/tillsynsmail/A 42097-2020.docx", "A 42097-2020")</f>
        <v/>
      </c>
    </row>
    <row r="449" ht="15" customHeight="1">
      <c r="A449" t="inlineStr">
        <is>
          <t>A 42248-2020</t>
        </is>
      </c>
      <c r="B449" s="1" t="n">
        <v>44076</v>
      </c>
      <c r="C449" s="1" t="n">
        <v>45190</v>
      </c>
      <c r="D449" t="inlineStr">
        <is>
          <t>KALMAR LÄN</t>
        </is>
      </c>
      <c r="E449" t="inlineStr">
        <is>
          <t>OSKARSHAMN</t>
        </is>
      </c>
      <c r="G449" t="n">
        <v>2.5</v>
      </c>
      <c r="H449" t="n">
        <v>0</v>
      </c>
      <c r="I449" t="n">
        <v>1</v>
      </c>
      <c r="J449" t="n">
        <v>0</v>
      </c>
      <c r="K449" t="n">
        <v>0</v>
      </c>
      <c r="L449" t="n">
        <v>0</v>
      </c>
      <c r="M449" t="n">
        <v>0</v>
      </c>
      <c r="N449" t="n">
        <v>0</v>
      </c>
      <c r="O449" t="n">
        <v>0</v>
      </c>
      <c r="P449" t="n">
        <v>0</v>
      </c>
      <c r="Q449" t="n">
        <v>1</v>
      </c>
      <c r="R449" s="2" t="inlineStr">
        <is>
          <t>Fällmossa</t>
        </is>
      </c>
      <c r="S449">
        <f>HYPERLINK("https://klasma.github.io/Logging_OSKARSHAMN/artfynd/A 42248-2020.xlsx", "A 42248-2020")</f>
        <v/>
      </c>
      <c r="T449">
        <f>HYPERLINK("https://klasma.github.io/Logging_OSKARSHAMN/kartor/A 42248-2020.png", "A 42248-2020")</f>
        <v/>
      </c>
      <c r="V449">
        <f>HYPERLINK("https://klasma.github.io/Logging_OSKARSHAMN/klagomål/A 42248-2020.docx", "A 42248-2020")</f>
        <v/>
      </c>
      <c r="W449">
        <f>HYPERLINK("https://klasma.github.io/Logging_OSKARSHAMN/klagomålsmail/A 42248-2020.docx", "A 42248-2020")</f>
        <v/>
      </c>
      <c r="X449">
        <f>HYPERLINK("https://klasma.github.io/Logging_OSKARSHAMN/tillsyn/A 42248-2020.docx", "A 42248-2020")</f>
        <v/>
      </c>
      <c r="Y449">
        <f>HYPERLINK("https://klasma.github.io/Logging_OSKARSHAMN/tillsynsmail/A 42248-2020.docx", "A 42248-2020")</f>
        <v/>
      </c>
    </row>
    <row r="450" ht="15" customHeight="1">
      <c r="A450" t="inlineStr">
        <is>
          <t>A 42694-2020</t>
        </is>
      </c>
      <c r="B450" s="1" t="n">
        <v>44077</v>
      </c>
      <c r="C450" s="1" t="n">
        <v>45190</v>
      </c>
      <c r="D450" t="inlineStr">
        <is>
          <t>KALMAR LÄN</t>
        </is>
      </c>
      <c r="E450" t="inlineStr">
        <is>
          <t>MÖRBYLÅNGA</t>
        </is>
      </c>
      <c r="G450" t="n">
        <v>0.9</v>
      </c>
      <c r="H450" t="n">
        <v>0</v>
      </c>
      <c r="I450" t="n">
        <v>0</v>
      </c>
      <c r="J450" t="n">
        <v>0</v>
      </c>
      <c r="K450" t="n">
        <v>1</v>
      </c>
      <c r="L450" t="n">
        <v>0</v>
      </c>
      <c r="M450" t="n">
        <v>0</v>
      </c>
      <c r="N450" t="n">
        <v>0</v>
      </c>
      <c r="O450" t="n">
        <v>1</v>
      </c>
      <c r="P450" t="n">
        <v>1</v>
      </c>
      <c r="Q450" t="n">
        <v>1</v>
      </c>
      <c r="R450" s="2" t="inlineStr">
        <is>
          <t>Gaffelfibbla</t>
        </is>
      </c>
      <c r="S450">
        <f>HYPERLINK("https://klasma.github.io/Logging_MORBYLANGA/artfynd/A 42694-2020.xlsx", "A 42694-2020")</f>
        <v/>
      </c>
      <c r="T450">
        <f>HYPERLINK("https://klasma.github.io/Logging_MORBYLANGA/kartor/A 42694-2020.png", "A 42694-2020")</f>
        <v/>
      </c>
      <c r="V450">
        <f>HYPERLINK("https://klasma.github.io/Logging_MORBYLANGA/klagomål/A 42694-2020.docx", "A 42694-2020")</f>
        <v/>
      </c>
      <c r="W450">
        <f>HYPERLINK("https://klasma.github.io/Logging_MORBYLANGA/klagomålsmail/A 42694-2020.docx", "A 42694-2020")</f>
        <v/>
      </c>
      <c r="X450">
        <f>HYPERLINK("https://klasma.github.io/Logging_MORBYLANGA/tillsyn/A 42694-2020.docx", "A 42694-2020")</f>
        <v/>
      </c>
      <c r="Y450">
        <f>HYPERLINK("https://klasma.github.io/Logging_MORBYLANGA/tillsynsmail/A 42694-2020.docx", "A 42694-2020")</f>
        <v/>
      </c>
    </row>
    <row r="451" ht="15" customHeight="1">
      <c r="A451" t="inlineStr">
        <is>
          <t>A 44306-2020</t>
        </is>
      </c>
      <c r="B451" s="1" t="n">
        <v>44082</v>
      </c>
      <c r="C451" s="1" t="n">
        <v>45190</v>
      </c>
      <c r="D451" t="inlineStr">
        <is>
          <t>KALMAR LÄN</t>
        </is>
      </c>
      <c r="E451" t="inlineStr">
        <is>
          <t>VIMMERBY</t>
        </is>
      </c>
      <c r="G451" t="n">
        <v>16.4</v>
      </c>
      <c r="H451" t="n">
        <v>1</v>
      </c>
      <c r="I451" t="n">
        <v>1</v>
      </c>
      <c r="J451" t="n">
        <v>0</v>
      </c>
      <c r="K451" t="n">
        <v>0</v>
      </c>
      <c r="L451" t="n">
        <v>0</v>
      </c>
      <c r="M451" t="n">
        <v>0</v>
      </c>
      <c r="N451" t="n">
        <v>0</v>
      </c>
      <c r="O451" t="n">
        <v>0</v>
      </c>
      <c r="P451" t="n">
        <v>0</v>
      </c>
      <c r="Q451" t="n">
        <v>1</v>
      </c>
      <c r="R451" s="2" t="inlineStr">
        <is>
          <t>Plattlummer</t>
        </is>
      </c>
      <c r="S451">
        <f>HYPERLINK("https://klasma.github.io/Logging_VIMMERBY/artfynd/A 44306-2020.xlsx", "A 44306-2020")</f>
        <v/>
      </c>
      <c r="T451">
        <f>HYPERLINK("https://klasma.github.io/Logging_VIMMERBY/kartor/A 44306-2020.png", "A 44306-2020")</f>
        <v/>
      </c>
      <c r="V451">
        <f>HYPERLINK("https://klasma.github.io/Logging_VIMMERBY/klagomål/A 44306-2020.docx", "A 44306-2020")</f>
        <v/>
      </c>
      <c r="W451">
        <f>HYPERLINK("https://klasma.github.io/Logging_VIMMERBY/klagomålsmail/A 44306-2020.docx", "A 44306-2020")</f>
        <v/>
      </c>
      <c r="X451">
        <f>HYPERLINK("https://klasma.github.io/Logging_VIMMERBY/tillsyn/A 44306-2020.docx", "A 44306-2020")</f>
        <v/>
      </c>
      <c r="Y451">
        <f>HYPERLINK("https://klasma.github.io/Logging_VIMMERBY/tillsynsmail/A 44306-2020.docx", "A 44306-2020")</f>
        <v/>
      </c>
    </row>
    <row r="452" ht="15" customHeight="1">
      <c r="A452" t="inlineStr">
        <is>
          <t>A 44078-2020</t>
        </is>
      </c>
      <c r="B452" s="1" t="n">
        <v>44083</v>
      </c>
      <c r="C452" s="1" t="n">
        <v>45190</v>
      </c>
      <c r="D452" t="inlineStr">
        <is>
          <t>KALMAR LÄN</t>
        </is>
      </c>
      <c r="E452" t="inlineStr">
        <is>
          <t>HÖGSBY</t>
        </is>
      </c>
      <c r="G452" t="n">
        <v>28.3</v>
      </c>
      <c r="H452" t="n">
        <v>1</v>
      </c>
      <c r="I452" t="n">
        <v>0</v>
      </c>
      <c r="J452" t="n">
        <v>0</v>
      </c>
      <c r="K452" t="n">
        <v>0</v>
      </c>
      <c r="L452" t="n">
        <v>0</v>
      </c>
      <c r="M452" t="n">
        <v>0</v>
      </c>
      <c r="N452" t="n">
        <v>0</v>
      </c>
      <c r="O452" t="n">
        <v>0</v>
      </c>
      <c r="P452" t="n">
        <v>0</v>
      </c>
      <c r="Q452" t="n">
        <v>1</v>
      </c>
      <c r="R452" s="2" t="inlineStr">
        <is>
          <t>Blåsippa</t>
        </is>
      </c>
      <c r="S452">
        <f>HYPERLINK("https://klasma.github.io/Logging_HOGSBY/artfynd/A 44078-2020.xlsx", "A 44078-2020")</f>
        <v/>
      </c>
      <c r="T452">
        <f>HYPERLINK("https://klasma.github.io/Logging_HOGSBY/kartor/A 44078-2020.png", "A 44078-2020")</f>
        <v/>
      </c>
      <c r="V452">
        <f>HYPERLINK("https://klasma.github.io/Logging_HOGSBY/klagomål/A 44078-2020.docx", "A 44078-2020")</f>
        <v/>
      </c>
      <c r="W452">
        <f>HYPERLINK("https://klasma.github.io/Logging_HOGSBY/klagomålsmail/A 44078-2020.docx", "A 44078-2020")</f>
        <v/>
      </c>
      <c r="X452">
        <f>HYPERLINK("https://klasma.github.io/Logging_HOGSBY/tillsyn/A 44078-2020.docx", "A 44078-2020")</f>
        <v/>
      </c>
      <c r="Y452">
        <f>HYPERLINK("https://klasma.github.io/Logging_HOGSBY/tillsynsmail/A 44078-2020.docx", "A 44078-2020")</f>
        <v/>
      </c>
    </row>
    <row r="453" ht="15" customHeight="1">
      <c r="A453" t="inlineStr">
        <is>
          <t>A 47009-2020</t>
        </is>
      </c>
      <c r="B453" s="1" t="n">
        <v>44091</v>
      </c>
      <c r="C453" s="1" t="n">
        <v>45190</v>
      </c>
      <c r="D453" t="inlineStr">
        <is>
          <t>KALMAR LÄN</t>
        </is>
      </c>
      <c r="E453" t="inlineStr">
        <is>
          <t>BORGHOLM</t>
        </is>
      </c>
      <c r="F453" t="inlineStr">
        <is>
          <t>Kommuner</t>
        </is>
      </c>
      <c r="G453" t="n">
        <v>2.2</v>
      </c>
      <c r="H453" t="n">
        <v>0</v>
      </c>
      <c r="I453" t="n">
        <v>0</v>
      </c>
      <c r="J453" t="n">
        <v>1</v>
      </c>
      <c r="K453" t="n">
        <v>0</v>
      </c>
      <c r="L453" t="n">
        <v>0</v>
      </c>
      <c r="M453" t="n">
        <v>0</v>
      </c>
      <c r="N453" t="n">
        <v>0</v>
      </c>
      <c r="O453" t="n">
        <v>1</v>
      </c>
      <c r="P453" t="n">
        <v>0</v>
      </c>
      <c r="Q453" t="n">
        <v>1</v>
      </c>
      <c r="R453" s="2" t="inlineStr">
        <is>
          <t>Guldsmalbi</t>
        </is>
      </c>
      <c r="S453">
        <f>HYPERLINK("https://klasma.github.io/Logging_BORGHOLM/artfynd/A 47009-2020.xlsx", "A 47009-2020")</f>
        <v/>
      </c>
      <c r="T453">
        <f>HYPERLINK("https://klasma.github.io/Logging_BORGHOLM/kartor/A 47009-2020.png", "A 47009-2020")</f>
        <v/>
      </c>
      <c r="V453">
        <f>HYPERLINK("https://klasma.github.io/Logging_BORGHOLM/klagomål/A 47009-2020.docx", "A 47009-2020")</f>
        <v/>
      </c>
      <c r="W453">
        <f>HYPERLINK("https://klasma.github.io/Logging_BORGHOLM/klagomålsmail/A 47009-2020.docx", "A 47009-2020")</f>
        <v/>
      </c>
      <c r="X453">
        <f>HYPERLINK("https://klasma.github.io/Logging_BORGHOLM/tillsyn/A 47009-2020.docx", "A 47009-2020")</f>
        <v/>
      </c>
      <c r="Y453">
        <f>HYPERLINK("https://klasma.github.io/Logging_BORGHOLM/tillsynsmail/A 47009-2020.docx", "A 47009-2020")</f>
        <v/>
      </c>
    </row>
    <row r="454" ht="15" customHeight="1">
      <c r="A454" t="inlineStr">
        <is>
          <t>A 48581-2020</t>
        </is>
      </c>
      <c r="B454" s="1" t="n">
        <v>44103</v>
      </c>
      <c r="C454" s="1" t="n">
        <v>45190</v>
      </c>
      <c r="D454" t="inlineStr">
        <is>
          <t>KALMAR LÄN</t>
        </is>
      </c>
      <c r="E454" t="inlineStr">
        <is>
          <t>KALMAR</t>
        </is>
      </c>
      <c r="G454" t="n">
        <v>2.1</v>
      </c>
      <c r="H454" t="n">
        <v>0</v>
      </c>
      <c r="I454" t="n">
        <v>1</v>
      </c>
      <c r="J454" t="n">
        <v>0</v>
      </c>
      <c r="K454" t="n">
        <v>0</v>
      </c>
      <c r="L454" t="n">
        <v>0</v>
      </c>
      <c r="M454" t="n">
        <v>0</v>
      </c>
      <c r="N454" t="n">
        <v>0</v>
      </c>
      <c r="O454" t="n">
        <v>0</v>
      </c>
      <c r="P454" t="n">
        <v>0</v>
      </c>
      <c r="Q454" t="n">
        <v>1</v>
      </c>
      <c r="R454" s="2" t="inlineStr">
        <is>
          <t>Tallfingersvamp</t>
        </is>
      </c>
      <c r="S454">
        <f>HYPERLINK("https://klasma.github.io/Logging_KALMAR/artfynd/A 48581-2020.xlsx", "A 48581-2020")</f>
        <v/>
      </c>
      <c r="T454">
        <f>HYPERLINK("https://klasma.github.io/Logging_KALMAR/kartor/A 48581-2020.png", "A 48581-2020")</f>
        <v/>
      </c>
      <c r="V454">
        <f>HYPERLINK("https://klasma.github.io/Logging_KALMAR/klagomål/A 48581-2020.docx", "A 48581-2020")</f>
        <v/>
      </c>
      <c r="W454">
        <f>HYPERLINK("https://klasma.github.io/Logging_KALMAR/klagomålsmail/A 48581-2020.docx", "A 48581-2020")</f>
        <v/>
      </c>
      <c r="X454">
        <f>HYPERLINK("https://klasma.github.io/Logging_KALMAR/tillsyn/A 48581-2020.docx", "A 48581-2020")</f>
        <v/>
      </c>
      <c r="Y454">
        <f>HYPERLINK("https://klasma.github.io/Logging_KALMAR/tillsynsmail/A 48581-2020.docx", "A 48581-2020")</f>
        <v/>
      </c>
    </row>
    <row r="455" ht="15" customHeight="1">
      <c r="A455" t="inlineStr">
        <is>
          <t>A 51595-2020</t>
        </is>
      </c>
      <c r="B455" s="1" t="n">
        <v>44109</v>
      </c>
      <c r="C455" s="1" t="n">
        <v>45190</v>
      </c>
      <c r="D455" t="inlineStr">
        <is>
          <t>KALMAR LÄN</t>
        </is>
      </c>
      <c r="E455" t="inlineStr">
        <is>
          <t>HÖGSBY</t>
        </is>
      </c>
      <c r="G455" t="n">
        <v>8.1</v>
      </c>
      <c r="H455" t="n">
        <v>1</v>
      </c>
      <c r="I455" t="n">
        <v>0</v>
      </c>
      <c r="J455" t="n">
        <v>0</v>
      </c>
      <c r="K455" t="n">
        <v>0</v>
      </c>
      <c r="L455" t="n">
        <v>0</v>
      </c>
      <c r="M455" t="n">
        <v>0</v>
      </c>
      <c r="N455" t="n">
        <v>0</v>
      </c>
      <c r="O455" t="n">
        <v>0</v>
      </c>
      <c r="P455" t="n">
        <v>0</v>
      </c>
      <c r="Q455" t="n">
        <v>1</v>
      </c>
      <c r="R455" s="2" t="inlineStr">
        <is>
          <t>Blåsippa</t>
        </is>
      </c>
      <c r="S455">
        <f>HYPERLINK("https://klasma.github.io/Logging_HOGSBY/artfynd/A 51595-2020.xlsx", "A 51595-2020")</f>
        <v/>
      </c>
      <c r="T455">
        <f>HYPERLINK("https://klasma.github.io/Logging_HOGSBY/kartor/A 51595-2020.png", "A 51595-2020")</f>
        <v/>
      </c>
      <c r="V455">
        <f>HYPERLINK("https://klasma.github.io/Logging_HOGSBY/klagomål/A 51595-2020.docx", "A 51595-2020")</f>
        <v/>
      </c>
      <c r="W455">
        <f>HYPERLINK("https://klasma.github.io/Logging_HOGSBY/klagomålsmail/A 51595-2020.docx", "A 51595-2020")</f>
        <v/>
      </c>
      <c r="X455">
        <f>HYPERLINK("https://klasma.github.io/Logging_HOGSBY/tillsyn/A 51595-2020.docx", "A 51595-2020")</f>
        <v/>
      </c>
      <c r="Y455">
        <f>HYPERLINK("https://klasma.github.io/Logging_HOGSBY/tillsynsmail/A 51595-2020.docx", "A 51595-2020")</f>
        <v/>
      </c>
    </row>
    <row r="456" ht="15" customHeight="1">
      <c r="A456" t="inlineStr">
        <is>
          <t>A 52954-2020</t>
        </is>
      </c>
      <c r="B456" s="1" t="n">
        <v>44120</v>
      </c>
      <c r="C456" s="1" t="n">
        <v>45190</v>
      </c>
      <c r="D456" t="inlineStr">
        <is>
          <t>KALMAR LÄN</t>
        </is>
      </c>
      <c r="E456" t="inlineStr">
        <is>
          <t>EMMABODA</t>
        </is>
      </c>
      <c r="F456" t="inlineStr">
        <is>
          <t>Sveaskog</t>
        </is>
      </c>
      <c r="G456" t="n">
        <v>2.2</v>
      </c>
      <c r="H456" t="n">
        <v>1</v>
      </c>
      <c r="I456" t="n">
        <v>0</v>
      </c>
      <c r="J456" t="n">
        <v>0</v>
      </c>
      <c r="K456" t="n">
        <v>1</v>
      </c>
      <c r="L456" t="n">
        <v>0</v>
      </c>
      <c r="M456" t="n">
        <v>0</v>
      </c>
      <c r="N456" t="n">
        <v>0</v>
      </c>
      <c r="O456" t="n">
        <v>1</v>
      </c>
      <c r="P456" t="n">
        <v>1</v>
      </c>
      <c r="Q456" t="n">
        <v>1</v>
      </c>
      <c r="R456" s="2" t="inlineStr">
        <is>
          <t>Knärot</t>
        </is>
      </c>
      <c r="S456">
        <f>HYPERLINK("https://klasma.github.io/Logging_EMMABODA/artfynd/A 52954-2020.xlsx", "A 52954-2020")</f>
        <v/>
      </c>
      <c r="T456">
        <f>HYPERLINK("https://klasma.github.io/Logging_EMMABODA/kartor/A 52954-2020.png", "A 52954-2020")</f>
        <v/>
      </c>
      <c r="U456">
        <f>HYPERLINK("https://klasma.github.io/Logging_EMMABODA/knärot/A 52954-2020.png", "A 52954-2020")</f>
        <v/>
      </c>
      <c r="V456">
        <f>HYPERLINK("https://klasma.github.io/Logging_EMMABODA/klagomål/A 52954-2020.docx", "A 52954-2020")</f>
        <v/>
      </c>
      <c r="W456">
        <f>HYPERLINK("https://klasma.github.io/Logging_EMMABODA/klagomålsmail/A 52954-2020.docx", "A 52954-2020")</f>
        <v/>
      </c>
      <c r="X456">
        <f>HYPERLINK("https://klasma.github.io/Logging_EMMABODA/tillsyn/A 52954-2020.docx", "A 52954-2020")</f>
        <v/>
      </c>
      <c r="Y456">
        <f>HYPERLINK("https://klasma.github.io/Logging_EMMABODA/tillsynsmail/A 52954-2020.docx", "A 52954-2020")</f>
        <v/>
      </c>
    </row>
    <row r="457" ht="15" customHeight="1">
      <c r="A457" t="inlineStr">
        <is>
          <t>A 53125-2020</t>
        </is>
      </c>
      <c r="B457" s="1" t="n">
        <v>44120</v>
      </c>
      <c r="C457" s="1" t="n">
        <v>45190</v>
      </c>
      <c r="D457" t="inlineStr">
        <is>
          <t>KALMAR LÄN</t>
        </is>
      </c>
      <c r="E457" t="inlineStr">
        <is>
          <t>NYBRO</t>
        </is>
      </c>
      <c r="G457" t="n">
        <v>9.5</v>
      </c>
      <c r="H457" t="n">
        <v>0</v>
      </c>
      <c r="I457" t="n">
        <v>0</v>
      </c>
      <c r="J457" t="n">
        <v>0</v>
      </c>
      <c r="K457" t="n">
        <v>1</v>
      </c>
      <c r="L457" t="n">
        <v>0</v>
      </c>
      <c r="M457" t="n">
        <v>0</v>
      </c>
      <c r="N457" t="n">
        <v>0</v>
      </c>
      <c r="O457" t="n">
        <v>1</v>
      </c>
      <c r="P457" t="n">
        <v>1</v>
      </c>
      <c r="Q457" t="n">
        <v>1</v>
      </c>
      <c r="R457" s="2" t="inlineStr">
        <is>
          <t>Växeltandsfibbla</t>
        </is>
      </c>
      <c r="S457">
        <f>HYPERLINK("https://klasma.github.io/Logging_NYBRO/artfynd/A 53125-2020.xlsx", "A 53125-2020")</f>
        <v/>
      </c>
      <c r="T457">
        <f>HYPERLINK("https://klasma.github.io/Logging_NYBRO/kartor/A 53125-2020.png", "A 53125-2020")</f>
        <v/>
      </c>
      <c r="V457">
        <f>HYPERLINK("https://klasma.github.io/Logging_NYBRO/klagomål/A 53125-2020.docx", "A 53125-2020")</f>
        <v/>
      </c>
      <c r="W457">
        <f>HYPERLINK("https://klasma.github.io/Logging_NYBRO/klagomålsmail/A 53125-2020.docx", "A 53125-2020")</f>
        <v/>
      </c>
      <c r="X457">
        <f>HYPERLINK("https://klasma.github.io/Logging_NYBRO/tillsyn/A 53125-2020.docx", "A 53125-2020")</f>
        <v/>
      </c>
      <c r="Y457">
        <f>HYPERLINK("https://klasma.github.io/Logging_NYBRO/tillsynsmail/A 53125-2020.docx", "A 53125-2020")</f>
        <v/>
      </c>
    </row>
    <row r="458" ht="15" customHeight="1">
      <c r="A458" t="inlineStr">
        <is>
          <t>A 53706-2020</t>
        </is>
      </c>
      <c r="B458" s="1" t="n">
        <v>44124</v>
      </c>
      <c r="C458" s="1" t="n">
        <v>45190</v>
      </c>
      <c r="D458" t="inlineStr">
        <is>
          <t>KALMAR LÄN</t>
        </is>
      </c>
      <c r="E458" t="inlineStr">
        <is>
          <t>HULTSFRED</t>
        </is>
      </c>
      <c r="G458" t="n">
        <v>2.3</v>
      </c>
      <c r="H458" t="n">
        <v>1</v>
      </c>
      <c r="I458" t="n">
        <v>0</v>
      </c>
      <c r="J458" t="n">
        <v>1</v>
      </c>
      <c r="K458" t="n">
        <v>0</v>
      </c>
      <c r="L458" t="n">
        <v>0</v>
      </c>
      <c r="M458" t="n">
        <v>0</v>
      </c>
      <c r="N458" t="n">
        <v>0</v>
      </c>
      <c r="O458" t="n">
        <v>1</v>
      </c>
      <c r="P458" t="n">
        <v>0</v>
      </c>
      <c r="Q458" t="n">
        <v>1</v>
      </c>
      <c r="R458" s="2" t="inlineStr">
        <is>
          <t>Entita</t>
        </is>
      </c>
      <c r="S458">
        <f>HYPERLINK("https://klasma.github.io/Logging_HULTSFRED/artfynd/A 53706-2020.xlsx", "A 53706-2020")</f>
        <v/>
      </c>
      <c r="T458">
        <f>HYPERLINK("https://klasma.github.io/Logging_HULTSFRED/kartor/A 53706-2020.png", "A 53706-2020")</f>
        <v/>
      </c>
      <c r="V458">
        <f>HYPERLINK("https://klasma.github.io/Logging_HULTSFRED/klagomål/A 53706-2020.docx", "A 53706-2020")</f>
        <v/>
      </c>
      <c r="W458">
        <f>HYPERLINK("https://klasma.github.io/Logging_HULTSFRED/klagomålsmail/A 53706-2020.docx", "A 53706-2020")</f>
        <v/>
      </c>
      <c r="X458">
        <f>HYPERLINK("https://klasma.github.io/Logging_HULTSFRED/tillsyn/A 53706-2020.docx", "A 53706-2020")</f>
        <v/>
      </c>
      <c r="Y458">
        <f>HYPERLINK("https://klasma.github.io/Logging_HULTSFRED/tillsynsmail/A 53706-2020.docx", "A 53706-2020")</f>
        <v/>
      </c>
    </row>
    <row r="459" ht="15" customHeight="1">
      <c r="A459" t="inlineStr">
        <is>
          <t>A 53918-2020</t>
        </is>
      </c>
      <c r="B459" s="1" t="n">
        <v>44125</v>
      </c>
      <c r="C459" s="1" t="n">
        <v>45190</v>
      </c>
      <c r="D459" t="inlineStr">
        <is>
          <t>KALMAR LÄN</t>
        </is>
      </c>
      <c r="E459" t="inlineStr">
        <is>
          <t>TORSÅS</t>
        </is>
      </c>
      <c r="G459" t="n">
        <v>8.300000000000001</v>
      </c>
      <c r="H459" t="n">
        <v>0</v>
      </c>
      <c r="I459" t="n">
        <v>0</v>
      </c>
      <c r="J459" t="n">
        <v>1</v>
      </c>
      <c r="K459" t="n">
        <v>0</v>
      </c>
      <c r="L459" t="n">
        <v>0</v>
      </c>
      <c r="M459" t="n">
        <v>0</v>
      </c>
      <c r="N459" t="n">
        <v>0</v>
      </c>
      <c r="O459" t="n">
        <v>1</v>
      </c>
      <c r="P459" t="n">
        <v>0</v>
      </c>
      <c r="Q459" t="n">
        <v>1</v>
      </c>
      <c r="R459" s="2" t="inlineStr">
        <is>
          <t>Småjungfrukam</t>
        </is>
      </c>
      <c r="S459">
        <f>HYPERLINK("https://klasma.github.io/Logging_TORSAS/artfynd/A 53918-2020.xlsx", "A 53918-2020")</f>
        <v/>
      </c>
      <c r="T459">
        <f>HYPERLINK("https://klasma.github.io/Logging_TORSAS/kartor/A 53918-2020.png", "A 53918-2020")</f>
        <v/>
      </c>
      <c r="V459">
        <f>HYPERLINK("https://klasma.github.io/Logging_TORSAS/klagomål/A 53918-2020.docx", "A 53918-2020")</f>
        <v/>
      </c>
      <c r="W459">
        <f>HYPERLINK("https://klasma.github.io/Logging_TORSAS/klagomålsmail/A 53918-2020.docx", "A 53918-2020")</f>
        <v/>
      </c>
      <c r="X459">
        <f>HYPERLINK("https://klasma.github.io/Logging_TORSAS/tillsyn/A 53918-2020.docx", "A 53918-2020")</f>
        <v/>
      </c>
      <c r="Y459">
        <f>HYPERLINK("https://klasma.github.io/Logging_TORSAS/tillsynsmail/A 53918-2020.docx", "A 53918-2020")</f>
        <v/>
      </c>
    </row>
    <row r="460" ht="15" customHeight="1">
      <c r="A460" t="inlineStr">
        <is>
          <t>A 57949-2020</t>
        </is>
      </c>
      <c r="B460" s="1" t="n">
        <v>44142</v>
      </c>
      <c r="C460" s="1" t="n">
        <v>45190</v>
      </c>
      <c r="D460" t="inlineStr">
        <is>
          <t>KALMAR LÄN</t>
        </is>
      </c>
      <c r="E460" t="inlineStr">
        <is>
          <t>VIMMERBY</t>
        </is>
      </c>
      <c r="G460" t="n">
        <v>3.4</v>
      </c>
      <c r="H460" t="n">
        <v>0</v>
      </c>
      <c r="I460" t="n">
        <v>1</v>
      </c>
      <c r="J460" t="n">
        <v>0</v>
      </c>
      <c r="K460" t="n">
        <v>0</v>
      </c>
      <c r="L460" t="n">
        <v>0</v>
      </c>
      <c r="M460" t="n">
        <v>0</v>
      </c>
      <c r="N460" t="n">
        <v>0</v>
      </c>
      <c r="O460" t="n">
        <v>0</v>
      </c>
      <c r="P460" t="n">
        <v>0</v>
      </c>
      <c r="Q460" t="n">
        <v>1</v>
      </c>
      <c r="R460" s="2" t="inlineStr">
        <is>
          <t>Vårärt</t>
        </is>
      </c>
      <c r="S460">
        <f>HYPERLINK("https://klasma.github.io/Logging_VIMMERBY/artfynd/A 57949-2020.xlsx", "A 57949-2020")</f>
        <v/>
      </c>
      <c r="T460">
        <f>HYPERLINK("https://klasma.github.io/Logging_VIMMERBY/kartor/A 57949-2020.png", "A 57949-2020")</f>
        <v/>
      </c>
      <c r="V460">
        <f>HYPERLINK("https://klasma.github.io/Logging_VIMMERBY/klagomål/A 57949-2020.docx", "A 57949-2020")</f>
        <v/>
      </c>
      <c r="W460">
        <f>HYPERLINK("https://klasma.github.io/Logging_VIMMERBY/klagomålsmail/A 57949-2020.docx", "A 57949-2020")</f>
        <v/>
      </c>
      <c r="X460">
        <f>HYPERLINK("https://klasma.github.io/Logging_VIMMERBY/tillsyn/A 57949-2020.docx", "A 57949-2020")</f>
        <v/>
      </c>
      <c r="Y460">
        <f>HYPERLINK("https://klasma.github.io/Logging_VIMMERBY/tillsynsmail/A 57949-2020.docx", "A 57949-2020")</f>
        <v/>
      </c>
    </row>
    <row r="461" ht="15" customHeight="1">
      <c r="A461" t="inlineStr">
        <is>
          <t>A 60199-2020</t>
        </is>
      </c>
      <c r="B461" s="1" t="n">
        <v>44152</v>
      </c>
      <c r="C461" s="1" t="n">
        <v>45190</v>
      </c>
      <c r="D461" t="inlineStr">
        <is>
          <t>KALMAR LÄN</t>
        </is>
      </c>
      <c r="E461" t="inlineStr">
        <is>
          <t>KALMAR</t>
        </is>
      </c>
      <c r="G461" t="n">
        <v>3.1</v>
      </c>
      <c r="H461" t="n">
        <v>1</v>
      </c>
      <c r="I461" t="n">
        <v>0</v>
      </c>
      <c r="J461" t="n">
        <v>0</v>
      </c>
      <c r="K461" t="n">
        <v>0</v>
      </c>
      <c r="L461" t="n">
        <v>0</v>
      </c>
      <c r="M461" t="n">
        <v>0</v>
      </c>
      <c r="N461" t="n">
        <v>0</v>
      </c>
      <c r="O461" t="n">
        <v>0</v>
      </c>
      <c r="P461" t="n">
        <v>0</v>
      </c>
      <c r="Q461" t="n">
        <v>1</v>
      </c>
      <c r="R461" s="2" t="inlineStr">
        <is>
          <t>Lopplummer</t>
        </is>
      </c>
      <c r="S461">
        <f>HYPERLINK("https://klasma.github.io/Logging_KALMAR/artfynd/A 60199-2020.xlsx", "A 60199-2020")</f>
        <v/>
      </c>
      <c r="T461">
        <f>HYPERLINK("https://klasma.github.io/Logging_KALMAR/kartor/A 60199-2020.png", "A 60199-2020")</f>
        <v/>
      </c>
      <c r="V461">
        <f>HYPERLINK("https://klasma.github.io/Logging_KALMAR/klagomål/A 60199-2020.docx", "A 60199-2020")</f>
        <v/>
      </c>
      <c r="W461">
        <f>HYPERLINK("https://klasma.github.io/Logging_KALMAR/klagomålsmail/A 60199-2020.docx", "A 60199-2020")</f>
        <v/>
      </c>
      <c r="X461">
        <f>HYPERLINK("https://klasma.github.io/Logging_KALMAR/tillsyn/A 60199-2020.docx", "A 60199-2020")</f>
        <v/>
      </c>
      <c r="Y461">
        <f>HYPERLINK("https://klasma.github.io/Logging_KALMAR/tillsynsmail/A 60199-2020.docx", "A 60199-2020")</f>
        <v/>
      </c>
    </row>
    <row r="462" ht="15" customHeight="1">
      <c r="A462" t="inlineStr">
        <is>
          <t>A 62137-2020</t>
        </is>
      </c>
      <c r="B462" s="1" t="n">
        <v>44159</v>
      </c>
      <c r="C462" s="1" t="n">
        <v>45190</v>
      </c>
      <c r="D462" t="inlineStr">
        <is>
          <t>KALMAR LÄN</t>
        </is>
      </c>
      <c r="E462" t="inlineStr">
        <is>
          <t>HULTSFRED</t>
        </is>
      </c>
      <c r="G462" t="n">
        <v>2.5</v>
      </c>
      <c r="H462" t="n">
        <v>0</v>
      </c>
      <c r="I462" t="n">
        <v>0</v>
      </c>
      <c r="J462" t="n">
        <v>1</v>
      </c>
      <c r="K462" t="n">
        <v>0</v>
      </c>
      <c r="L462" t="n">
        <v>0</v>
      </c>
      <c r="M462" t="n">
        <v>0</v>
      </c>
      <c r="N462" t="n">
        <v>0</v>
      </c>
      <c r="O462" t="n">
        <v>1</v>
      </c>
      <c r="P462" t="n">
        <v>0</v>
      </c>
      <c r="Q462" t="n">
        <v>1</v>
      </c>
      <c r="R462" s="2" t="inlineStr">
        <is>
          <t>Gullklöver</t>
        </is>
      </c>
      <c r="S462">
        <f>HYPERLINK("https://klasma.github.io/Logging_HULTSFRED/artfynd/A 62137-2020.xlsx", "A 62137-2020")</f>
        <v/>
      </c>
      <c r="T462">
        <f>HYPERLINK("https://klasma.github.io/Logging_HULTSFRED/kartor/A 62137-2020.png", "A 62137-2020")</f>
        <v/>
      </c>
      <c r="V462">
        <f>HYPERLINK("https://klasma.github.io/Logging_HULTSFRED/klagomål/A 62137-2020.docx", "A 62137-2020")</f>
        <v/>
      </c>
      <c r="W462">
        <f>HYPERLINK("https://klasma.github.io/Logging_HULTSFRED/klagomålsmail/A 62137-2020.docx", "A 62137-2020")</f>
        <v/>
      </c>
      <c r="X462">
        <f>HYPERLINK("https://klasma.github.io/Logging_HULTSFRED/tillsyn/A 62137-2020.docx", "A 62137-2020")</f>
        <v/>
      </c>
      <c r="Y462">
        <f>HYPERLINK("https://klasma.github.io/Logging_HULTSFRED/tillsynsmail/A 62137-2020.docx", "A 62137-2020")</f>
        <v/>
      </c>
    </row>
    <row r="463" ht="15" customHeight="1">
      <c r="A463" t="inlineStr">
        <is>
          <t>A 64674-2020</t>
        </is>
      </c>
      <c r="B463" s="1" t="n">
        <v>44169</v>
      </c>
      <c r="C463" s="1" t="n">
        <v>45190</v>
      </c>
      <c r="D463" t="inlineStr">
        <is>
          <t>KALMAR LÄN</t>
        </is>
      </c>
      <c r="E463" t="inlineStr">
        <is>
          <t>VIMMERBY</t>
        </is>
      </c>
      <c r="G463" t="n">
        <v>7.4</v>
      </c>
      <c r="H463" t="n">
        <v>0</v>
      </c>
      <c r="I463" t="n">
        <v>0</v>
      </c>
      <c r="J463" t="n">
        <v>0</v>
      </c>
      <c r="K463" t="n">
        <v>1</v>
      </c>
      <c r="L463" t="n">
        <v>0</v>
      </c>
      <c r="M463" t="n">
        <v>0</v>
      </c>
      <c r="N463" t="n">
        <v>0</v>
      </c>
      <c r="O463" t="n">
        <v>1</v>
      </c>
      <c r="P463" t="n">
        <v>1</v>
      </c>
      <c r="Q463" t="n">
        <v>1</v>
      </c>
      <c r="R463" s="2" t="inlineStr">
        <is>
          <t>Lansettfibbla</t>
        </is>
      </c>
      <c r="S463">
        <f>HYPERLINK("https://klasma.github.io/Logging_VIMMERBY/artfynd/A 64674-2020.xlsx", "A 64674-2020")</f>
        <v/>
      </c>
      <c r="T463">
        <f>HYPERLINK("https://klasma.github.io/Logging_VIMMERBY/kartor/A 64674-2020.png", "A 64674-2020")</f>
        <v/>
      </c>
      <c r="V463">
        <f>HYPERLINK("https://klasma.github.io/Logging_VIMMERBY/klagomål/A 64674-2020.docx", "A 64674-2020")</f>
        <v/>
      </c>
      <c r="W463">
        <f>HYPERLINK("https://klasma.github.io/Logging_VIMMERBY/klagomålsmail/A 64674-2020.docx", "A 64674-2020")</f>
        <v/>
      </c>
      <c r="X463">
        <f>HYPERLINK("https://klasma.github.io/Logging_VIMMERBY/tillsyn/A 64674-2020.docx", "A 64674-2020")</f>
        <v/>
      </c>
      <c r="Y463">
        <f>HYPERLINK("https://klasma.github.io/Logging_VIMMERBY/tillsynsmail/A 64674-2020.docx", "A 64674-2020")</f>
        <v/>
      </c>
    </row>
    <row r="464" ht="15" customHeight="1">
      <c r="A464" t="inlineStr">
        <is>
          <t>A 65962-2020</t>
        </is>
      </c>
      <c r="B464" s="1" t="n">
        <v>44175</v>
      </c>
      <c r="C464" s="1" t="n">
        <v>45190</v>
      </c>
      <c r="D464" t="inlineStr">
        <is>
          <t>KALMAR LÄN</t>
        </is>
      </c>
      <c r="E464" t="inlineStr">
        <is>
          <t>NYBRO</t>
        </is>
      </c>
      <c r="F464" t="inlineStr">
        <is>
          <t>Sveaskog</t>
        </is>
      </c>
      <c r="G464" t="n">
        <v>0.6</v>
      </c>
      <c r="H464" t="n">
        <v>1</v>
      </c>
      <c r="I464" t="n">
        <v>0</v>
      </c>
      <c r="J464" t="n">
        <v>1</v>
      </c>
      <c r="K464" t="n">
        <v>0</v>
      </c>
      <c r="L464" t="n">
        <v>0</v>
      </c>
      <c r="M464" t="n">
        <v>0</v>
      </c>
      <c r="N464" t="n">
        <v>0</v>
      </c>
      <c r="O464" t="n">
        <v>1</v>
      </c>
      <c r="P464" t="n">
        <v>0</v>
      </c>
      <c r="Q464" t="n">
        <v>1</v>
      </c>
      <c r="R464" s="2" t="inlineStr">
        <is>
          <t>Talltita</t>
        </is>
      </c>
      <c r="S464">
        <f>HYPERLINK("https://klasma.github.io/Logging_NYBRO/artfynd/A 65962-2020.xlsx", "A 65962-2020")</f>
        <v/>
      </c>
      <c r="T464">
        <f>HYPERLINK("https://klasma.github.io/Logging_NYBRO/kartor/A 65962-2020.png", "A 65962-2020")</f>
        <v/>
      </c>
      <c r="V464">
        <f>HYPERLINK("https://klasma.github.io/Logging_NYBRO/klagomål/A 65962-2020.docx", "A 65962-2020")</f>
        <v/>
      </c>
      <c r="W464">
        <f>HYPERLINK("https://klasma.github.io/Logging_NYBRO/klagomålsmail/A 65962-2020.docx", "A 65962-2020")</f>
        <v/>
      </c>
      <c r="X464">
        <f>HYPERLINK("https://klasma.github.io/Logging_NYBRO/tillsyn/A 65962-2020.docx", "A 65962-2020")</f>
        <v/>
      </c>
      <c r="Y464">
        <f>HYPERLINK("https://klasma.github.io/Logging_NYBRO/tillsynsmail/A 65962-2020.docx", "A 65962-2020")</f>
        <v/>
      </c>
    </row>
    <row r="465" ht="15" customHeight="1">
      <c r="A465" t="inlineStr">
        <is>
          <t>A 66752-2020</t>
        </is>
      </c>
      <c r="B465" s="1" t="n">
        <v>44175</v>
      </c>
      <c r="C465" s="1" t="n">
        <v>45190</v>
      </c>
      <c r="D465" t="inlineStr">
        <is>
          <t>KALMAR LÄN</t>
        </is>
      </c>
      <c r="E465" t="inlineStr">
        <is>
          <t>VÄSTERVIK</t>
        </is>
      </c>
      <c r="G465" t="n">
        <v>0.7</v>
      </c>
      <c r="H465" t="n">
        <v>0</v>
      </c>
      <c r="I465" t="n">
        <v>0</v>
      </c>
      <c r="J465" t="n">
        <v>1</v>
      </c>
      <c r="K465" t="n">
        <v>0</v>
      </c>
      <c r="L465" t="n">
        <v>0</v>
      </c>
      <c r="M465" t="n">
        <v>0</v>
      </c>
      <c r="N465" t="n">
        <v>0</v>
      </c>
      <c r="O465" t="n">
        <v>1</v>
      </c>
      <c r="P465" t="n">
        <v>0</v>
      </c>
      <c r="Q465" t="n">
        <v>1</v>
      </c>
      <c r="R465" s="2" t="inlineStr">
        <is>
          <t>Tallticka</t>
        </is>
      </c>
      <c r="S465">
        <f>HYPERLINK("https://klasma.github.io/Logging_VASTERVIK/artfynd/A 66752-2020.xlsx", "A 66752-2020")</f>
        <v/>
      </c>
      <c r="T465">
        <f>HYPERLINK("https://klasma.github.io/Logging_VASTERVIK/kartor/A 66752-2020.png", "A 66752-2020")</f>
        <v/>
      </c>
      <c r="V465">
        <f>HYPERLINK("https://klasma.github.io/Logging_VASTERVIK/klagomål/A 66752-2020.docx", "A 66752-2020")</f>
        <v/>
      </c>
      <c r="W465">
        <f>HYPERLINK("https://klasma.github.io/Logging_VASTERVIK/klagomålsmail/A 66752-2020.docx", "A 66752-2020")</f>
        <v/>
      </c>
      <c r="X465">
        <f>HYPERLINK("https://klasma.github.io/Logging_VASTERVIK/tillsyn/A 66752-2020.docx", "A 66752-2020")</f>
        <v/>
      </c>
      <c r="Y465">
        <f>HYPERLINK("https://klasma.github.io/Logging_VASTERVIK/tillsynsmail/A 66752-2020.docx", "A 66752-2020")</f>
        <v/>
      </c>
    </row>
    <row r="466" ht="15" customHeight="1">
      <c r="A466" t="inlineStr">
        <is>
          <t>A 66329-2020</t>
        </is>
      </c>
      <c r="B466" s="1" t="n">
        <v>44176</v>
      </c>
      <c r="C466" s="1" t="n">
        <v>45190</v>
      </c>
      <c r="D466" t="inlineStr">
        <is>
          <t>KALMAR LÄN</t>
        </is>
      </c>
      <c r="E466" t="inlineStr">
        <is>
          <t>BORGHOLM</t>
        </is>
      </c>
      <c r="G466" t="n">
        <v>7.4</v>
      </c>
      <c r="H466" t="n">
        <v>0</v>
      </c>
      <c r="I466" t="n">
        <v>0</v>
      </c>
      <c r="J466" t="n">
        <v>1</v>
      </c>
      <c r="K466" t="n">
        <v>0</v>
      </c>
      <c r="L466" t="n">
        <v>0</v>
      </c>
      <c r="M466" t="n">
        <v>0</v>
      </c>
      <c r="N466" t="n">
        <v>0</v>
      </c>
      <c r="O466" t="n">
        <v>1</v>
      </c>
      <c r="P466" t="n">
        <v>0</v>
      </c>
      <c r="Q466" t="n">
        <v>1</v>
      </c>
      <c r="R466" s="2" t="inlineStr">
        <is>
          <t>Säfferot</t>
        </is>
      </c>
      <c r="S466">
        <f>HYPERLINK("https://klasma.github.io/Logging_BORGHOLM/artfynd/A 66329-2020.xlsx", "A 66329-2020")</f>
        <v/>
      </c>
      <c r="T466">
        <f>HYPERLINK("https://klasma.github.io/Logging_BORGHOLM/kartor/A 66329-2020.png", "A 66329-2020")</f>
        <v/>
      </c>
      <c r="V466">
        <f>HYPERLINK("https://klasma.github.io/Logging_BORGHOLM/klagomål/A 66329-2020.docx", "A 66329-2020")</f>
        <v/>
      </c>
      <c r="W466">
        <f>HYPERLINK("https://klasma.github.io/Logging_BORGHOLM/klagomålsmail/A 66329-2020.docx", "A 66329-2020")</f>
        <v/>
      </c>
      <c r="X466">
        <f>HYPERLINK("https://klasma.github.io/Logging_BORGHOLM/tillsyn/A 66329-2020.docx", "A 66329-2020")</f>
        <v/>
      </c>
      <c r="Y466">
        <f>HYPERLINK("https://klasma.github.io/Logging_BORGHOLM/tillsynsmail/A 66329-2020.docx", "A 66329-2020")</f>
        <v/>
      </c>
    </row>
    <row r="467" ht="15" customHeight="1">
      <c r="A467" t="inlineStr">
        <is>
          <t>A 67114-2020</t>
        </is>
      </c>
      <c r="B467" s="1" t="n">
        <v>44180</v>
      </c>
      <c r="C467" s="1" t="n">
        <v>45190</v>
      </c>
      <c r="D467" t="inlineStr">
        <is>
          <t>KALMAR LÄN</t>
        </is>
      </c>
      <c r="E467" t="inlineStr">
        <is>
          <t>HULTSFRED</t>
        </is>
      </c>
      <c r="G467" t="n">
        <v>1.3</v>
      </c>
      <c r="H467" t="n">
        <v>1</v>
      </c>
      <c r="I467" t="n">
        <v>1</v>
      </c>
      <c r="J467" t="n">
        <v>0</v>
      </c>
      <c r="K467" t="n">
        <v>0</v>
      </c>
      <c r="L467" t="n">
        <v>0</v>
      </c>
      <c r="M467" t="n">
        <v>0</v>
      </c>
      <c r="N467" t="n">
        <v>0</v>
      </c>
      <c r="O467" t="n">
        <v>0</v>
      </c>
      <c r="P467" t="n">
        <v>0</v>
      </c>
      <c r="Q467" t="n">
        <v>1</v>
      </c>
      <c r="R467" s="2" t="inlineStr">
        <is>
          <t>Spindelblomster</t>
        </is>
      </c>
      <c r="S467">
        <f>HYPERLINK("https://klasma.github.io/Logging_HULTSFRED/artfynd/A 67114-2020.xlsx", "A 67114-2020")</f>
        <v/>
      </c>
      <c r="T467">
        <f>HYPERLINK("https://klasma.github.io/Logging_HULTSFRED/kartor/A 67114-2020.png", "A 67114-2020")</f>
        <v/>
      </c>
      <c r="V467">
        <f>HYPERLINK("https://klasma.github.io/Logging_HULTSFRED/klagomål/A 67114-2020.docx", "A 67114-2020")</f>
        <v/>
      </c>
      <c r="W467">
        <f>HYPERLINK("https://klasma.github.io/Logging_HULTSFRED/klagomålsmail/A 67114-2020.docx", "A 67114-2020")</f>
        <v/>
      </c>
      <c r="X467">
        <f>HYPERLINK("https://klasma.github.io/Logging_HULTSFRED/tillsyn/A 67114-2020.docx", "A 67114-2020")</f>
        <v/>
      </c>
      <c r="Y467">
        <f>HYPERLINK("https://klasma.github.io/Logging_HULTSFRED/tillsynsmail/A 67114-2020.docx", "A 67114-2020")</f>
        <v/>
      </c>
    </row>
    <row r="468" ht="15" customHeight="1">
      <c r="A468" t="inlineStr">
        <is>
          <t>A 68851-2020</t>
        </is>
      </c>
      <c r="B468" s="1" t="n">
        <v>44187</v>
      </c>
      <c r="C468" s="1" t="n">
        <v>45190</v>
      </c>
      <c r="D468" t="inlineStr">
        <is>
          <t>KALMAR LÄN</t>
        </is>
      </c>
      <c r="E468" t="inlineStr">
        <is>
          <t>VIMMERBY</t>
        </is>
      </c>
      <c r="G468" t="n">
        <v>7.4</v>
      </c>
      <c r="H468" t="n">
        <v>0</v>
      </c>
      <c r="I468" t="n">
        <v>0</v>
      </c>
      <c r="J468" t="n">
        <v>0</v>
      </c>
      <c r="K468" t="n">
        <v>1</v>
      </c>
      <c r="L468" t="n">
        <v>0</v>
      </c>
      <c r="M468" t="n">
        <v>0</v>
      </c>
      <c r="N468" t="n">
        <v>0</v>
      </c>
      <c r="O468" t="n">
        <v>1</v>
      </c>
      <c r="P468" t="n">
        <v>1</v>
      </c>
      <c r="Q468" t="n">
        <v>1</v>
      </c>
      <c r="R468" s="2" t="inlineStr">
        <is>
          <t>Lansettfibbla</t>
        </is>
      </c>
      <c r="S468">
        <f>HYPERLINK("https://klasma.github.io/Logging_VIMMERBY/artfynd/A 68851-2020.xlsx", "A 68851-2020")</f>
        <v/>
      </c>
      <c r="T468">
        <f>HYPERLINK("https://klasma.github.io/Logging_VIMMERBY/kartor/A 68851-2020.png", "A 68851-2020")</f>
        <v/>
      </c>
      <c r="V468">
        <f>HYPERLINK("https://klasma.github.io/Logging_VIMMERBY/klagomål/A 68851-2020.docx", "A 68851-2020")</f>
        <v/>
      </c>
      <c r="W468">
        <f>HYPERLINK("https://klasma.github.io/Logging_VIMMERBY/klagomålsmail/A 68851-2020.docx", "A 68851-2020")</f>
        <v/>
      </c>
      <c r="X468">
        <f>HYPERLINK("https://klasma.github.io/Logging_VIMMERBY/tillsyn/A 68851-2020.docx", "A 68851-2020")</f>
        <v/>
      </c>
      <c r="Y468">
        <f>HYPERLINK("https://klasma.github.io/Logging_VIMMERBY/tillsynsmail/A 68851-2020.docx", "A 68851-2020")</f>
        <v/>
      </c>
    </row>
    <row r="469" ht="15" customHeight="1">
      <c r="A469" t="inlineStr">
        <is>
          <t>A 69632-2020</t>
        </is>
      </c>
      <c r="B469" s="1" t="n">
        <v>44195</v>
      </c>
      <c r="C469" s="1" t="n">
        <v>45190</v>
      </c>
      <c r="D469" t="inlineStr">
        <is>
          <t>KALMAR LÄN</t>
        </is>
      </c>
      <c r="E469" t="inlineStr">
        <is>
          <t>VÄSTERVIK</t>
        </is>
      </c>
      <c r="G469" t="n">
        <v>2.5</v>
      </c>
      <c r="H469" t="n">
        <v>0</v>
      </c>
      <c r="I469" t="n">
        <v>0</v>
      </c>
      <c r="J469" t="n">
        <v>1</v>
      </c>
      <c r="K469" t="n">
        <v>0</v>
      </c>
      <c r="L469" t="n">
        <v>0</v>
      </c>
      <c r="M469" t="n">
        <v>0</v>
      </c>
      <c r="N469" t="n">
        <v>0</v>
      </c>
      <c r="O469" t="n">
        <v>1</v>
      </c>
      <c r="P469" t="n">
        <v>0</v>
      </c>
      <c r="Q469" t="n">
        <v>1</v>
      </c>
      <c r="R469" s="2" t="inlineStr">
        <is>
          <t>Tallticka</t>
        </is>
      </c>
      <c r="S469">
        <f>HYPERLINK("https://klasma.github.io/Logging_VASTERVIK/artfynd/A 69632-2020.xlsx", "A 69632-2020")</f>
        <v/>
      </c>
      <c r="T469">
        <f>HYPERLINK("https://klasma.github.io/Logging_VASTERVIK/kartor/A 69632-2020.png", "A 69632-2020")</f>
        <v/>
      </c>
      <c r="V469">
        <f>HYPERLINK("https://klasma.github.io/Logging_VASTERVIK/klagomål/A 69632-2020.docx", "A 69632-2020")</f>
        <v/>
      </c>
      <c r="W469">
        <f>HYPERLINK("https://klasma.github.io/Logging_VASTERVIK/klagomålsmail/A 69632-2020.docx", "A 69632-2020")</f>
        <v/>
      </c>
      <c r="X469">
        <f>HYPERLINK("https://klasma.github.io/Logging_VASTERVIK/tillsyn/A 69632-2020.docx", "A 69632-2020")</f>
        <v/>
      </c>
      <c r="Y469">
        <f>HYPERLINK("https://klasma.github.io/Logging_VASTERVIK/tillsynsmail/A 69632-2020.docx", "A 69632-2020")</f>
        <v/>
      </c>
    </row>
    <row r="470" ht="15" customHeight="1">
      <c r="A470" t="inlineStr">
        <is>
          <t>A 3518-2021</t>
        </is>
      </c>
      <c r="B470" s="1" t="n">
        <v>44216</v>
      </c>
      <c r="C470" s="1" t="n">
        <v>45190</v>
      </c>
      <c r="D470" t="inlineStr">
        <is>
          <t>KALMAR LÄN</t>
        </is>
      </c>
      <c r="E470" t="inlineStr">
        <is>
          <t>HÖGSBY</t>
        </is>
      </c>
      <c r="G470" t="n">
        <v>6</v>
      </c>
      <c r="H470" t="n">
        <v>0</v>
      </c>
      <c r="I470" t="n">
        <v>0</v>
      </c>
      <c r="J470" t="n">
        <v>1</v>
      </c>
      <c r="K470" t="n">
        <v>0</v>
      </c>
      <c r="L470" t="n">
        <v>0</v>
      </c>
      <c r="M470" t="n">
        <v>0</v>
      </c>
      <c r="N470" t="n">
        <v>0</v>
      </c>
      <c r="O470" t="n">
        <v>1</v>
      </c>
      <c r="P470" t="n">
        <v>0</v>
      </c>
      <c r="Q470" t="n">
        <v>1</v>
      </c>
      <c r="R470" s="2" t="inlineStr">
        <is>
          <t>Vedtrappmossa</t>
        </is>
      </c>
      <c r="S470">
        <f>HYPERLINK("https://klasma.github.io/Logging_HOGSBY/artfynd/A 3518-2021.xlsx", "A 3518-2021")</f>
        <v/>
      </c>
      <c r="T470">
        <f>HYPERLINK("https://klasma.github.io/Logging_HOGSBY/kartor/A 3518-2021.png", "A 3518-2021")</f>
        <v/>
      </c>
      <c r="V470">
        <f>HYPERLINK("https://klasma.github.io/Logging_HOGSBY/klagomål/A 3518-2021.docx", "A 3518-2021")</f>
        <v/>
      </c>
      <c r="W470">
        <f>HYPERLINK("https://klasma.github.io/Logging_HOGSBY/klagomålsmail/A 3518-2021.docx", "A 3518-2021")</f>
        <v/>
      </c>
      <c r="X470">
        <f>HYPERLINK("https://klasma.github.io/Logging_HOGSBY/tillsyn/A 3518-2021.docx", "A 3518-2021")</f>
        <v/>
      </c>
      <c r="Y470">
        <f>HYPERLINK("https://klasma.github.io/Logging_HOGSBY/tillsynsmail/A 3518-2021.docx", "A 3518-2021")</f>
        <v/>
      </c>
    </row>
    <row r="471" ht="15" customHeight="1">
      <c r="A471" t="inlineStr">
        <is>
          <t>A 3871-2021</t>
        </is>
      </c>
      <c r="B471" s="1" t="n">
        <v>44222</v>
      </c>
      <c r="C471" s="1" t="n">
        <v>45190</v>
      </c>
      <c r="D471" t="inlineStr">
        <is>
          <t>KALMAR LÄN</t>
        </is>
      </c>
      <c r="E471" t="inlineStr">
        <is>
          <t>BORGHOLM</t>
        </is>
      </c>
      <c r="G471" t="n">
        <v>1.7</v>
      </c>
      <c r="H471" t="n">
        <v>0</v>
      </c>
      <c r="I471" t="n">
        <v>1</v>
      </c>
      <c r="J471" t="n">
        <v>0</v>
      </c>
      <c r="K471" t="n">
        <v>0</v>
      </c>
      <c r="L471" t="n">
        <v>0</v>
      </c>
      <c r="M471" t="n">
        <v>0</v>
      </c>
      <c r="N471" t="n">
        <v>0</v>
      </c>
      <c r="O471" t="n">
        <v>0</v>
      </c>
      <c r="P471" t="n">
        <v>0</v>
      </c>
      <c r="Q471" t="n">
        <v>1</v>
      </c>
      <c r="R471" s="2" t="inlineStr">
        <is>
          <t>Scharlakansskål</t>
        </is>
      </c>
      <c r="S471">
        <f>HYPERLINK("https://klasma.github.io/Logging_BORGHOLM/artfynd/A 3871-2021.xlsx", "A 3871-2021")</f>
        <v/>
      </c>
      <c r="T471">
        <f>HYPERLINK("https://klasma.github.io/Logging_BORGHOLM/kartor/A 3871-2021.png", "A 3871-2021")</f>
        <v/>
      </c>
      <c r="V471">
        <f>HYPERLINK("https://klasma.github.io/Logging_BORGHOLM/klagomål/A 3871-2021.docx", "A 3871-2021")</f>
        <v/>
      </c>
      <c r="W471">
        <f>HYPERLINK("https://klasma.github.io/Logging_BORGHOLM/klagomålsmail/A 3871-2021.docx", "A 3871-2021")</f>
        <v/>
      </c>
      <c r="X471">
        <f>HYPERLINK("https://klasma.github.io/Logging_BORGHOLM/tillsyn/A 3871-2021.docx", "A 3871-2021")</f>
        <v/>
      </c>
      <c r="Y471">
        <f>HYPERLINK("https://klasma.github.io/Logging_BORGHOLM/tillsynsmail/A 3871-2021.docx", "A 3871-2021")</f>
        <v/>
      </c>
    </row>
    <row r="472" ht="15" customHeight="1">
      <c r="A472" t="inlineStr">
        <is>
          <t>A 4313-2021</t>
        </is>
      </c>
      <c r="B472" s="1" t="n">
        <v>44223</v>
      </c>
      <c r="C472" s="1" t="n">
        <v>45190</v>
      </c>
      <c r="D472" t="inlineStr">
        <is>
          <t>KALMAR LÄN</t>
        </is>
      </c>
      <c r="E472" t="inlineStr">
        <is>
          <t>MÖNSTERÅS</t>
        </is>
      </c>
      <c r="G472" t="n">
        <v>16.5</v>
      </c>
      <c r="H472" t="n">
        <v>1</v>
      </c>
      <c r="I472" t="n">
        <v>0</v>
      </c>
      <c r="J472" t="n">
        <v>0</v>
      </c>
      <c r="K472" t="n">
        <v>1</v>
      </c>
      <c r="L472" t="n">
        <v>0</v>
      </c>
      <c r="M472" t="n">
        <v>0</v>
      </c>
      <c r="N472" t="n">
        <v>0</v>
      </c>
      <c r="O472" t="n">
        <v>1</v>
      </c>
      <c r="P472" t="n">
        <v>1</v>
      </c>
      <c r="Q472" t="n">
        <v>1</v>
      </c>
      <c r="R472" s="2" t="inlineStr">
        <is>
          <t>Knärot</t>
        </is>
      </c>
      <c r="S472">
        <f>HYPERLINK("https://klasma.github.io/Logging_MONSTERAS/artfynd/A 4313-2021.xlsx", "A 4313-2021")</f>
        <v/>
      </c>
      <c r="T472">
        <f>HYPERLINK("https://klasma.github.io/Logging_MONSTERAS/kartor/A 4313-2021.png", "A 4313-2021")</f>
        <v/>
      </c>
      <c r="U472">
        <f>HYPERLINK("https://klasma.github.io/Logging_MONSTERAS/knärot/A 4313-2021.png", "A 4313-2021")</f>
        <v/>
      </c>
      <c r="V472">
        <f>HYPERLINK("https://klasma.github.io/Logging_MONSTERAS/klagomål/A 4313-2021.docx", "A 4313-2021")</f>
        <v/>
      </c>
      <c r="W472">
        <f>HYPERLINK("https://klasma.github.io/Logging_MONSTERAS/klagomålsmail/A 4313-2021.docx", "A 4313-2021")</f>
        <v/>
      </c>
      <c r="X472">
        <f>HYPERLINK("https://klasma.github.io/Logging_MONSTERAS/tillsyn/A 4313-2021.docx", "A 4313-2021")</f>
        <v/>
      </c>
      <c r="Y472">
        <f>HYPERLINK("https://klasma.github.io/Logging_MONSTERAS/tillsynsmail/A 4313-2021.docx", "A 4313-2021")</f>
        <v/>
      </c>
    </row>
    <row r="473" ht="15" customHeight="1">
      <c r="A473" t="inlineStr">
        <is>
          <t>A 5861-2021</t>
        </is>
      </c>
      <c r="B473" s="1" t="n">
        <v>44231</v>
      </c>
      <c r="C473" s="1" t="n">
        <v>45190</v>
      </c>
      <c r="D473" t="inlineStr">
        <is>
          <t>KALMAR LÄN</t>
        </is>
      </c>
      <c r="E473" t="inlineStr">
        <is>
          <t>TORSÅS</t>
        </is>
      </c>
      <c r="G473" t="n">
        <v>4.2</v>
      </c>
      <c r="H473" t="n">
        <v>0</v>
      </c>
      <c r="I473" t="n">
        <v>0</v>
      </c>
      <c r="J473" t="n">
        <v>0</v>
      </c>
      <c r="K473" t="n">
        <v>0</v>
      </c>
      <c r="L473" t="n">
        <v>0</v>
      </c>
      <c r="M473" t="n">
        <v>1</v>
      </c>
      <c r="N473" t="n">
        <v>0</v>
      </c>
      <c r="O473" t="n">
        <v>1</v>
      </c>
      <c r="P473" t="n">
        <v>1</v>
      </c>
      <c r="Q473" t="n">
        <v>1</v>
      </c>
      <c r="R473" s="2" t="inlineStr">
        <is>
          <t>Skogsalm</t>
        </is>
      </c>
      <c r="S473">
        <f>HYPERLINK("https://klasma.github.io/Logging_TORSAS/artfynd/A 5861-2021.xlsx", "A 5861-2021")</f>
        <v/>
      </c>
      <c r="T473">
        <f>HYPERLINK("https://klasma.github.io/Logging_TORSAS/kartor/A 5861-2021.png", "A 5861-2021")</f>
        <v/>
      </c>
      <c r="V473">
        <f>HYPERLINK("https://klasma.github.io/Logging_TORSAS/klagomål/A 5861-2021.docx", "A 5861-2021")</f>
        <v/>
      </c>
      <c r="W473">
        <f>HYPERLINK("https://klasma.github.io/Logging_TORSAS/klagomålsmail/A 5861-2021.docx", "A 5861-2021")</f>
        <v/>
      </c>
      <c r="X473">
        <f>HYPERLINK("https://klasma.github.io/Logging_TORSAS/tillsyn/A 5861-2021.docx", "A 5861-2021")</f>
        <v/>
      </c>
      <c r="Y473">
        <f>HYPERLINK("https://klasma.github.io/Logging_TORSAS/tillsynsmail/A 5861-2021.docx", "A 5861-2021")</f>
        <v/>
      </c>
    </row>
    <row r="474" ht="15" customHeight="1">
      <c r="A474" t="inlineStr">
        <is>
          <t>A 10962-2021</t>
        </is>
      </c>
      <c r="B474" s="1" t="n">
        <v>44260</v>
      </c>
      <c r="C474" s="1" t="n">
        <v>45190</v>
      </c>
      <c r="D474" t="inlineStr">
        <is>
          <t>KALMAR LÄN</t>
        </is>
      </c>
      <c r="E474" t="inlineStr">
        <is>
          <t>KALMAR</t>
        </is>
      </c>
      <c r="G474" t="n">
        <v>1.1</v>
      </c>
      <c r="H474" t="n">
        <v>1</v>
      </c>
      <c r="I474" t="n">
        <v>0</v>
      </c>
      <c r="J474" t="n">
        <v>0</v>
      </c>
      <c r="K474" t="n">
        <v>0</v>
      </c>
      <c r="L474" t="n">
        <v>0</v>
      </c>
      <c r="M474" t="n">
        <v>0</v>
      </c>
      <c r="N474" t="n">
        <v>0</v>
      </c>
      <c r="O474" t="n">
        <v>0</v>
      </c>
      <c r="P474" t="n">
        <v>0</v>
      </c>
      <c r="Q474" t="n">
        <v>1</v>
      </c>
      <c r="R474" s="2" t="inlineStr">
        <is>
          <t>Revlummer</t>
        </is>
      </c>
      <c r="S474">
        <f>HYPERLINK("https://klasma.github.io/Logging_KALMAR/artfynd/A 10962-2021.xlsx", "A 10962-2021")</f>
        <v/>
      </c>
      <c r="T474">
        <f>HYPERLINK("https://klasma.github.io/Logging_KALMAR/kartor/A 10962-2021.png", "A 10962-2021")</f>
        <v/>
      </c>
      <c r="V474">
        <f>HYPERLINK("https://klasma.github.io/Logging_KALMAR/klagomål/A 10962-2021.docx", "A 10962-2021")</f>
        <v/>
      </c>
      <c r="W474">
        <f>HYPERLINK("https://klasma.github.io/Logging_KALMAR/klagomålsmail/A 10962-2021.docx", "A 10962-2021")</f>
        <v/>
      </c>
      <c r="X474">
        <f>HYPERLINK("https://klasma.github.io/Logging_KALMAR/tillsyn/A 10962-2021.docx", "A 10962-2021")</f>
        <v/>
      </c>
      <c r="Y474">
        <f>HYPERLINK("https://klasma.github.io/Logging_KALMAR/tillsynsmail/A 10962-2021.docx", "A 10962-2021")</f>
        <v/>
      </c>
    </row>
    <row r="475" ht="15" customHeight="1">
      <c r="A475" t="inlineStr">
        <is>
          <t>A 10947-2021</t>
        </is>
      </c>
      <c r="B475" s="1" t="n">
        <v>44260</v>
      </c>
      <c r="C475" s="1" t="n">
        <v>45190</v>
      </c>
      <c r="D475" t="inlineStr">
        <is>
          <t>KALMAR LÄN</t>
        </is>
      </c>
      <c r="E475" t="inlineStr">
        <is>
          <t>HÖGSBY</t>
        </is>
      </c>
      <c r="G475" t="n">
        <v>8.5</v>
      </c>
      <c r="H475" t="n">
        <v>1</v>
      </c>
      <c r="I475" t="n">
        <v>0</v>
      </c>
      <c r="J475" t="n">
        <v>0</v>
      </c>
      <c r="K475" t="n">
        <v>0</v>
      </c>
      <c r="L475" t="n">
        <v>0</v>
      </c>
      <c r="M475" t="n">
        <v>0</v>
      </c>
      <c r="N475" t="n">
        <v>0</v>
      </c>
      <c r="O475" t="n">
        <v>0</v>
      </c>
      <c r="P475" t="n">
        <v>0</v>
      </c>
      <c r="Q475" t="n">
        <v>1</v>
      </c>
      <c r="R475" s="2" t="inlineStr">
        <is>
          <t>Blåsippa</t>
        </is>
      </c>
      <c r="S475">
        <f>HYPERLINK("https://klasma.github.io/Logging_HOGSBY/artfynd/A 10947-2021.xlsx", "A 10947-2021")</f>
        <v/>
      </c>
      <c r="T475">
        <f>HYPERLINK("https://klasma.github.io/Logging_HOGSBY/kartor/A 10947-2021.png", "A 10947-2021")</f>
        <v/>
      </c>
      <c r="V475">
        <f>HYPERLINK("https://klasma.github.io/Logging_HOGSBY/klagomål/A 10947-2021.docx", "A 10947-2021")</f>
        <v/>
      </c>
      <c r="W475">
        <f>HYPERLINK("https://klasma.github.io/Logging_HOGSBY/klagomålsmail/A 10947-2021.docx", "A 10947-2021")</f>
        <v/>
      </c>
      <c r="X475">
        <f>HYPERLINK("https://klasma.github.io/Logging_HOGSBY/tillsyn/A 10947-2021.docx", "A 10947-2021")</f>
        <v/>
      </c>
      <c r="Y475">
        <f>HYPERLINK("https://klasma.github.io/Logging_HOGSBY/tillsynsmail/A 10947-2021.docx", "A 10947-2021")</f>
        <v/>
      </c>
    </row>
    <row r="476" ht="15" customHeight="1">
      <c r="A476" t="inlineStr">
        <is>
          <t>A 11221-2021</t>
        </is>
      </c>
      <c r="B476" s="1" t="n">
        <v>44263</v>
      </c>
      <c r="C476" s="1" t="n">
        <v>45190</v>
      </c>
      <c r="D476" t="inlineStr">
        <is>
          <t>KALMAR LÄN</t>
        </is>
      </c>
      <c r="E476" t="inlineStr">
        <is>
          <t>TORSÅS</t>
        </is>
      </c>
      <c r="G476" t="n">
        <v>6.7</v>
      </c>
      <c r="H476" t="n">
        <v>0</v>
      </c>
      <c r="I476" t="n">
        <v>0</v>
      </c>
      <c r="J476" t="n">
        <v>0</v>
      </c>
      <c r="K476" t="n">
        <v>1</v>
      </c>
      <c r="L476" t="n">
        <v>0</v>
      </c>
      <c r="M476" t="n">
        <v>0</v>
      </c>
      <c r="N476" t="n">
        <v>0</v>
      </c>
      <c r="O476" t="n">
        <v>1</v>
      </c>
      <c r="P476" t="n">
        <v>1</v>
      </c>
      <c r="Q476" t="n">
        <v>1</v>
      </c>
      <c r="R476" s="2" t="inlineStr">
        <is>
          <t>Lungrot</t>
        </is>
      </c>
      <c r="S476">
        <f>HYPERLINK("https://klasma.github.io/Logging_TORSAS/artfynd/A 11221-2021.xlsx", "A 11221-2021")</f>
        <v/>
      </c>
      <c r="T476">
        <f>HYPERLINK("https://klasma.github.io/Logging_TORSAS/kartor/A 11221-2021.png", "A 11221-2021")</f>
        <v/>
      </c>
      <c r="V476">
        <f>HYPERLINK("https://klasma.github.io/Logging_TORSAS/klagomål/A 11221-2021.docx", "A 11221-2021")</f>
        <v/>
      </c>
      <c r="W476">
        <f>HYPERLINK("https://klasma.github.io/Logging_TORSAS/klagomålsmail/A 11221-2021.docx", "A 11221-2021")</f>
        <v/>
      </c>
      <c r="X476">
        <f>HYPERLINK("https://klasma.github.io/Logging_TORSAS/tillsyn/A 11221-2021.docx", "A 11221-2021")</f>
        <v/>
      </c>
      <c r="Y476">
        <f>HYPERLINK("https://klasma.github.io/Logging_TORSAS/tillsynsmail/A 11221-2021.docx", "A 11221-2021")</f>
        <v/>
      </c>
    </row>
    <row r="477" ht="15" customHeight="1">
      <c r="A477" t="inlineStr">
        <is>
          <t>A 12329-2021</t>
        </is>
      </c>
      <c r="B477" s="1" t="n">
        <v>44267</v>
      </c>
      <c r="C477" s="1" t="n">
        <v>45190</v>
      </c>
      <c r="D477" t="inlineStr">
        <is>
          <t>KALMAR LÄN</t>
        </is>
      </c>
      <c r="E477" t="inlineStr">
        <is>
          <t>OSKARSHAMN</t>
        </is>
      </c>
      <c r="G477" t="n">
        <v>16.6</v>
      </c>
      <c r="H477" t="n">
        <v>0</v>
      </c>
      <c r="I477" t="n">
        <v>0</v>
      </c>
      <c r="J477" t="n">
        <v>1</v>
      </c>
      <c r="K477" t="n">
        <v>0</v>
      </c>
      <c r="L477" t="n">
        <v>0</v>
      </c>
      <c r="M477" t="n">
        <v>0</v>
      </c>
      <c r="N477" t="n">
        <v>0</v>
      </c>
      <c r="O477" t="n">
        <v>1</v>
      </c>
      <c r="P477" t="n">
        <v>0</v>
      </c>
      <c r="Q477" t="n">
        <v>1</v>
      </c>
      <c r="R477" s="2" t="inlineStr">
        <is>
          <t>Åkerkulla</t>
        </is>
      </c>
      <c r="S477">
        <f>HYPERLINK("https://klasma.github.io/Logging_OSKARSHAMN/artfynd/A 12329-2021.xlsx", "A 12329-2021")</f>
        <v/>
      </c>
      <c r="T477">
        <f>HYPERLINK("https://klasma.github.io/Logging_OSKARSHAMN/kartor/A 12329-2021.png", "A 12329-2021")</f>
        <v/>
      </c>
      <c r="V477">
        <f>HYPERLINK("https://klasma.github.io/Logging_OSKARSHAMN/klagomål/A 12329-2021.docx", "A 12329-2021")</f>
        <v/>
      </c>
      <c r="W477">
        <f>HYPERLINK("https://klasma.github.io/Logging_OSKARSHAMN/klagomålsmail/A 12329-2021.docx", "A 12329-2021")</f>
        <v/>
      </c>
      <c r="X477">
        <f>HYPERLINK("https://klasma.github.io/Logging_OSKARSHAMN/tillsyn/A 12329-2021.docx", "A 12329-2021")</f>
        <v/>
      </c>
      <c r="Y477">
        <f>HYPERLINK("https://klasma.github.io/Logging_OSKARSHAMN/tillsynsmail/A 12329-2021.docx", "A 12329-2021")</f>
        <v/>
      </c>
    </row>
    <row r="478" ht="15" customHeight="1">
      <c r="A478" t="inlineStr">
        <is>
          <t>A 12785-2021</t>
        </is>
      </c>
      <c r="B478" s="1" t="n">
        <v>44270</v>
      </c>
      <c r="C478" s="1" t="n">
        <v>45190</v>
      </c>
      <c r="D478" t="inlineStr">
        <is>
          <t>KALMAR LÄN</t>
        </is>
      </c>
      <c r="E478" t="inlineStr">
        <is>
          <t>BORGHOLM</t>
        </is>
      </c>
      <c r="G478" t="n">
        <v>1.2</v>
      </c>
      <c r="H478" t="n">
        <v>0</v>
      </c>
      <c r="I478" t="n">
        <v>0</v>
      </c>
      <c r="J478" t="n">
        <v>0</v>
      </c>
      <c r="K478" t="n">
        <v>0</v>
      </c>
      <c r="L478" t="n">
        <v>1</v>
      </c>
      <c r="M478" t="n">
        <v>0</v>
      </c>
      <c r="N478" t="n">
        <v>0</v>
      </c>
      <c r="O478" t="n">
        <v>1</v>
      </c>
      <c r="P478" t="n">
        <v>1</v>
      </c>
      <c r="Q478" t="n">
        <v>1</v>
      </c>
      <c r="R478" s="2" t="inlineStr">
        <is>
          <t>Ask</t>
        </is>
      </c>
      <c r="S478">
        <f>HYPERLINK("https://klasma.github.io/Logging_BORGHOLM/artfynd/A 12785-2021.xlsx", "A 12785-2021")</f>
        <v/>
      </c>
      <c r="T478">
        <f>HYPERLINK("https://klasma.github.io/Logging_BORGHOLM/kartor/A 12785-2021.png", "A 12785-2021")</f>
        <v/>
      </c>
      <c r="V478">
        <f>HYPERLINK("https://klasma.github.io/Logging_BORGHOLM/klagomål/A 12785-2021.docx", "A 12785-2021")</f>
        <v/>
      </c>
      <c r="W478">
        <f>HYPERLINK("https://klasma.github.io/Logging_BORGHOLM/klagomålsmail/A 12785-2021.docx", "A 12785-2021")</f>
        <v/>
      </c>
      <c r="X478">
        <f>HYPERLINK("https://klasma.github.io/Logging_BORGHOLM/tillsyn/A 12785-2021.docx", "A 12785-2021")</f>
        <v/>
      </c>
      <c r="Y478">
        <f>HYPERLINK("https://klasma.github.io/Logging_BORGHOLM/tillsynsmail/A 12785-2021.docx", "A 12785-2021")</f>
        <v/>
      </c>
    </row>
    <row r="479" ht="15" customHeight="1">
      <c r="A479" t="inlineStr">
        <is>
          <t>A 14343-2021</t>
        </is>
      </c>
      <c r="B479" s="1" t="n">
        <v>44279</v>
      </c>
      <c r="C479" s="1" t="n">
        <v>45190</v>
      </c>
      <c r="D479" t="inlineStr">
        <is>
          <t>KALMAR LÄN</t>
        </is>
      </c>
      <c r="E479" t="inlineStr">
        <is>
          <t>KALMAR</t>
        </is>
      </c>
      <c r="G479" t="n">
        <v>2.7</v>
      </c>
      <c r="H479" t="n">
        <v>0</v>
      </c>
      <c r="I479" t="n">
        <v>1</v>
      </c>
      <c r="J479" t="n">
        <v>0</v>
      </c>
      <c r="K479" t="n">
        <v>0</v>
      </c>
      <c r="L479" t="n">
        <v>0</v>
      </c>
      <c r="M479" t="n">
        <v>0</v>
      </c>
      <c r="N479" t="n">
        <v>0</v>
      </c>
      <c r="O479" t="n">
        <v>0</v>
      </c>
      <c r="P479" t="n">
        <v>0</v>
      </c>
      <c r="Q479" t="n">
        <v>1</v>
      </c>
      <c r="R479" s="2" t="inlineStr">
        <is>
          <t>Myskmadra</t>
        </is>
      </c>
      <c r="S479">
        <f>HYPERLINK("https://klasma.github.io/Logging_KALMAR/artfynd/A 14343-2021.xlsx", "A 14343-2021")</f>
        <v/>
      </c>
      <c r="T479">
        <f>HYPERLINK("https://klasma.github.io/Logging_KALMAR/kartor/A 14343-2021.png", "A 14343-2021")</f>
        <v/>
      </c>
      <c r="V479">
        <f>HYPERLINK("https://klasma.github.io/Logging_KALMAR/klagomål/A 14343-2021.docx", "A 14343-2021")</f>
        <v/>
      </c>
      <c r="W479">
        <f>HYPERLINK("https://klasma.github.io/Logging_KALMAR/klagomålsmail/A 14343-2021.docx", "A 14343-2021")</f>
        <v/>
      </c>
      <c r="X479">
        <f>HYPERLINK("https://klasma.github.io/Logging_KALMAR/tillsyn/A 14343-2021.docx", "A 14343-2021")</f>
        <v/>
      </c>
      <c r="Y479">
        <f>HYPERLINK("https://klasma.github.io/Logging_KALMAR/tillsynsmail/A 14343-2021.docx", "A 14343-2021")</f>
        <v/>
      </c>
    </row>
    <row r="480" ht="15" customHeight="1">
      <c r="A480" t="inlineStr">
        <is>
          <t>A 14789-2021</t>
        </is>
      </c>
      <c r="B480" s="1" t="n">
        <v>44280</v>
      </c>
      <c r="C480" s="1" t="n">
        <v>45190</v>
      </c>
      <c r="D480" t="inlineStr">
        <is>
          <t>KALMAR LÄN</t>
        </is>
      </c>
      <c r="E480" t="inlineStr">
        <is>
          <t>BORGHOLM</t>
        </is>
      </c>
      <c r="G480" t="n">
        <v>1</v>
      </c>
      <c r="H480" t="n">
        <v>1</v>
      </c>
      <c r="I480" t="n">
        <v>1</v>
      </c>
      <c r="J480" t="n">
        <v>0</v>
      </c>
      <c r="K480" t="n">
        <v>0</v>
      </c>
      <c r="L480" t="n">
        <v>0</v>
      </c>
      <c r="M480" t="n">
        <v>0</v>
      </c>
      <c r="N480" t="n">
        <v>0</v>
      </c>
      <c r="O480" t="n">
        <v>0</v>
      </c>
      <c r="P480" t="n">
        <v>0</v>
      </c>
      <c r="Q480" t="n">
        <v>1</v>
      </c>
      <c r="R480" s="2" t="inlineStr">
        <is>
          <t>Skogsknipprot</t>
        </is>
      </c>
      <c r="S480">
        <f>HYPERLINK("https://klasma.github.io/Logging_BORGHOLM/artfynd/A 14789-2021.xlsx", "A 14789-2021")</f>
        <v/>
      </c>
      <c r="T480">
        <f>HYPERLINK("https://klasma.github.io/Logging_BORGHOLM/kartor/A 14789-2021.png", "A 14789-2021")</f>
        <v/>
      </c>
      <c r="V480">
        <f>HYPERLINK("https://klasma.github.io/Logging_BORGHOLM/klagomål/A 14789-2021.docx", "A 14789-2021")</f>
        <v/>
      </c>
      <c r="W480">
        <f>HYPERLINK("https://klasma.github.io/Logging_BORGHOLM/klagomålsmail/A 14789-2021.docx", "A 14789-2021")</f>
        <v/>
      </c>
      <c r="X480">
        <f>HYPERLINK("https://klasma.github.io/Logging_BORGHOLM/tillsyn/A 14789-2021.docx", "A 14789-2021")</f>
        <v/>
      </c>
      <c r="Y480">
        <f>HYPERLINK("https://klasma.github.io/Logging_BORGHOLM/tillsynsmail/A 14789-2021.docx", "A 14789-2021")</f>
        <v/>
      </c>
    </row>
    <row r="481" ht="15" customHeight="1">
      <c r="A481" t="inlineStr">
        <is>
          <t>A 16824-2021</t>
        </is>
      </c>
      <c r="B481" s="1" t="n">
        <v>44295</v>
      </c>
      <c r="C481" s="1" t="n">
        <v>45190</v>
      </c>
      <c r="D481" t="inlineStr">
        <is>
          <t>KALMAR LÄN</t>
        </is>
      </c>
      <c r="E481" t="inlineStr">
        <is>
          <t>HULTSFRED</t>
        </is>
      </c>
      <c r="G481" t="n">
        <v>1.5</v>
      </c>
      <c r="H481" t="n">
        <v>0</v>
      </c>
      <c r="I481" t="n">
        <v>0</v>
      </c>
      <c r="J481" t="n">
        <v>1</v>
      </c>
      <c r="K481" t="n">
        <v>0</v>
      </c>
      <c r="L481" t="n">
        <v>0</v>
      </c>
      <c r="M481" t="n">
        <v>0</v>
      </c>
      <c r="N481" t="n">
        <v>0</v>
      </c>
      <c r="O481" t="n">
        <v>1</v>
      </c>
      <c r="P481" t="n">
        <v>0</v>
      </c>
      <c r="Q481" t="n">
        <v>1</v>
      </c>
      <c r="R481" s="2" t="inlineStr">
        <is>
          <t>Sommarfibbla</t>
        </is>
      </c>
      <c r="S481">
        <f>HYPERLINK("https://klasma.github.io/Logging_HULTSFRED/artfynd/A 16824-2021.xlsx", "A 16824-2021")</f>
        <v/>
      </c>
      <c r="T481">
        <f>HYPERLINK("https://klasma.github.io/Logging_HULTSFRED/kartor/A 16824-2021.png", "A 16824-2021")</f>
        <v/>
      </c>
      <c r="V481">
        <f>HYPERLINK("https://klasma.github.io/Logging_HULTSFRED/klagomål/A 16824-2021.docx", "A 16824-2021")</f>
        <v/>
      </c>
      <c r="W481">
        <f>HYPERLINK("https://klasma.github.io/Logging_HULTSFRED/klagomålsmail/A 16824-2021.docx", "A 16824-2021")</f>
        <v/>
      </c>
      <c r="X481">
        <f>HYPERLINK("https://klasma.github.io/Logging_HULTSFRED/tillsyn/A 16824-2021.docx", "A 16824-2021")</f>
        <v/>
      </c>
      <c r="Y481">
        <f>HYPERLINK("https://klasma.github.io/Logging_HULTSFRED/tillsynsmail/A 16824-2021.docx", "A 16824-2021")</f>
        <v/>
      </c>
    </row>
    <row r="482" ht="15" customHeight="1">
      <c r="A482" t="inlineStr">
        <is>
          <t>A 20129-2021</t>
        </is>
      </c>
      <c r="B482" s="1" t="n">
        <v>44314</v>
      </c>
      <c r="C482" s="1" t="n">
        <v>45190</v>
      </c>
      <c r="D482" t="inlineStr">
        <is>
          <t>KALMAR LÄN</t>
        </is>
      </c>
      <c r="E482" t="inlineStr">
        <is>
          <t>EMMABODA</t>
        </is>
      </c>
      <c r="G482" t="n">
        <v>5.8</v>
      </c>
      <c r="H482" t="n">
        <v>1</v>
      </c>
      <c r="I482" t="n">
        <v>0</v>
      </c>
      <c r="J482" t="n">
        <v>0</v>
      </c>
      <c r="K482" t="n">
        <v>0</v>
      </c>
      <c r="L482" t="n">
        <v>0</v>
      </c>
      <c r="M482" t="n">
        <v>0</v>
      </c>
      <c r="N482" t="n">
        <v>0</v>
      </c>
      <c r="O482" t="n">
        <v>0</v>
      </c>
      <c r="P482" t="n">
        <v>0</v>
      </c>
      <c r="Q482" t="n">
        <v>1</v>
      </c>
      <c r="R482" s="2" t="inlineStr">
        <is>
          <t>Revlummer</t>
        </is>
      </c>
      <c r="S482">
        <f>HYPERLINK("https://klasma.github.io/Logging_EMMABODA/artfynd/A 20129-2021.xlsx", "A 20129-2021")</f>
        <v/>
      </c>
      <c r="T482">
        <f>HYPERLINK("https://klasma.github.io/Logging_EMMABODA/kartor/A 20129-2021.png", "A 20129-2021")</f>
        <v/>
      </c>
      <c r="V482">
        <f>HYPERLINK("https://klasma.github.io/Logging_EMMABODA/klagomål/A 20129-2021.docx", "A 20129-2021")</f>
        <v/>
      </c>
      <c r="W482">
        <f>HYPERLINK("https://klasma.github.io/Logging_EMMABODA/klagomålsmail/A 20129-2021.docx", "A 20129-2021")</f>
        <v/>
      </c>
      <c r="X482">
        <f>HYPERLINK("https://klasma.github.io/Logging_EMMABODA/tillsyn/A 20129-2021.docx", "A 20129-2021")</f>
        <v/>
      </c>
      <c r="Y482">
        <f>HYPERLINK("https://klasma.github.io/Logging_EMMABODA/tillsynsmail/A 20129-2021.docx", "A 20129-2021")</f>
        <v/>
      </c>
    </row>
    <row r="483" ht="15" customHeight="1">
      <c r="A483" t="inlineStr">
        <is>
          <t>A 20233-2021</t>
        </is>
      </c>
      <c r="B483" s="1" t="n">
        <v>44314</v>
      </c>
      <c r="C483" s="1" t="n">
        <v>45190</v>
      </c>
      <c r="D483" t="inlineStr">
        <is>
          <t>KALMAR LÄN</t>
        </is>
      </c>
      <c r="E483" t="inlineStr">
        <is>
          <t>VÄSTERVIK</t>
        </is>
      </c>
      <c r="F483" t="inlineStr">
        <is>
          <t>Holmen skog AB</t>
        </is>
      </c>
      <c r="G483" t="n">
        <v>11.8</v>
      </c>
      <c r="H483" t="n">
        <v>0</v>
      </c>
      <c r="I483" t="n">
        <v>0</v>
      </c>
      <c r="J483" t="n">
        <v>1</v>
      </c>
      <c r="K483" t="n">
        <v>0</v>
      </c>
      <c r="L483" t="n">
        <v>0</v>
      </c>
      <c r="M483" t="n">
        <v>0</v>
      </c>
      <c r="N483" t="n">
        <v>0</v>
      </c>
      <c r="O483" t="n">
        <v>1</v>
      </c>
      <c r="P483" t="n">
        <v>0</v>
      </c>
      <c r="Q483" t="n">
        <v>1</v>
      </c>
      <c r="R483" s="2" t="inlineStr">
        <is>
          <t>Skogsklocka</t>
        </is>
      </c>
      <c r="S483">
        <f>HYPERLINK("https://klasma.github.io/Logging_VASTERVIK/artfynd/A 20233-2021.xlsx", "A 20233-2021")</f>
        <v/>
      </c>
      <c r="T483">
        <f>HYPERLINK("https://klasma.github.io/Logging_VASTERVIK/kartor/A 20233-2021.png", "A 20233-2021")</f>
        <v/>
      </c>
      <c r="V483">
        <f>HYPERLINK("https://klasma.github.io/Logging_VASTERVIK/klagomål/A 20233-2021.docx", "A 20233-2021")</f>
        <v/>
      </c>
      <c r="W483">
        <f>HYPERLINK("https://klasma.github.io/Logging_VASTERVIK/klagomålsmail/A 20233-2021.docx", "A 20233-2021")</f>
        <v/>
      </c>
      <c r="X483">
        <f>HYPERLINK("https://klasma.github.io/Logging_VASTERVIK/tillsyn/A 20233-2021.docx", "A 20233-2021")</f>
        <v/>
      </c>
      <c r="Y483">
        <f>HYPERLINK("https://klasma.github.io/Logging_VASTERVIK/tillsynsmail/A 20233-2021.docx", "A 20233-2021")</f>
        <v/>
      </c>
    </row>
    <row r="484" ht="15" customHeight="1">
      <c r="A484" t="inlineStr">
        <is>
          <t>A 20941-2021</t>
        </is>
      </c>
      <c r="B484" s="1" t="n">
        <v>44319</v>
      </c>
      <c r="C484" s="1" t="n">
        <v>45190</v>
      </c>
      <c r="D484" t="inlineStr">
        <is>
          <t>KALMAR LÄN</t>
        </is>
      </c>
      <c r="E484" t="inlineStr">
        <is>
          <t>NYBRO</t>
        </is>
      </c>
      <c r="G484" t="n">
        <v>2.3</v>
      </c>
      <c r="H484" t="n">
        <v>0</v>
      </c>
      <c r="I484" t="n">
        <v>0</v>
      </c>
      <c r="J484" t="n">
        <v>1</v>
      </c>
      <c r="K484" t="n">
        <v>0</v>
      </c>
      <c r="L484" t="n">
        <v>0</v>
      </c>
      <c r="M484" t="n">
        <v>0</v>
      </c>
      <c r="N484" t="n">
        <v>0</v>
      </c>
      <c r="O484" t="n">
        <v>1</v>
      </c>
      <c r="P484" t="n">
        <v>0</v>
      </c>
      <c r="Q484" t="n">
        <v>1</v>
      </c>
      <c r="R484" s="2" t="inlineStr">
        <is>
          <t>Sumpviol</t>
        </is>
      </c>
      <c r="S484">
        <f>HYPERLINK("https://klasma.github.io/Logging_NYBRO/artfynd/A 20941-2021.xlsx", "A 20941-2021")</f>
        <v/>
      </c>
      <c r="T484">
        <f>HYPERLINK("https://klasma.github.io/Logging_NYBRO/kartor/A 20941-2021.png", "A 20941-2021")</f>
        <v/>
      </c>
      <c r="V484">
        <f>HYPERLINK("https://klasma.github.io/Logging_NYBRO/klagomål/A 20941-2021.docx", "A 20941-2021")</f>
        <v/>
      </c>
      <c r="W484">
        <f>HYPERLINK("https://klasma.github.io/Logging_NYBRO/klagomålsmail/A 20941-2021.docx", "A 20941-2021")</f>
        <v/>
      </c>
      <c r="X484">
        <f>HYPERLINK("https://klasma.github.io/Logging_NYBRO/tillsyn/A 20941-2021.docx", "A 20941-2021")</f>
        <v/>
      </c>
      <c r="Y484">
        <f>HYPERLINK("https://klasma.github.io/Logging_NYBRO/tillsynsmail/A 20941-2021.docx", "A 20941-2021")</f>
        <v/>
      </c>
    </row>
    <row r="485" ht="15" customHeight="1">
      <c r="A485" t="inlineStr">
        <is>
          <t>A 24048-2021</t>
        </is>
      </c>
      <c r="B485" s="1" t="n">
        <v>44336</v>
      </c>
      <c r="C485" s="1" t="n">
        <v>45190</v>
      </c>
      <c r="D485" t="inlineStr">
        <is>
          <t>KALMAR LÄN</t>
        </is>
      </c>
      <c r="E485" t="inlineStr">
        <is>
          <t>VÄSTERVIK</t>
        </is>
      </c>
      <c r="G485" t="n">
        <v>3.5</v>
      </c>
      <c r="H485" t="n">
        <v>1</v>
      </c>
      <c r="I485" t="n">
        <v>0</v>
      </c>
      <c r="J485" t="n">
        <v>0</v>
      </c>
      <c r="K485" t="n">
        <v>1</v>
      </c>
      <c r="L485" t="n">
        <v>0</v>
      </c>
      <c r="M485" t="n">
        <v>0</v>
      </c>
      <c r="N485" t="n">
        <v>0</v>
      </c>
      <c r="O485" t="n">
        <v>1</v>
      </c>
      <c r="P485" t="n">
        <v>1</v>
      </c>
      <c r="Q485" t="n">
        <v>1</v>
      </c>
      <c r="R485" s="2" t="inlineStr">
        <is>
          <t>Knärot</t>
        </is>
      </c>
      <c r="S485">
        <f>HYPERLINK("https://klasma.github.io/Logging_VASTERVIK/artfynd/A 24048-2021.xlsx", "A 24048-2021")</f>
        <v/>
      </c>
      <c r="T485">
        <f>HYPERLINK("https://klasma.github.io/Logging_VASTERVIK/kartor/A 24048-2021.png", "A 24048-2021")</f>
        <v/>
      </c>
      <c r="U485">
        <f>HYPERLINK("https://klasma.github.io/Logging_VASTERVIK/knärot/A 24048-2021.png", "A 24048-2021")</f>
        <v/>
      </c>
      <c r="V485">
        <f>HYPERLINK("https://klasma.github.io/Logging_VASTERVIK/klagomål/A 24048-2021.docx", "A 24048-2021")</f>
        <v/>
      </c>
      <c r="W485">
        <f>HYPERLINK("https://klasma.github.io/Logging_VASTERVIK/klagomålsmail/A 24048-2021.docx", "A 24048-2021")</f>
        <v/>
      </c>
      <c r="X485">
        <f>HYPERLINK("https://klasma.github.io/Logging_VASTERVIK/tillsyn/A 24048-2021.docx", "A 24048-2021")</f>
        <v/>
      </c>
      <c r="Y485">
        <f>HYPERLINK("https://klasma.github.io/Logging_VASTERVIK/tillsynsmail/A 24048-2021.docx", "A 24048-2021")</f>
        <v/>
      </c>
    </row>
    <row r="486" ht="15" customHeight="1">
      <c r="A486" t="inlineStr">
        <is>
          <t>A 25131-2021</t>
        </is>
      </c>
      <c r="B486" s="1" t="n">
        <v>44341</v>
      </c>
      <c r="C486" s="1" t="n">
        <v>45190</v>
      </c>
      <c r="D486" t="inlineStr">
        <is>
          <t>KALMAR LÄN</t>
        </is>
      </c>
      <c r="E486" t="inlineStr">
        <is>
          <t>HÖGSBY</t>
        </is>
      </c>
      <c r="F486" t="inlineStr">
        <is>
          <t>Sveaskog</t>
        </is>
      </c>
      <c r="G486" t="n">
        <v>4.3</v>
      </c>
      <c r="H486" t="n">
        <v>0</v>
      </c>
      <c r="I486" t="n">
        <v>0</v>
      </c>
      <c r="J486" t="n">
        <v>1</v>
      </c>
      <c r="K486" t="n">
        <v>0</v>
      </c>
      <c r="L486" t="n">
        <v>0</v>
      </c>
      <c r="M486" t="n">
        <v>0</v>
      </c>
      <c r="N486" t="n">
        <v>0</v>
      </c>
      <c r="O486" t="n">
        <v>1</v>
      </c>
      <c r="P486" t="n">
        <v>0</v>
      </c>
      <c r="Q486" t="n">
        <v>1</v>
      </c>
      <c r="R486" s="2" t="inlineStr">
        <is>
          <t>Backstarr</t>
        </is>
      </c>
      <c r="S486">
        <f>HYPERLINK("https://klasma.github.io/Logging_HOGSBY/artfynd/A 25131-2021.xlsx", "A 25131-2021")</f>
        <v/>
      </c>
      <c r="T486">
        <f>HYPERLINK("https://klasma.github.io/Logging_HOGSBY/kartor/A 25131-2021.png", "A 25131-2021")</f>
        <v/>
      </c>
      <c r="V486">
        <f>HYPERLINK("https://klasma.github.io/Logging_HOGSBY/klagomål/A 25131-2021.docx", "A 25131-2021")</f>
        <v/>
      </c>
      <c r="W486">
        <f>HYPERLINK("https://klasma.github.io/Logging_HOGSBY/klagomålsmail/A 25131-2021.docx", "A 25131-2021")</f>
        <v/>
      </c>
      <c r="X486">
        <f>HYPERLINK("https://klasma.github.io/Logging_HOGSBY/tillsyn/A 25131-2021.docx", "A 25131-2021")</f>
        <v/>
      </c>
      <c r="Y486">
        <f>HYPERLINK("https://klasma.github.io/Logging_HOGSBY/tillsynsmail/A 25131-2021.docx", "A 25131-2021")</f>
        <v/>
      </c>
    </row>
    <row r="487" ht="15" customHeight="1">
      <c r="A487" t="inlineStr">
        <is>
          <t>A 24939-2021</t>
        </is>
      </c>
      <c r="B487" s="1" t="n">
        <v>44341</v>
      </c>
      <c r="C487" s="1" t="n">
        <v>45190</v>
      </c>
      <c r="D487" t="inlineStr">
        <is>
          <t>KALMAR LÄN</t>
        </is>
      </c>
      <c r="E487" t="inlineStr">
        <is>
          <t>HULTSFRED</t>
        </is>
      </c>
      <c r="G487" t="n">
        <v>8.6</v>
      </c>
      <c r="H487" t="n">
        <v>1</v>
      </c>
      <c r="I487" t="n">
        <v>0</v>
      </c>
      <c r="J487" t="n">
        <v>1</v>
      </c>
      <c r="K487" t="n">
        <v>0</v>
      </c>
      <c r="L487" t="n">
        <v>0</v>
      </c>
      <c r="M487" t="n">
        <v>0</v>
      </c>
      <c r="N487" t="n">
        <v>0</v>
      </c>
      <c r="O487" t="n">
        <v>1</v>
      </c>
      <c r="P487" t="n">
        <v>0</v>
      </c>
      <c r="Q487" t="n">
        <v>1</v>
      </c>
      <c r="R487" s="2" t="inlineStr">
        <is>
          <t>Svartvit flugsnappare</t>
        </is>
      </c>
      <c r="S487">
        <f>HYPERLINK("https://klasma.github.io/Logging_HULTSFRED/artfynd/A 24939-2021.xlsx", "A 24939-2021")</f>
        <v/>
      </c>
      <c r="T487">
        <f>HYPERLINK("https://klasma.github.io/Logging_HULTSFRED/kartor/A 24939-2021.png", "A 24939-2021")</f>
        <v/>
      </c>
      <c r="V487">
        <f>HYPERLINK("https://klasma.github.io/Logging_HULTSFRED/klagomål/A 24939-2021.docx", "A 24939-2021")</f>
        <v/>
      </c>
      <c r="W487">
        <f>HYPERLINK("https://klasma.github.io/Logging_HULTSFRED/klagomålsmail/A 24939-2021.docx", "A 24939-2021")</f>
        <v/>
      </c>
      <c r="X487">
        <f>HYPERLINK("https://klasma.github.io/Logging_HULTSFRED/tillsyn/A 24939-2021.docx", "A 24939-2021")</f>
        <v/>
      </c>
      <c r="Y487">
        <f>HYPERLINK("https://klasma.github.io/Logging_HULTSFRED/tillsynsmail/A 24939-2021.docx", "A 24939-2021")</f>
        <v/>
      </c>
    </row>
    <row r="488" ht="15" customHeight="1">
      <c r="A488" t="inlineStr">
        <is>
          <t>A 25447-2021</t>
        </is>
      </c>
      <c r="B488" s="1" t="n">
        <v>44342</v>
      </c>
      <c r="C488" s="1" t="n">
        <v>45190</v>
      </c>
      <c r="D488" t="inlineStr">
        <is>
          <t>KALMAR LÄN</t>
        </is>
      </c>
      <c r="E488" t="inlineStr">
        <is>
          <t>VÄSTERVIK</t>
        </is>
      </c>
      <c r="F488" t="inlineStr">
        <is>
          <t>Holmen skog AB</t>
        </is>
      </c>
      <c r="G488" t="n">
        <v>9</v>
      </c>
      <c r="H488" t="n">
        <v>1</v>
      </c>
      <c r="I488" t="n">
        <v>0</v>
      </c>
      <c r="J488" t="n">
        <v>0</v>
      </c>
      <c r="K488" t="n">
        <v>1</v>
      </c>
      <c r="L488" t="n">
        <v>0</v>
      </c>
      <c r="M488" t="n">
        <v>0</v>
      </c>
      <c r="N488" t="n">
        <v>0</v>
      </c>
      <c r="O488" t="n">
        <v>1</v>
      </c>
      <c r="P488" t="n">
        <v>1</v>
      </c>
      <c r="Q488" t="n">
        <v>1</v>
      </c>
      <c r="R488" s="2" t="inlineStr">
        <is>
          <t>Knärot</t>
        </is>
      </c>
      <c r="S488">
        <f>HYPERLINK("https://klasma.github.io/Logging_VASTERVIK/artfynd/A 25447-2021.xlsx", "A 25447-2021")</f>
        <v/>
      </c>
      <c r="T488">
        <f>HYPERLINK("https://klasma.github.io/Logging_VASTERVIK/kartor/A 25447-2021.png", "A 25447-2021")</f>
        <v/>
      </c>
      <c r="U488">
        <f>HYPERLINK("https://klasma.github.io/Logging_VASTERVIK/knärot/A 25447-2021.png", "A 25447-2021")</f>
        <v/>
      </c>
      <c r="V488">
        <f>HYPERLINK("https://klasma.github.io/Logging_VASTERVIK/klagomål/A 25447-2021.docx", "A 25447-2021")</f>
        <v/>
      </c>
      <c r="W488">
        <f>HYPERLINK("https://klasma.github.io/Logging_VASTERVIK/klagomålsmail/A 25447-2021.docx", "A 25447-2021")</f>
        <v/>
      </c>
      <c r="X488">
        <f>HYPERLINK("https://klasma.github.io/Logging_VASTERVIK/tillsyn/A 25447-2021.docx", "A 25447-2021")</f>
        <v/>
      </c>
      <c r="Y488">
        <f>HYPERLINK("https://klasma.github.io/Logging_VASTERVIK/tillsynsmail/A 25447-2021.docx", "A 25447-2021")</f>
        <v/>
      </c>
    </row>
    <row r="489" ht="15" customHeight="1">
      <c r="A489" t="inlineStr">
        <is>
          <t>A 25380-2021</t>
        </is>
      </c>
      <c r="B489" s="1" t="n">
        <v>44342</v>
      </c>
      <c r="C489" s="1" t="n">
        <v>45190</v>
      </c>
      <c r="D489" t="inlineStr">
        <is>
          <t>KALMAR LÄN</t>
        </is>
      </c>
      <c r="E489" t="inlineStr">
        <is>
          <t>OSKARSHAMN</t>
        </is>
      </c>
      <c r="F489" t="inlineStr">
        <is>
          <t>Kommuner</t>
        </is>
      </c>
      <c r="G489" t="n">
        <v>6.8</v>
      </c>
      <c r="H489" t="n">
        <v>0</v>
      </c>
      <c r="I489" t="n">
        <v>0</v>
      </c>
      <c r="J489" t="n">
        <v>1</v>
      </c>
      <c r="K489" t="n">
        <v>0</v>
      </c>
      <c r="L489" t="n">
        <v>0</v>
      </c>
      <c r="M489" t="n">
        <v>0</v>
      </c>
      <c r="N489" t="n">
        <v>0</v>
      </c>
      <c r="O489" t="n">
        <v>1</v>
      </c>
      <c r="P489" t="n">
        <v>0</v>
      </c>
      <c r="Q489" t="n">
        <v>1</v>
      </c>
      <c r="R489" s="2" t="inlineStr">
        <is>
          <t>Grönbladsbjörnbär</t>
        </is>
      </c>
      <c r="S489">
        <f>HYPERLINK("https://klasma.github.io/Logging_OSKARSHAMN/artfynd/A 25380-2021.xlsx", "A 25380-2021")</f>
        <v/>
      </c>
      <c r="T489">
        <f>HYPERLINK("https://klasma.github.io/Logging_OSKARSHAMN/kartor/A 25380-2021.png", "A 25380-2021")</f>
        <v/>
      </c>
      <c r="V489">
        <f>HYPERLINK("https://klasma.github.io/Logging_OSKARSHAMN/klagomål/A 25380-2021.docx", "A 25380-2021")</f>
        <v/>
      </c>
      <c r="W489">
        <f>HYPERLINK("https://klasma.github.io/Logging_OSKARSHAMN/klagomålsmail/A 25380-2021.docx", "A 25380-2021")</f>
        <v/>
      </c>
      <c r="X489">
        <f>HYPERLINK("https://klasma.github.io/Logging_OSKARSHAMN/tillsyn/A 25380-2021.docx", "A 25380-2021")</f>
        <v/>
      </c>
      <c r="Y489">
        <f>HYPERLINK("https://klasma.github.io/Logging_OSKARSHAMN/tillsynsmail/A 25380-2021.docx", "A 25380-2021")</f>
        <v/>
      </c>
    </row>
    <row r="490" ht="15" customHeight="1">
      <c r="A490" t="inlineStr">
        <is>
          <t>A 25439-2021</t>
        </is>
      </c>
      <c r="B490" s="1" t="n">
        <v>44342</v>
      </c>
      <c r="C490" s="1" t="n">
        <v>45190</v>
      </c>
      <c r="D490" t="inlineStr">
        <is>
          <t>KALMAR LÄN</t>
        </is>
      </c>
      <c r="E490" t="inlineStr">
        <is>
          <t>VÄSTERVIK</t>
        </is>
      </c>
      <c r="F490" t="inlineStr">
        <is>
          <t>Holmen skog AB</t>
        </is>
      </c>
      <c r="G490" t="n">
        <v>2.4</v>
      </c>
      <c r="H490" t="n">
        <v>1</v>
      </c>
      <c r="I490" t="n">
        <v>1</v>
      </c>
      <c r="J490" t="n">
        <v>0</v>
      </c>
      <c r="K490" t="n">
        <v>0</v>
      </c>
      <c r="L490" t="n">
        <v>0</v>
      </c>
      <c r="M490" t="n">
        <v>0</v>
      </c>
      <c r="N490" t="n">
        <v>0</v>
      </c>
      <c r="O490" t="n">
        <v>0</v>
      </c>
      <c r="P490" t="n">
        <v>0</v>
      </c>
      <c r="Q490" t="n">
        <v>1</v>
      </c>
      <c r="R490" s="2" t="inlineStr">
        <is>
          <t>Grön sköldmossa</t>
        </is>
      </c>
      <c r="S490">
        <f>HYPERLINK("https://klasma.github.io/Logging_VASTERVIK/artfynd/A 25439-2021.xlsx", "A 25439-2021")</f>
        <v/>
      </c>
      <c r="T490">
        <f>HYPERLINK("https://klasma.github.io/Logging_VASTERVIK/kartor/A 25439-2021.png", "A 25439-2021")</f>
        <v/>
      </c>
      <c r="V490">
        <f>HYPERLINK("https://klasma.github.io/Logging_VASTERVIK/klagomål/A 25439-2021.docx", "A 25439-2021")</f>
        <v/>
      </c>
      <c r="W490">
        <f>HYPERLINK("https://klasma.github.io/Logging_VASTERVIK/klagomålsmail/A 25439-2021.docx", "A 25439-2021")</f>
        <v/>
      </c>
      <c r="X490">
        <f>HYPERLINK("https://klasma.github.io/Logging_VASTERVIK/tillsyn/A 25439-2021.docx", "A 25439-2021")</f>
        <v/>
      </c>
      <c r="Y490">
        <f>HYPERLINK("https://klasma.github.io/Logging_VASTERVIK/tillsynsmail/A 25439-2021.docx", "A 25439-2021")</f>
        <v/>
      </c>
    </row>
    <row r="491" ht="15" customHeight="1">
      <c r="A491" t="inlineStr">
        <is>
          <t>A 25594-2021</t>
        </is>
      </c>
      <c r="B491" s="1" t="n">
        <v>44343</v>
      </c>
      <c r="C491" s="1" t="n">
        <v>45190</v>
      </c>
      <c r="D491" t="inlineStr">
        <is>
          <t>KALMAR LÄN</t>
        </is>
      </c>
      <c r="E491" t="inlineStr">
        <is>
          <t>VÄSTERVIK</t>
        </is>
      </c>
      <c r="F491" t="inlineStr">
        <is>
          <t>Holmen skog AB</t>
        </is>
      </c>
      <c r="G491" t="n">
        <v>3.2</v>
      </c>
      <c r="H491" t="n">
        <v>1</v>
      </c>
      <c r="I491" t="n">
        <v>0</v>
      </c>
      <c r="J491" t="n">
        <v>0</v>
      </c>
      <c r="K491" t="n">
        <v>1</v>
      </c>
      <c r="L491" t="n">
        <v>0</v>
      </c>
      <c r="M491" t="n">
        <v>0</v>
      </c>
      <c r="N491" t="n">
        <v>0</v>
      </c>
      <c r="O491" t="n">
        <v>1</v>
      </c>
      <c r="P491" t="n">
        <v>1</v>
      </c>
      <c r="Q491" t="n">
        <v>1</v>
      </c>
      <c r="R491" s="2" t="inlineStr">
        <is>
          <t>Knärot</t>
        </is>
      </c>
      <c r="S491">
        <f>HYPERLINK("https://klasma.github.io/Logging_VASTERVIK/artfynd/A 25594-2021.xlsx", "A 25594-2021")</f>
        <v/>
      </c>
      <c r="T491">
        <f>HYPERLINK("https://klasma.github.io/Logging_VASTERVIK/kartor/A 25594-2021.png", "A 25594-2021")</f>
        <v/>
      </c>
      <c r="U491">
        <f>HYPERLINK("https://klasma.github.io/Logging_VASTERVIK/knärot/A 25594-2021.png", "A 25594-2021")</f>
        <v/>
      </c>
      <c r="V491">
        <f>HYPERLINK("https://klasma.github.io/Logging_VASTERVIK/klagomål/A 25594-2021.docx", "A 25594-2021")</f>
        <v/>
      </c>
      <c r="W491">
        <f>HYPERLINK("https://klasma.github.io/Logging_VASTERVIK/klagomålsmail/A 25594-2021.docx", "A 25594-2021")</f>
        <v/>
      </c>
      <c r="X491">
        <f>HYPERLINK("https://klasma.github.io/Logging_VASTERVIK/tillsyn/A 25594-2021.docx", "A 25594-2021")</f>
        <v/>
      </c>
      <c r="Y491">
        <f>HYPERLINK("https://klasma.github.io/Logging_VASTERVIK/tillsynsmail/A 25594-2021.docx", "A 25594-2021")</f>
        <v/>
      </c>
    </row>
    <row r="492" ht="15" customHeight="1">
      <c r="A492" t="inlineStr">
        <is>
          <t>A 25677-2021</t>
        </is>
      </c>
      <c r="B492" s="1" t="n">
        <v>44343</v>
      </c>
      <c r="C492" s="1" t="n">
        <v>45190</v>
      </c>
      <c r="D492" t="inlineStr">
        <is>
          <t>KALMAR LÄN</t>
        </is>
      </c>
      <c r="E492" t="inlineStr">
        <is>
          <t>OSKARSHAMN</t>
        </is>
      </c>
      <c r="G492" t="n">
        <v>7.5</v>
      </c>
      <c r="H492" t="n">
        <v>1</v>
      </c>
      <c r="I492" t="n">
        <v>0</v>
      </c>
      <c r="J492" t="n">
        <v>1</v>
      </c>
      <c r="K492" t="n">
        <v>0</v>
      </c>
      <c r="L492" t="n">
        <v>0</v>
      </c>
      <c r="M492" t="n">
        <v>0</v>
      </c>
      <c r="N492" t="n">
        <v>0</v>
      </c>
      <c r="O492" t="n">
        <v>1</v>
      </c>
      <c r="P492" t="n">
        <v>0</v>
      </c>
      <c r="Q492" t="n">
        <v>1</v>
      </c>
      <c r="R492" s="2" t="inlineStr">
        <is>
          <t>Talltita</t>
        </is>
      </c>
      <c r="S492">
        <f>HYPERLINK("https://klasma.github.io/Logging_OSKARSHAMN/artfynd/A 25677-2021.xlsx", "A 25677-2021")</f>
        <v/>
      </c>
      <c r="T492">
        <f>HYPERLINK("https://klasma.github.io/Logging_OSKARSHAMN/kartor/A 25677-2021.png", "A 25677-2021")</f>
        <v/>
      </c>
      <c r="V492">
        <f>HYPERLINK("https://klasma.github.io/Logging_OSKARSHAMN/klagomål/A 25677-2021.docx", "A 25677-2021")</f>
        <v/>
      </c>
      <c r="W492">
        <f>HYPERLINK("https://klasma.github.io/Logging_OSKARSHAMN/klagomålsmail/A 25677-2021.docx", "A 25677-2021")</f>
        <v/>
      </c>
      <c r="X492">
        <f>HYPERLINK("https://klasma.github.io/Logging_OSKARSHAMN/tillsyn/A 25677-2021.docx", "A 25677-2021")</f>
        <v/>
      </c>
      <c r="Y492">
        <f>HYPERLINK("https://klasma.github.io/Logging_OSKARSHAMN/tillsynsmail/A 25677-2021.docx", "A 25677-2021")</f>
        <v/>
      </c>
    </row>
    <row r="493" ht="15" customHeight="1">
      <c r="A493" t="inlineStr">
        <is>
          <t>A 28298-2021</t>
        </is>
      </c>
      <c r="B493" s="1" t="n">
        <v>44356</v>
      </c>
      <c r="C493" s="1" t="n">
        <v>45190</v>
      </c>
      <c r="D493" t="inlineStr">
        <is>
          <t>KALMAR LÄN</t>
        </is>
      </c>
      <c r="E493" t="inlineStr">
        <is>
          <t>OSKARSHAMN</t>
        </is>
      </c>
      <c r="G493" t="n">
        <v>6.3</v>
      </c>
      <c r="H493" t="n">
        <v>0</v>
      </c>
      <c r="I493" t="n">
        <v>0</v>
      </c>
      <c r="J493" t="n">
        <v>1</v>
      </c>
      <c r="K493" t="n">
        <v>0</v>
      </c>
      <c r="L493" t="n">
        <v>0</v>
      </c>
      <c r="M493" t="n">
        <v>0</v>
      </c>
      <c r="N493" t="n">
        <v>0</v>
      </c>
      <c r="O493" t="n">
        <v>1</v>
      </c>
      <c r="P493" t="n">
        <v>0</v>
      </c>
      <c r="Q493" t="n">
        <v>1</v>
      </c>
      <c r="R493" s="2" t="inlineStr">
        <is>
          <t>Tallticka</t>
        </is>
      </c>
      <c r="S493">
        <f>HYPERLINK("https://klasma.github.io/Logging_OSKARSHAMN/artfynd/A 28298-2021.xlsx", "A 28298-2021")</f>
        <v/>
      </c>
      <c r="T493">
        <f>HYPERLINK("https://klasma.github.io/Logging_OSKARSHAMN/kartor/A 28298-2021.png", "A 28298-2021")</f>
        <v/>
      </c>
      <c r="V493">
        <f>HYPERLINK("https://klasma.github.io/Logging_OSKARSHAMN/klagomål/A 28298-2021.docx", "A 28298-2021")</f>
        <v/>
      </c>
      <c r="W493">
        <f>HYPERLINK("https://klasma.github.io/Logging_OSKARSHAMN/klagomålsmail/A 28298-2021.docx", "A 28298-2021")</f>
        <v/>
      </c>
      <c r="X493">
        <f>HYPERLINK("https://klasma.github.io/Logging_OSKARSHAMN/tillsyn/A 28298-2021.docx", "A 28298-2021")</f>
        <v/>
      </c>
      <c r="Y493">
        <f>HYPERLINK("https://klasma.github.io/Logging_OSKARSHAMN/tillsynsmail/A 28298-2021.docx", "A 28298-2021")</f>
        <v/>
      </c>
    </row>
    <row r="494" ht="15" customHeight="1">
      <c r="A494" t="inlineStr">
        <is>
          <t>A 28299-2021</t>
        </is>
      </c>
      <c r="B494" s="1" t="n">
        <v>44356</v>
      </c>
      <c r="C494" s="1" t="n">
        <v>45190</v>
      </c>
      <c r="D494" t="inlineStr">
        <is>
          <t>KALMAR LÄN</t>
        </is>
      </c>
      <c r="E494" t="inlineStr">
        <is>
          <t>OSKARSHAMN</t>
        </is>
      </c>
      <c r="G494" t="n">
        <v>1.9</v>
      </c>
      <c r="H494" t="n">
        <v>1</v>
      </c>
      <c r="I494" t="n">
        <v>0</v>
      </c>
      <c r="J494" t="n">
        <v>1</v>
      </c>
      <c r="K494" t="n">
        <v>0</v>
      </c>
      <c r="L494" t="n">
        <v>0</v>
      </c>
      <c r="M494" t="n">
        <v>0</v>
      </c>
      <c r="N494" t="n">
        <v>0</v>
      </c>
      <c r="O494" t="n">
        <v>1</v>
      </c>
      <c r="P494" t="n">
        <v>0</v>
      </c>
      <c r="Q494" t="n">
        <v>1</v>
      </c>
      <c r="R494" s="2" t="inlineStr">
        <is>
          <t>Spillkråka</t>
        </is>
      </c>
      <c r="S494">
        <f>HYPERLINK("https://klasma.github.io/Logging_OSKARSHAMN/artfynd/A 28299-2021.xlsx", "A 28299-2021")</f>
        <v/>
      </c>
      <c r="T494">
        <f>HYPERLINK("https://klasma.github.io/Logging_OSKARSHAMN/kartor/A 28299-2021.png", "A 28299-2021")</f>
        <v/>
      </c>
      <c r="V494">
        <f>HYPERLINK("https://klasma.github.io/Logging_OSKARSHAMN/klagomål/A 28299-2021.docx", "A 28299-2021")</f>
        <v/>
      </c>
      <c r="W494">
        <f>HYPERLINK("https://klasma.github.io/Logging_OSKARSHAMN/klagomålsmail/A 28299-2021.docx", "A 28299-2021")</f>
        <v/>
      </c>
      <c r="X494">
        <f>HYPERLINK("https://klasma.github.io/Logging_OSKARSHAMN/tillsyn/A 28299-2021.docx", "A 28299-2021")</f>
        <v/>
      </c>
      <c r="Y494">
        <f>HYPERLINK("https://klasma.github.io/Logging_OSKARSHAMN/tillsynsmail/A 28299-2021.docx", "A 28299-2021")</f>
        <v/>
      </c>
    </row>
    <row r="495" ht="15" customHeight="1">
      <c r="A495" t="inlineStr">
        <is>
          <t>A 29455-2021</t>
        </is>
      </c>
      <c r="B495" s="1" t="n">
        <v>44361</v>
      </c>
      <c r="C495" s="1" t="n">
        <v>45190</v>
      </c>
      <c r="D495" t="inlineStr">
        <is>
          <t>KALMAR LÄN</t>
        </is>
      </c>
      <c r="E495" t="inlineStr">
        <is>
          <t>VÄSTERVIK</t>
        </is>
      </c>
      <c r="F495" t="inlineStr">
        <is>
          <t>Övriga Aktiebolag</t>
        </is>
      </c>
      <c r="G495" t="n">
        <v>3.1</v>
      </c>
      <c r="H495" t="n">
        <v>1</v>
      </c>
      <c r="I495" t="n">
        <v>0</v>
      </c>
      <c r="J495" t="n">
        <v>0</v>
      </c>
      <c r="K495" t="n">
        <v>1</v>
      </c>
      <c r="L495" t="n">
        <v>0</v>
      </c>
      <c r="M495" t="n">
        <v>0</v>
      </c>
      <c r="N495" t="n">
        <v>0</v>
      </c>
      <c r="O495" t="n">
        <v>1</v>
      </c>
      <c r="P495" t="n">
        <v>1</v>
      </c>
      <c r="Q495" t="n">
        <v>1</v>
      </c>
      <c r="R495" s="2" t="inlineStr">
        <is>
          <t>Knärot</t>
        </is>
      </c>
      <c r="S495">
        <f>HYPERLINK("https://klasma.github.io/Logging_VASTERVIK/artfynd/A 29455-2021.xlsx", "A 29455-2021")</f>
        <v/>
      </c>
      <c r="T495">
        <f>HYPERLINK("https://klasma.github.io/Logging_VASTERVIK/kartor/A 29455-2021.png", "A 29455-2021")</f>
        <v/>
      </c>
      <c r="U495">
        <f>HYPERLINK("https://klasma.github.io/Logging_VASTERVIK/knärot/A 29455-2021.png", "A 29455-2021")</f>
        <v/>
      </c>
      <c r="V495">
        <f>HYPERLINK("https://klasma.github.io/Logging_VASTERVIK/klagomål/A 29455-2021.docx", "A 29455-2021")</f>
        <v/>
      </c>
      <c r="W495">
        <f>HYPERLINK("https://klasma.github.io/Logging_VASTERVIK/klagomålsmail/A 29455-2021.docx", "A 29455-2021")</f>
        <v/>
      </c>
      <c r="X495">
        <f>HYPERLINK("https://klasma.github.io/Logging_VASTERVIK/tillsyn/A 29455-2021.docx", "A 29455-2021")</f>
        <v/>
      </c>
      <c r="Y495">
        <f>HYPERLINK("https://klasma.github.io/Logging_VASTERVIK/tillsynsmail/A 29455-2021.docx", "A 29455-2021")</f>
        <v/>
      </c>
    </row>
    <row r="496" ht="15" customHeight="1">
      <c r="A496" t="inlineStr">
        <is>
          <t>A 30666-2021</t>
        </is>
      </c>
      <c r="B496" s="1" t="n">
        <v>44365</v>
      </c>
      <c r="C496" s="1" t="n">
        <v>45190</v>
      </c>
      <c r="D496" t="inlineStr">
        <is>
          <t>KALMAR LÄN</t>
        </is>
      </c>
      <c r="E496" t="inlineStr">
        <is>
          <t>NYBRO</t>
        </is>
      </c>
      <c r="G496" t="n">
        <v>1.3</v>
      </c>
      <c r="H496" t="n">
        <v>1</v>
      </c>
      <c r="I496" t="n">
        <v>1</v>
      </c>
      <c r="J496" t="n">
        <v>0</v>
      </c>
      <c r="K496" t="n">
        <v>0</v>
      </c>
      <c r="L496" t="n">
        <v>0</v>
      </c>
      <c r="M496" t="n">
        <v>0</v>
      </c>
      <c r="N496" t="n">
        <v>0</v>
      </c>
      <c r="O496" t="n">
        <v>0</v>
      </c>
      <c r="P496" t="n">
        <v>0</v>
      </c>
      <c r="Q496" t="n">
        <v>1</v>
      </c>
      <c r="R496" s="2" t="inlineStr">
        <is>
          <t>Spindelblomster</t>
        </is>
      </c>
      <c r="S496">
        <f>HYPERLINK("https://klasma.github.io/Logging_NYBRO/artfynd/A 30666-2021.xlsx", "A 30666-2021")</f>
        <v/>
      </c>
      <c r="T496">
        <f>HYPERLINK("https://klasma.github.io/Logging_NYBRO/kartor/A 30666-2021.png", "A 30666-2021")</f>
        <v/>
      </c>
      <c r="V496">
        <f>HYPERLINK("https://klasma.github.io/Logging_NYBRO/klagomål/A 30666-2021.docx", "A 30666-2021")</f>
        <v/>
      </c>
      <c r="W496">
        <f>HYPERLINK("https://klasma.github.io/Logging_NYBRO/klagomålsmail/A 30666-2021.docx", "A 30666-2021")</f>
        <v/>
      </c>
      <c r="X496">
        <f>HYPERLINK("https://klasma.github.io/Logging_NYBRO/tillsyn/A 30666-2021.docx", "A 30666-2021")</f>
        <v/>
      </c>
      <c r="Y496">
        <f>HYPERLINK("https://klasma.github.io/Logging_NYBRO/tillsynsmail/A 30666-2021.docx", "A 30666-2021")</f>
        <v/>
      </c>
    </row>
    <row r="497" ht="15" customHeight="1">
      <c r="A497" t="inlineStr">
        <is>
          <t>A 31315-2021</t>
        </is>
      </c>
      <c r="B497" s="1" t="n">
        <v>44368</v>
      </c>
      <c r="C497" s="1" t="n">
        <v>45190</v>
      </c>
      <c r="D497" t="inlineStr">
        <is>
          <t>KALMAR LÄN</t>
        </is>
      </c>
      <c r="E497" t="inlineStr">
        <is>
          <t>VÄSTERVIK</t>
        </is>
      </c>
      <c r="G497" t="n">
        <v>3.3</v>
      </c>
      <c r="H497" t="n">
        <v>1</v>
      </c>
      <c r="I497" t="n">
        <v>0</v>
      </c>
      <c r="J497" t="n">
        <v>0</v>
      </c>
      <c r="K497" t="n">
        <v>1</v>
      </c>
      <c r="L497" t="n">
        <v>0</v>
      </c>
      <c r="M497" t="n">
        <v>0</v>
      </c>
      <c r="N497" t="n">
        <v>0</v>
      </c>
      <c r="O497" t="n">
        <v>1</v>
      </c>
      <c r="P497" t="n">
        <v>1</v>
      </c>
      <c r="Q497" t="n">
        <v>1</v>
      </c>
      <c r="R497" s="2" t="inlineStr">
        <is>
          <t>Knärot</t>
        </is>
      </c>
      <c r="S497">
        <f>HYPERLINK("https://klasma.github.io/Logging_VASTERVIK/artfynd/A 31315-2021.xlsx", "A 31315-2021")</f>
        <v/>
      </c>
      <c r="T497">
        <f>HYPERLINK("https://klasma.github.io/Logging_VASTERVIK/kartor/A 31315-2021.png", "A 31315-2021")</f>
        <v/>
      </c>
      <c r="U497">
        <f>HYPERLINK("https://klasma.github.io/Logging_VASTERVIK/knärot/A 31315-2021.png", "A 31315-2021")</f>
        <v/>
      </c>
      <c r="V497">
        <f>HYPERLINK("https://klasma.github.io/Logging_VASTERVIK/klagomål/A 31315-2021.docx", "A 31315-2021")</f>
        <v/>
      </c>
      <c r="W497">
        <f>HYPERLINK("https://klasma.github.io/Logging_VASTERVIK/klagomålsmail/A 31315-2021.docx", "A 31315-2021")</f>
        <v/>
      </c>
      <c r="X497">
        <f>HYPERLINK("https://klasma.github.io/Logging_VASTERVIK/tillsyn/A 31315-2021.docx", "A 31315-2021")</f>
        <v/>
      </c>
      <c r="Y497">
        <f>HYPERLINK("https://klasma.github.io/Logging_VASTERVIK/tillsynsmail/A 31315-2021.docx", "A 31315-2021")</f>
        <v/>
      </c>
    </row>
    <row r="498" ht="15" customHeight="1">
      <c r="A498" t="inlineStr">
        <is>
          <t>A 31170-2021</t>
        </is>
      </c>
      <c r="B498" s="1" t="n">
        <v>44368</v>
      </c>
      <c r="C498" s="1" t="n">
        <v>45190</v>
      </c>
      <c r="D498" t="inlineStr">
        <is>
          <t>KALMAR LÄN</t>
        </is>
      </c>
      <c r="E498" t="inlineStr">
        <is>
          <t>MÖNSTERÅS</t>
        </is>
      </c>
      <c r="G498" t="n">
        <v>20.1</v>
      </c>
      <c r="H498" t="n">
        <v>1</v>
      </c>
      <c r="I498" t="n">
        <v>0</v>
      </c>
      <c r="J498" t="n">
        <v>0</v>
      </c>
      <c r="K498" t="n">
        <v>1</v>
      </c>
      <c r="L498" t="n">
        <v>0</v>
      </c>
      <c r="M498" t="n">
        <v>0</v>
      </c>
      <c r="N498" t="n">
        <v>0</v>
      </c>
      <c r="O498" t="n">
        <v>1</v>
      </c>
      <c r="P498" t="n">
        <v>1</v>
      </c>
      <c r="Q498" t="n">
        <v>1</v>
      </c>
      <c r="R498" s="2" t="inlineStr">
        <is>
          <t>Knärot</t>
        </is>
      </c>
      <c r="S498">
        <f>HYPERLINK("https://klasma.github.io/Logging_MONSTERAS/artfynd/A 31170-2021.xlsx", "A 31170-2021")</f>
        <v/>
      </c>
      <c r="T498">
        <f>HYPERLINK("https://klasma.github.io/Logging_MONSTERAS/kartor/A 31170-2021.png", "A 31170-2021")</f>
        <v/>
      </c>
      <c r="U498">
        <f>HYPERLINK("https://klasma.github.io/Logging_MONSTERAS/knärot/A 31170-2021.png", "A 31170-2021")</f>
        <v/>
      </c>
      <c r="V498">
        <f>HYPERLINK("https://klasma.github.io/Logging_MONSTERAS/klagomål/A 31170-2021.docx", "A 31170-2021")</f>
        <v/>
      </c>
      <c r="W498">
        <f>HYPERLINK("https://klasma.github.io/Logging_MONSTERAS/klagomålsmail/A 31170-2021.docx", "A 31170-2021")</f>
        <v/>
      </c>
      <c r="X498">
        <f>HYPERLINK("https://klasma.github.io/Logging_MONSTERAS/tillsyn/A 31170-2021.docx", "A 31170-2021")</f>
        <v/>
      </c>
      <c r="Y498">
        <f>HYPERLINK("https://klasma.github.io/Logging_MONSTERAS/tillsynsmail/A 31170-2021.docx", "A 31170-2021")</f>
        <v/>
      </c>
    </row>
    <row r="499" ht="15" customHeight="1">
      <c r="A499" t="inlineStr">
        <is>
          <t>A 32396-2021</t>
        </is>
      </c>
      <c r="B499" s="1" t="n">
        <v>44371</v>
      </c>
      <c r="C499" s="1" t="n">
        <v>45190</v>
      </c>
      <c r="D499" t="inlineStr">
        <is>
          <t>KALMAR LÄN</t>
        </is>
      </c>
      <c r="E499" t="inlineStr">
        <is>
          <t>VIMMERBY</t>
        </is>
      </c>
      <c r="G499" t="n">
        <v>2.8</v>
      </c>
      <c r="H499" t="n">
        <v>1</v>
      </c>
      <c r="I499" t="n">
        <v>0</v>
      </c>
      <c r="J499" t="n">
        <v>0</v>
      </c>
      <c r="K499" t="n">
        <v>0</v>
      </c>
      <c r="L499" t="n">
        <v>0</v>
      </c>
      <c r="M499" t="n">
        <v>0</v>
      </c>
      <c r="N499" t="n">
        <v>0</v>
      </c>
      <c r="O499" t="n">
        <v>0</v>
      </c>
      <c r="P499" t="n">
        <v>0</v>
      </c>
      <c r="Q499" t="n">
        <v>1</v>
      </c>
      <c r="R499" s="2" t="inlineStr">
        <is>
          <t>Blåsippa</t>
        </is>
      </c>
      <c r="S499">
        <f>HYPERLINK("https://klasma.github.io/Logging_VIMMERBY/artfynd/A 32396-2021.xlsx", "A 32396-2021")</f>
        <v/>
      </c>
      <c r="T499">
        <f>HYPERLINK("https://klasma.github.io/Logging_VIMMERBY/kartor/A 32396-2021.png", "A 32396-2021")</f>
        <v/>
      </c>
      <c r="V499">
        <f>HYPERLINK("https://klasma.github.io/Logging_VIMMERBY/klagomål/A 32396-2021.docx", "A 32396-2021")</f>
        <v/>
      </c>
      <c r="W499">
        <f>HYPERLINK("https://klasma.github.io/Logging_VIMMERBY/klagomålsmail/A 32396-2021.docx", "A 32396-2021")</f>
        <v/>
      </c>
      <c r="X499">
        <f>HYPERLINK("https://klasma.github.io/Logging_VIMMERBY/tillsyn/A 32396-2021.docx", "A 32396-2021")</f>
        <v/>
      </c>
      <c r="Y499">
        <f>HYPERLINK("https://klasma.github.io/Logging_VIMMERBY/tillsynsmail/A 32396-2021.docx", "A 32396-2021")</f>
        <v/>
      </c>
    </row>
    <row r="500" ht="15" customHeight="1">
      <c r="A500" t="inlineStr">
        <is>
          <t>A 32768-2021</t>
        </is>
      </c>
      <c r="B500" s="1" t="n">
        <v>44375</v>
      </c>
      <c r="C500" s="1" t="n">
        <v>45190</v>
      </c>
      <c r="D500" t="inlineStr">
        <is>
          <t>KALMAR LÄN</t>
        </is>
      </c>
      <c r="E500" t="inlineStr">
        <is>
          <t>HULTSFRED</t>
        </is>
      </c>
      <c r="G500" t="n">
        <v>4.3</v>
      </c>
      <c r="H500" t="n">
        <v>0</v>
      </c>
      <c r="I500" t="n">
        <v>1</v>
      </c>
      <c r="J500" t="n">
        <v>0</v>
      </c>
      <c r="K500" t="n">
        <v>0</v>
      </c>
      <c r="L500" t="n">
        <v>0</v>
      </c>
      <c r="M500" t="n">
        <v>0</v>
      </c>
      <c r="N500" t="n">
        <v>0</v>
      </c>
      <c r="O500" t="n">
        <v>0</v>
      </c>
      <c r="P500" t="n">
        <v>0</v>
      </c>
      <c r="Q500" t="n">
        <v>1</v>
      </c>
      <c r="R500" s="2" t="inlineStr">
        <is>
          <t>Dvärghäxört</t>
        </is>
      </c>
      <c r="S500">
        <f>HYPERLINK("https://klasma.github.io/Logging_HULTSFRED/artfynd/A 32768-2021.xlsx", "A 32768-2021")</f>
        <v/>
      </c>
      <c r="T500">
        <f>HYPERLINK("https://klasma.github.io/Logging_HULTSFRED/kartor/A 32768-2021.png", "A 32768-2021")</f>
        <v/>
      </c>
      <c r="V500">
        <f>HYPERLINK("https://klasma.github.io/Logging_HULTSFRED/klagomål/A 32768-2021.docx", "A 32768-2021")</f>
        <v/>
      </c>
      <c r="W500">
        <f>HYPERLINK("https://klasma.github.io/Logging_HULTSFRED/klagomålsmail/A 32768-2021.docx", "A 32768-2021")</f>
        <v/>
      </c>
      <c r="X500">
        <f>HYPERLINK("https://klasma.github.io/Logging_HULTSFRED/tillsyn/A 32768-2021.docx", "A 32768-2021")</f>
        <v/>
      </c>
      <c r="Y500">
        <f>HYPERLINK("https://klasma.github.io/Logging_HULTSFRED/tillsynsmail/A 32768-2021.docx", "A 32768-2021")</f>
        <v/>
      </c>
    </row>
    <row r="501" ht="15" customHeight="1">
      <c r="A501" t="inlineStr">
        <is>
          <t>A 33837-2021</t>
        </is>
      </c>
      <c r="B501" s="1" t="n">
        <v>44378</v>
      </c>
      <c r="C501" s="1" t="n">
        <v>45190</v>
      </c>
      <c r="D501" t="inlineStr">
        <is>
          <t>KALMAR LÄN</t>
        </is>
      </c>
      <c r="E501" t="inlineStr">
        <is>
          <t>OSKARSHAMN</t>
        </is>
      </c>
      <c r="G501" t="n">
        <v>2.4</v>
      </c>
      <c r="H501" t="n">
        <v>0</v>
      </c>
      <c r="I501" t="n">
        <v>1</v>
      </c>
      <c r="J501" t="n">
        <v>0</v>
      </c>
      <c r="K501" t="n">
        <v>0</v>
      </c>
      <c r="L501" t="n">
        <v>0</v>
      </c>
      <c r="M501" t="n">
        <v>0</v>
      </c>
      <c r="N501" t="n">
        <v>0</v>
      </c>
      <c r="O501" t="n">
        <v>0</v>
      </c>
      <c r="P501" t="n">
        <v>0</v>
      </c>
      <c r="Q501" t="n">
        <v>1</v>
      </c>
      <c r="R501" s="2" t="inlineStr">
        <is>
          <t>Bronshjon</t>
        </is>
      </c>
      <c r="S501">
        <f>HYPERLINK("https://klasma.github.io/Logging_OSKARSHAMN/artfynd/A 33837-2021.xlsx", "A 33837-2021")</f>
        <v/>
      </c>
      <c r="T501">
        <f>HYPERLINK("https://klasma.github.io/Logging_OSKARSHAMN/kartor/A 33837-2021.png", "A 33837-2021")</f>
        <v/>
      </c>
      <c r="V501">
        <f>HYPERLINK("https://klasma.github.io/Logging_OSKARSHAMN/klagomål/A 33837-2021.docx", "A 33837-2021")</f>
        <v/>
      </c>
      <c r="W501">
        <f>HYPERLINK("https://klasma.github.io/Logging_OSKARSHAMN/klagomålsmail/A 33837-2021.docx", "A 33837-2021")</f>
        <v/>
      </c>
      <c r="X501">
        <f>HYPERLINK("https://klasma.github.io/Logging_OSKARSHAMN/tillsyn/A 33837-2021.docx", "A 33837-2021")</f>
        <v/>
      </c>
      <c r="Y501">
        <f>HYPERLINK("https://klasma.github.io/Logging_OSKARSHAMN/tillsynsmail/A 33837-2021.docx", "A 33837-2021")</f>
        <v/>
      </c>
    </row>
    <row r="502" ht="15" customHeight="1">
      <c r="A502" t="inlineStr">
        <is>
          <t>A 37438-2021</t>
        </is>
      </c>
      <c r="B502" s="1" t="n">
        <v>44398</v>
      </c>
      <c r="C502" s="1" t="n">
        <v>45190</v>
      </c>
      <c r="D502" t="inlineStr">
        <is>
          <t>KALMAR LÄN</t>
        </is>
      </c>
      <c r="E502" t="inlineStr">
        <is>
          <t>VÄSTERVIK</t>
        </is>
      </c>
      <c r="G502" t="n">
        <v>14.3</v>
      </c>
      <c r="H502" t="n">
        <v>1</v>
      </c>
      <c r="I502" t="n">
        <v>0</v>
      </c>
      <c r="J502" t="n">
        <v>0</v>
      </c>
      <c r="K502" t="n">
        <v>1</v>
      </c>
      <c r="L502" t="n">
        <v>0</v>
      </c>
      <c r="M502" t="n">
        <v>0</v>
      </c>
      <c r="N502" t="n">
        <v>0</v>
      </c>
      <c r="O502" t="n">
        <v>1</v>
      </c>
      <c r="P502" t="n">
        <v>1</v>
      </c>
      <c r="Q502" t="n">
        <v>1</v>
      </c>
      <c r="R502" s="2" t="inlineStr">
        <is>
          <t>Knärot</t>
        </is>
      </c>
      <c r="S502">
        <f>HYPERLINK("https://klasma.github.io/Logging_VASTERVIK/artfynd/A 37438-2021.xlsx", "A 37438-2021")</f>
        <v/>
      </c>
      <c r="T502">
        <f>HYPERLINK("https://klasma.github.io/Logging_VASTERVIK/kartor/A 37438-2021.png", "A 37438-2021")</f>
        <v/>
      </c>
      <c r="U502">
        <f>HYPERLINK("https://klasma.github.io/Logging_VASTERVIK/knärot/A 37438-2021.png", "A 37438-2021")</f>
        <v/>
      </c>
      <c r="V502">
        <f>HYPERLINK("https://klasma.github.io/Logging_VASTERVIK/klagomål/A 37438-2021.docx", "A 37438-2021")</f>
        <v/>
      </c>
      <c r="W502">
        <f>HYPERLINK("https://klasma.github.io/Logging_VASTERVIK/klagomålsmail/A 37438-2021.docx", "A 37438-2021")</f>
        <v/>
      </c>
      <c r="X502">
        <f>HYPERLINK("https://klasma.github.io/Logging_VASTERVIK/tillsyn/A 37438-2021.docx", "A 37438-2021")</f>
        <v/>
      </c>
      <c r="Y502">
        <f>HYPERLINK("https://klasma.github.io/Logging_VASTERVIK/tillsynsmail/A 37438-2021.docx", "A 37438-2021")</f>
        <v/>
      </c>
    </row>
    <row r="503" ht="15" customHeight="1">
      <c r="A503" t="inlineStr">
        <is>
          <t>A 37930-2021</t>
        </is>
      </c>
      <c r="B503" s="1" t="n">
        <v>44403</v>
      </c>
      <c r="C503" s="1" t="n">
        <v>45190</v>
      </c>
      <c r="D503" t="inlineStr">
        <is>
          <t>KALMAR LÄN</t>
        </is>
      </c>
      <c r="E503" t="inlineStr">
        <is>
          <t>VIMMERBY</t>
        </is>
      </c>
      <c r="G503" t="n">
        <v>4.4</v>
      </c>
      <c r="H503" t="n">
        <v>0</v>
      </c>
      <c r="I503" t="n">
        <v>0</v>
      </c>
      <c r="J503" t="n">
        <v>1</v>
      </c>
      <c r="K503" t="n">
        <v>0</v>
      </c>
      <c r="L503" t="n">
        <v>0</v>
      </c>
      <c r="M503" t="n">
        <v>0</v>
      </c>
      <c r="N503" t="n">
        <v>0</v>
      </c>
      <c r="O503" t="n">
        <v>1</v>
      </c>
      <c r="P503" t="n">
        <v>0</v>
      </c>
      <c r="Q503" t="n">
        <v>1</v>
      </c>
      <c r="R503" s="2" t="inlineStr">
        <is>
          <t>Spindelört</t>
        </is>
      </c>
      <c r="S503">
        <f>HYPERLINK("https://klasma.github.io/Logging_VIMMERBY/artfynd/A 37930-2021.xlsx", "A 37930-2021")</f>
        <v/>
      </c>
      <c r="T503">
        <f>HYPERLINK("https://klasma.github.io/Logging_VIMMERBY/kartor/A 37930-2021.png", "A 37930-2021")</f>
        <v/>
      </c>
      <c r="V503">
        <f>HYPERLINK("https://klasma.github.io/Logging_VIMMERBY/klagomål/A 37930-2021.docx", "A 37930-2021")</f>
        <v/>
      </c>
      <c r="W503">
        <f>HYPERLINK("https://klasma.github.io/Logging_VIMMERBY/klagomålsmail/A 37930-2021.docx", "A 37930-2021")</f>
        <v/>
      </c>
      <c r="X503">
        <f>HYPERLINK("https://klasma.github.io/Logging_VIMMERBY/tillsyn/A 37930-2021.docx", "A 37930-2021")</f>
        <v/>
      </c>
      <c r="Y503">
        <f>HYPERLINK("https://klasma.github.io/Logging_VIMMERBY/tillsynsmail/A 37930-2021.docx", "A 37930-2021")</f>
        <v/>
      </c>
    </row>
    <row r="504" ht="15" customHeight="1">
      <c r="A504" t="inlineStr">
        <is>
          <t>A 39875-2021</t>
        </is>
      </c>
      <c r="B504" s="1" t="n">
        <v>44417</v>
      </c>
      <c r="C504" s="1" t="n">
        <v>45190</v>
      </c>
      <c r="D504" t="inlineStr">
        <is>
          <t>KALMAR LÄN</t>
        </is>
      </c>
      <c r="E504" t="inlineStr">
        <is>
          <t>HULTSFRED</t>
        </is>
      </c>
      <c r="G504" t="n">
        <v>8</v>
      </c>
      <c r="H504" t="n">
        <v>1</v>
      </c>
      <c r="I504" t="n">
        <v>0</v>
      </c>
      <c r="J504" t="n">
        <v>1</v>
      </c>
      <c r="K504" t="n">
        <v>0</v>
      </c>
      <c r="L504" t="n">
        <v>0</v>
      </c>
      <c r="M504" t="n">
        <v>0</v>
      </c>
      <c r="N504" t="n">
        <v>0</v>
      </c>
      <c r="O504" t="n">
        <v>1</v>
      </c>
      <c r="P504" t="n">
        <v>0</v>
      </c>
      <c r="Q504" t="n">
        <v>1</v>
      </c>
      <c r="R504" s="2" t="inlineStr">
        <is>
          <t>Talltita</t>
        </is>
      </c>
      <c r="S504">
        <f>HYPERLINK("https://klasma.github.io/Logging_HULTSFRED/artfynd/A 39875-2021.xlsx", "A 39875-2021")</f>
        <v/>
      </c>
      <c r="T504">
        <f>HYPERLINK("https://klasma.github.io/Logging_HULTSFRED/kartor/A 39875-2021.png", "A 39875-2021")</f>
        <v/>
      </c>
      <c r="V504">
        <f>HYPERLINK("https://klasma.github.io/Logging_HULTSFRED/klagomål/A 39875-2021.docx", "A 39875-2021")</f>
        <v/>
      </c>
      <c r="W504">
        <f>HYPERLINK("https://klasma.github.io/Logging_HULTSFRED/klagomålsmail/A 39875-2021.docx", "A 39875-2021")</f>
        <v/>
      </c>
      <c r="X504">
        <f>HYPERLINK("https://klasma.github.io/Logging_HULTSFRED/tillsyn/A 39875-2021.docx", "A 39875-2021")</f>
        <v/>
      </c>
      <c r="Y504">
        <f>HYPERLINK("https://klasma.github.io/Logging_HULTSFRED/tillsynsmail/A 39875-2021.docx", "A 39875-2021")</f>
        <v/>
      </c>
    </row>
    <row r="505" ht="15" customHeight="1">
      <c r="A505" t="inlineStr">
        <is>
          <t>A 41263-2021</t>
        </is>
      </c>
      <c r="B505" s="1" t="n">
        <v>44424</v>
      </c>
      <c r="C505" s="1" t="n">
        <v>45190</v>
      </c>
      <c r="D505" t="inlineStr">
        <is>
          <t>KALMAR LÄN</t>
        </is>
      </c>
      <c r="E505" t="inlineStr">
        <is>
          <t>MÖNSTERÅS</t>
        </is>
      </c>
      <c r="G505" t="n">
        <v>4.1</v>
      </c>
      <c r="H505" t="n">
        <v>0</v>
      </c>
      <c r="I505" t="n">
        <v>0</v>
      </c>
      <c r="J505" t="n">
        <v>1</v>
      </c>
      <c r="K505" t="n">
        <v>0</v>
      </c>
      <c r="L505" t="n">
        <v>0</v>
      </c>
      <c r="M505" t="n">
        <v>0</v>
      </c>
      <c r="N505" t="n">
        <v>0</v>
      </c>
      <c r="O505" t="n">
        <v>1</v>
      </c>
      <c r="P505" t="n">
        <v>0</v>
      </c>
      <c r="Q505" t="n">
        <v>1</v>
      </c>
      <c r="R505" s="2" t="inlineStr">
        <is>
          <t>Leptoporus erubescens</t>
        </is>
      </c>
      <c r="S505">
        <f>HYPERLINK("https://klasma.github.io/Logging_MONSTERAS/artfynd/A 41263-2021.xlsx", "A 41263-2021")</f>
        <v/>
      </c>
      <c r="T505">
        <f>HYPERLINK("https://klasma.github.io/Logging_MONSTERAS/kartor/A 41263-2021.png", "A 41263-2021")</f>
        <v/>
      </c>
      <c r="V505">
        <f>HYPERLINK("https://klasma.github.io/Logging_MONSTERAS/klagomål/A 41263-2021.docx", "A 41263-2021")</f>
        <v/>
      </c>
      <c r="W505">
        <f>HYPERLINK("https://klasma.github.io/Logging_MONSTERAS/klagomålsmail/A 41263-2021.docx", "A 41263-2021")</f>
        <v/>
      </c>
      <c r="X505">
        <f>HYPERLINK("https://klasma.github.io/Logging_MONSTERAS/tillsyn/A 41263-2021.docx", "A 41263-2021")</f>
        <v/>
      </c>
      <c r="Y505">
        <f>HYPERLINK("https://klasma.github.io/Logging_MONSTERAS/tillsynsmail/A 41263-2021.docx", "A 41263-2021")</f>
        <v/>
      </c>
    </row>
    <row r="506" ht="15" customHeight="1">
      <c r="A506" t="inlineStr">
        <is>
          <t>A 42374-2021</t>
        </is>
      </c>
      <c r="B506" s="1" t="n">
        <v>44427</v>
      </c>
      <c r="C506" s="1" t="n">
        <v>45190</v>
      </c>
      <c r="D506" t="inlineStr">
        <is>
          <t>KALMAR LÄN</t>
        </is>
      </c>
      <c r="E506" t="inlineStr">
        <is>
          <t>OSKARSHAMN</t>
        </is>
      </c>
      <c r="G506" t="n">
        <v>29.4</v>
      </c>
      <c r="H506" t="n">
        <v>1</v>
      </c>
      <c r="I506" t="n">
        <v>0</v>
      </c>
      <c r="J506" t="n">
        <v>1</v>
      </c>
      <c r="K506" t="n">
        <v>0</v>
      </c>
      <c r="L506" t="n">
        <v>0</v>
      </c>
      <c r="M506" t="n">
        <v>0</v>
      </c>
      <c r="N506" t="n">
        <v>0</v>
      </c>
      <c r="O506" t="n">
        <v>1</v>
      </c>
      <c r="P506" t="n">
        <v>0</v>
      </c>
      <c r="Q506" t="n">
        <v>1</v>
      </c>
      <c r="R506" s="2" t="inlineStr">
        <is>
          <t>Talltita</t>
        </is>
      </c>
      <c r="S506">
        <f>HYPERLINK("https://klasma.github.io/Logging_OSKARSHAMN/artfynd/A 42374-2021.xlsx", "A 42374-2021")</f>
        <v/>
      </c>
      <c r="T506">
        <f>HYPERLINK("https://klasma.github.io/Logging_OSKARSHAMN/kartor/A 42374-2021.png", "A 42374-2021")</f>
        <v/>
      </c>
      <c r="V506">
        <f>HYPERLINK("https://klasma.github.io/Logging_OSKARSHAMN/klagomål/A 42374-2021.docx", "A 42374-2021")</f>
        <v/>
      </c>
      <c r="W506">
        <f>HYPERLINK("https://klasma.github.io/Logging_OSKARSHAMN/klagomålsmail/A 42374-2021.docx", "A 42374-2021")</f>
        <v/>
      </c>
      <c r="X506">
        <f>HYPERLINK("https://klasma.github.io/Logging_OSKARSHAMN/tillsyn/A 42374-2021.docx", "A 42374-2021")</f>
        <v/>
      </c>
      <c r="Y506">
        <f>HYPERLINK("https://klasma.github.io/Logging_OSKARSHAMN/tillsynsmail/A 42374-2021.docx", "A 42374-2021")</f>
        <v/>
      </c>
    </row>
    <row r="507" ht="15" customHeight="1">
      <c r="A507" t="inlineStr">
        <is>
          <t>A 44635-2021</t>
        </is>
      </c>
      <c r="B507" s="1" t="n">
        <v>44437</v>
      </c>
      <c r="C507" s="1" t="n">
        <v>45190</v>
      </c>
      <c r="D507" t="inlineStr">
        <is>
          <t>KALMAR LÄN</t>
        </is>
      </c>
      <c r="E507" t="inlineStr">
        <is>
          <t>VÄSTERVIK</t>
        </is>
      </c>
      <c r="G507" t="n">
        <v>0.9</v>
      </c>
      <c r="H507" t="n">
        <v>0</v>
      </c>
      <c r="I507" t="n">
        <v>1</v>
      </c>
      <c r="J507" t="n">
        <v>0</v>
      </c>
      <c r="K507" t="n">
        <v>0</v>
      </c>
      <c r="L507" t="n">
        <v>0</v>
      </c>
      <c r="M507" t="n">
        <v>0</v>
      </c>
      <c r="N507" t="n">
        <v>0</v>
      </c>
      <c r="O507" t="n">
        <v>0</v>
      </c>
      <c r="P507" t="n">
        <v>0</v>
      </c>
      <c r="Q507" t="n">
        <v>1</v>
      </c>
      <c r="R507" s="2" t="inlineStr">
        <is>
          <t>Brandticka</t>
        </is>
      </c>
      <c r="S507">
        <f>HYPERLINK("https://klasma.github.io/Logging_VASTERVIK/artfynd/A 44635-2021.xlsx", "A 44635-2021")</f>
        <v/>
      </c>
      <c r="T507">
        <f>HYPERLINK("https://klasma.github.io/Logging_VASTERVIK/kartor/A 44635-2021.png", "A 44635-2021")</f>
        <v/>
      </c>
      <c r="V507">
        <f>HYPERLINK("https://klasma.github.io/Logging_VASTERVIK/klagomål/A 44635-2021.docx", "A 44635-2021")</f>
        <v/>
      </c>
      <c r="W507">
        <f>HYPERLINK("https://klasma.github.io/Logging_VASTERVIK/klagomålsmail/A 44635-2021.docx", "A 44635-2021")</f>
        <v/>
      </c>
      <c r="X507">
        <f>HYPERLINK("https://klasma.github.io/Logging_VASTERVIK/tillsyn/A 44635-2021.docx", "A 44635-2021")</f>
        <v/>
      </c>
      <c r="Y507">
        <f>HYPERLINK("https://klasma.github.io/Logging_VASTERVIK/tillsynsmail/A 44635-2021.docx", "A 44635-2021")</f>
        <v/>
      </c>
    </row>
    <row r="508" ht="15" customHeight="1">
      <c r="A508" t="inlineStr">
        <is>
          <t>A 46550-2021</t>
        </is>
      </c>
      <c r="B508" s="1" t="n">
        <v>44445</v>
      </c>
      <c r="C508" s="1" t="n">
        <v>45190</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HYPERLINK("https://klasma.github.io/Logging_EMMABODA/artfynd/A 46550-2021.xlsx", "A 46550-2021")</f>
        <v/>
      </c>
      <c r="T508">
        <f>HYPERLINK("https://klasma.github.io/Logging_EMMABODA/kartor/A 46550-2021.png", "A 46550-2021")</f>
        <v/>
      </c>
      <c r="V508">
        <f>HYPERLINK("https://klasma.github.io/Logging_EMMABODA/klagomål/A 46550-2021.docx", "A 46550-2021")</f>
        <v/>
      </c>
      <c r="W508">
        <f>HYPERLINK("https://klasma.github.io/Logging_EMMABODA/klagomålsmail/A 46550-2021.docx", "A 46550-2021")</f>
        <v/>
      </c>
      <c r="X508">
        <f>HYPERLINK("https://klasma.github.io/Logging_EMMABODA/tillsyn/A 46550-2021.docx", "A 46550-2021")</f>
        <v/>
      </c>
      <c r="Y508">
        <f>HYPERLINK("https://klasma.github.io/Logging_EMMABODA/tillsynsmail/A 46550-2021.docx", "A 46550-2021")</f>
        <v/>
      </c>
    </row>
    <row r="509" ht="15" customHeight="1">
      <c r="A509" t="inlineStr">
        <is>
          <t>A 47860-2021</t>
        </is>
      </c>
      <c r="B509" s="1" t="n">
        <v>44448</v>
      </c>
      <c r="C509" s="1" t="n">
        <v>45190</v>
      </c>
      <c r="D509" t="inlineStr">
        <is>
          <t>KALMAR LÄN</t>
        </is>
      </c>
      <c r="E509" t="inlineStr">
        <is>
          <t>VÄSTERVIK</t>
        </is>
      </c>
      <c r="G509" t="n">
        <v>2.8</v>
      </c>
      <c r="H509" t="n">
        <v>0</v>
      </c>
      <c r="I509" t="n">
        <v>0</v>
      </c>
      <c r="J509" t="n">
        <v>1</v>
      </c>
      <c r="K509" t="n">
        <v>0</v>
      </c>
      <c r="L509" t="n">
        <v>0</v>
      </c>
      <c r="M509" t="n">
        <v>0</v>
      </c>
      <c r="N509" t="n">
        <v>0</v>
      </c>
      <c r="O509" t="n">
        <v>1</v>
      </c>
      <c r="P509" t="n">
        <v>0</v>
      </c>
      <c r="Q509" t="n">
        <v>1</v>
      </c>
      <c r="R509" s="2" t="inlineStr">
        <is>
          <t>Tallticka</t>
        </is>
      </c>
      <c r="S509">
        <f>HYPERLINK("https://klasma.github.io/Logging_VASTERVIK/artfynd/A 47860-2021.xlsx", "A 47860-2021")</f>
        <v/>
      </c>
      <c r="T509">
        <f>HYPERLINK("https://klasma.github.io/Logging_VASTERVIK/kartor/A 47860-2021.png", "A 47860-2021")</f>
        <v/>
      </c>
      <c r="V509">
        <f>HYPERLINK("https://klasma.github.io/Logging_VASTERVIK/klagomål/A 47860-2021.docx", "A 47860-2021")</f>
        <v/>
      </c>
      <c r="W509">
        <f>HYPERLINK("https://klasma.github.io/Logging_VASTERVIK/klagomålsmail/A 47860-2021.docx", "A 47860-2021")</f>
        <v/>
      </c>
      <c r="X509">
        <f>HYPERLINK("https://klasma.github.io/Logging_VASTERVIK/tillsyn/A 47860-2021.docx", "A 47860-2021")</f>
        <v/>
      </c>
      <c r="Y509">
        <f>HYPERLINK("https://klasma.github.io/Logging_VASTERVIK/tillsynsmail/A 47860-2021.docx", "A 47860-2021")</f>
        <v/>
      </c>
    </row>
    <row r="510" ht="15" customHeight="1">
      <c r="A510" t="inlineStr">
        <is>
          <t>A 48006-2021</t>
        </is>
      </c>
      <c r="B510" s="1" t="n">
        <v>44449</v>
      </c>
      <c r="C510" s="1" t="n">
        <v>45190</v>
      </c>
      <c r="D510" t="inlineStr">
        <is>
          <t>KALMAR LÄN</t>
        </is>
      </c>
      <c r="E510" t="inlineStr">
        <is>
          <t>NYBRO</t>
        </is>
      </c>
      <c r="F510" t="inlineStr">
        <is>
          <t>Sveaskog</t>
        </is>
      </c>
      <c r="G510" t="n">
        <v>1.2</v>
      </c>
      <c r="H510" t="n">
        <v>0</v>
      </c>
      <c r="I510" t="n">
        <v>1</v>
      </c>
      <c r="J510" t="n">
        <v>0</v>
      </c>
      <c r="K510" t="n">
        <v>0</v>
      </c>
      <c r="L510" t="n">
        <v>0</v>
      </c>
      <c r="M510" t="n">
        <v>0</v>
      </c>
      <c r="N510" t="n">
        <v>0</v>
      </c>
      <c r="O510" t="n">
        <v>0</v>
      </c>
      <c r="P510" t="n">
        <v>0</v>
      </c>
      <c r="Q510" t="n">
        <v>1</v>
      </c>
      <c r="R510" s="2" t="inlineStr">
        <is>
          <t>Rostfläck</t>
        </is>
      </c>
      <c r="S510">
        <f>HYPERLINK("https://klasma.github.io/Logging_NYBRO/artfynd/A 48006-2021.xlsx", "A 48006-2021")</f>
        <v/>
      </c>
      <c r="T510">
        <f>HYPERLINK("https://klasma.github.io/Logging_NYBRO/kartor/A 48006-2021.png", "A 48006-2021")</f>
        <v/>
      </c>
      <c r="V510">
        <f>HYPERLINK("https://klasma.github.io/Logging_NYBRO/klagomål/A 48006-2021.docx", "A 48006-2021")</f>
        <v/>
      </c>
      <c r="W510">
        <f>HYPERLINK("https://klasma.github.io/Logging_NYBRO/klagomålsmail/A 48006-2021.docx", "A 48006-2021")</f>
        <v/>
      </c>
      <c r="X510">
        <f>HYPERLINK("https://klasma.github.io/Logging_NYBRO/tillsyn/A 48006-2021.docx", "A 48006-2021")</f>
        <v/>
      </c>
      <c r="Y510">
        <f>HYPERLINK("https://klasma.github.io/Logging_NYBRO/tillsynsmail/A 48006-2021.docx", "A 48006-2021")</f>
        <v/>
      </c>
    </row>
    <row r="511" ht="15" customHeight="1">
      <c r="A511" t="inlineStr">
        <is>
          <t>A 49001-2021</t>
        </is>
      </c>
      <c r="B511" s="1" t="n">
        <v>44453</v>
      </c>
      <c r="C511" s="1" t="n">
        <v>45190</v>
      </c>
      <c r="D511" t="inlineStr">
        <is>
          <t>KALMAR LÄN</t>
        </is>
      </c>
      <c r="E511" t="inlineStr">
        <is>
          <t>TORSÅS</t>
        </is>
      </c>
      <c r="G511" t="n">
        <v>1</v>
      </c>
      <c r="H511" t="n">
        <v>0</v>
      </c>
      <c r="I511" t="n">
        <v>1</v>
      </c>
      <c r="J511" t="n">
        <v>0</v>
      </c>
      <c r="K511" t="n">
        <v>0</v>
      </c>
      <c r="L511" t="n">
        <v>0</v>
      </c>
      <c r="M511" t="n">
        <v>0</v>
      </c>
      <c r="N511" t="n">
        <v>0</v>
      </c>
      <c r="O511" t="n">
        <v>0</v>
      </c>
      <c r="P511" t="n">
        <v>0</v>
      </c>
      <c r="Q511" t="n">
        <v>1</v>
      </c>
      <c r="R511" s="2" t="inlineStr">
        <is>
          <t>Blåmossa</t>
        </is>
      </c>
      <c r="S511">
        <f>HYPERLINK("https://klasma.github.io/Logging_TORSAS/artfynd/A 49001-2021.xlsx", "A 49001-2021")</f>
        <v/>
      </c>
      <c r="T511">
        <f>HYPERLINK("https://klasma.github.io/Logging_TORSAS/kartor/A 49001-2021.png", "A 49001-2021")</f>
        <v/>
      </c>
      <c r="V511">
        <f>HYPERLINK("https://klasma.github.io/Logging_TORSAS/klagomål/A 49001-2021.docx", "A 49001-2021")</f>
        <v/>
      </c>
      <c r="W511">
        <f>HYPERLINK("https://klasma.github.io/Logging_TORSAS/klagomålsmail/A 49001-2021.docx", "A 49001-2021")</f>
        <v/>
      </c>
      <c r="X511">
        <f>HYPERLINK("https://klasma.github.io/Logging_TORSAS/tillsyn/A 49001-2021.docx", "A 49001-2021")</f>
        <v/>
      </c>
      <c r="Y511">
        <f>HYPERLINK("https://klasma.github.io/Logging_TORSAS/tillsynsmail/A 49001-2021.docx", "A 49001-2021")</f>
        <v/>
      </c>
    </row>
    <row r="512" ht="15" customHeight="1">
      <c r="A512" t="inlineStr">
        <is>
          <t>A 49410-2021</t>
        </is>
      </c>
      <c r="B512" s="1" t="n">
        <v>44454</v>
      </c>
      <c r="C512" s="1" t="n">
        <v>45190</v>
      </c>
      <c r="D512" t="inlineStr">
        <is>
          <t>KALMAR LÄN</t>
        </is>
      </c>
      <c r="E512" t="inlineStr">
        <is>
          <t>TORSÅS</t>
        </is>
      </c>
      <c r="G512" t="n">
        <v>0.6</v>
      </c>
      <c r="H512" t="n">
        <v>1</v>
      </c>
      <c r="I512" t="n">
        <v>0</v>
      </c>
      <c r="J512" t="n">
        <v>0</v>
      </c>
      <c r="K512" t="n">
        <v>0</v>
      </c>
      <c r="L512" t="n">
        <v>0</v>
      </c>
      <c r="M512" t="n">
        <v>0</v>
      </c>
      <c r="N512" t="n">
        <v>0</v>
      </c>
      <c r="O512" t="n">
        <v>0</v>
      </c>
      <c r="P512" t="n">
        <v>0</v>
      </c>
      <c r="Q512" t="n">
        <v>1</v>
      </c>
      <c r="R512" s="2" t="inlineStr">
        <is>
          <t>Nattviol</t>
        </is>
      </c>
      <c r="S512">
        <f>HYPERLINK("https://klasma.github.io/Logging_TORSAS/artfynd/A 49410-2021.xlsx", "A 49410-2021")</f>
        <v/>
      </c>
      <c r="T512">
        <f>HYPERLINK("https://klasma.github.io/Logging_TORSAS/kartor/A 49410-2021.png", "A 49410-2021")</f>
        <v/>
      </c>
      <c r="V512">
        <f>HYPERLINK("https://klasma.github.io/Logging_TORSAS/klagomål/A 49410-2021.docx", "A 49410-2021")</f>
        <v/>
      </c>
      <c r="W512">
        <f>HYPERLINK("https://klasma.github.io/Logging_TORSAS/klagomålsmail/A 49410-2021.docx", "A 49410-2021")</f>
        <v/>
      </c>
      <c r="X512">
        <f>HYPERLINK("https://klasma.github.io/Logging_TORSAS/tillsyn/A 49410-2021.docx", "A 49410-2021")</f>
        <v/>
      </c>
      <c r="Y512">
        <f>HYPERLINK("https://klasma.github.io/Logging_TORSAS/tillsynsmail/A 49410-2021.docx", "A 49410-2021")</f>
        <v/>
      </c>
    </row>
    <row r="513" ht="15" customHeight="1">
      <c r="A513" t="inlineStr">
        <is>
          <t>A 49919-2021</t>
        </is>
      </c>
      <c r="B513" s="1" t="n">
        <v>44455</v>
      </c>
      <c r="C513" s="1" t="n">
        <v>45190</v>
      </c>
      <c r="D513" t="inlineStr">
        <is>
          <t>KALMAR LÄN</t>
        </is>
      </c>
      <c r="E513" t="inlineStr">
        <is>
          <t>HULTSFRED</t>
        </is>
      </c>
      <c r="G513" t="n">
        <v>5</v>
      </c>
      <c r="H513" t="n">
        <v>0</v>
      </c>
      <c r="I513" t="n">
        <v>0</v>
      </c>
      <c r="J513" t="n">
        <v>1</v>
      </c>
      <c r="K513" t="n">
        <v>0</v>
      </c>
      <c r="L513" t="n">
        <v>0</v>
      </c>
      <c r="M513" t="n">
        <v>0</v>
      </c>
      <c r="N513" t="n">
        <v>0</v>
      </c>
      <c r="O513" t="n">
        <v>1</v>
      </c>
      <c r="P513" t="n">
        <v>0</v>
      </c>
      <c r="Q513" t="n">
        <v>1</v>
      </c>
      <c r="R513" s="2" t="inlineStr">
        <is>
          <t>Småjungfrukam</t>
        </is>
      </c>
      <c r="S513">
        <f>HYPERLINK("https://klasma.github.io/Logging_HULTSFRED/artfynd/A 49919-2021.xlsx", "A 49919-2021")</f>
        <v/>
      </c>
      <c r="T513">
        <f>HYPERLINK("https://klasma.github.io/Logging_HULTSFRED/kartor/A 49919-2021.png", "A 49919-2021")</f>
        <v/>
      </c>
      <c r="V513">
        <f>HYPERLINK("https://klasma.github.io/Logging_HULTSFRED/klagomål/A 49919-2021.docx", "A 49919-2021")</f>
        <v/>
      </c>
      <c r="W513">
        <f>HYPERLINK("https://klasma.github.io/Logging_HULTSFRED/klagomålsmail/A 49919-2021.docx", "A 49919-2021")</f>
        <v/>
      </c>
      <c r="X513">
        <f>HYPERLINK("https://klasma.github.io/Logging_HULTSFRED/tillsyn/A 49919-2021.docx", "A 49919-2021")</f>
        <v/>
      </c>
      <c r="Y513">
        <f>HYPERLINK("https://klasma.github.io/Logging_HULTSFRED/tillsynsmail/A 49919-2021.docx", "A 49919-2021")</f>
        <v/>
      </c>
    </row>
    <row r="514" ht="15" customHeight="1">
      <c r="A514" t="inlineStr">
        <is>
          <t>A 51244-2021</t>
        </is>
      </c>
      <c r="B514" s="1" t="n">
        <v>44460</v>
      </c>
      <c r="C514" s="1" t="n">
        <v>45190</v>
      </c>
      <c r="D514" t="inlineStr">
        <is>
          <t>KALMAR LÄN</t>
        </is>
      </c>
      <c r="E514" t="inlineStr">
        <is>
          <t>MÖRBYLÅNGA</t>
        </is>
      </c>
      <c r="G514" t="n">
        <v>1.9</v>
      </c>
      <c r="H514" t="n">
        <v>0</v>
      </c>
      <c r="I514" t="n">
        <v>0</v>
      </c>
      <c r="J514" t="n">
        <v>0</v>
      </c>
      <c r="K514" t="n">
        <v>0</v>
      </c>
      <c r="L514" t="n">
        <v>1</v>
      </c>
      <c r="M514" t="n">
        <v>0</v>
      </c>
      <c r="N514" t="n">
        <v>0</v>
      </c>
      <c r="O514" t="n">
        <v>1</v>
      </c>
      <c r="P514" t="n">
        <v>1</v>
      </c>
      <c r="Q514" t="n">
        <v>1</v>
      </c>
      <c r="R514" s="2" t="inlineStr">
        <is>
          <t>Stäppbandbi</t>
        </is>
      </c>
      <c r="S514">
        <f>HYPERLINK("https://klasma.github.io/Logging_MORBYLANGA/artfynd/A 51244-2021.xlsx", "A 51244-2021")</f>
        <v/>
      </c>
      <c r="T514">
        <f>HYPERLINK("https://klasma.github.io/Logging_MORBYLANGA/kartor/A 51244-2021.png", "A 51244-2021")</f>
        <v/>
      </c>
      <c r="V514">
        <f>HYPERLINK("https://klasma.github.io/Logging_MORBYLANGA/klagomål/A 51244-2021.docx", "A 51244-2021")</f>
        <v/>
      </c>
      <c r="W514">
        <f>HYPERLINK("https://klasma.github.io/Logging_MORBYLANGA/klagomålsmail/A 51244-2021.docx", "A 51244-2021")</f>
        <v/>
      </c>
      <c r="X514">
        <f>HYPERLINK("https://klasma.github.io/Logging_MORBYLANGA/tillsyn/A 51244-2021.docx", "A 51244-2021")</f>
        <v/>
      </c>
      <c r="Y514">
        <f>HYPERLINK("https://klasma.github.io/Logging_MORBYLANGA/tillsynsmail/A 51244-2021.docx", "A 51244-2021")</f>
        <v/>
      </c>
    </row>
    <row r="515" ht="15" customHeight="1">
      <c r="A515" t="inlineStr">
        <is>
          <t>A 52162-2021</t>
        </is>
      </c>
      <c r="B515" s="1" t="n">
        <v>44463</v>
      </c>
      <c r="C515" s="1" t="n">
        <v>45190</v>
      </c>
      <c r="D515" t="inlineStr">
        <is>
          <t>KALMAR LÄN</t>
        </is>
      </c>
      <c r="E515" t="inlineStr">
        <is>
          <t>OSKARSHAMN</t>
        </is>
      </c>
      <c r="G515" t="n">
        <v>14.1</v>
      </c>
      <c r="H515" t="n">
        <v>0</v>
      </c>
      <c r="I515" t="n">
        <v>0</v>
      </c>
      <c r="J515" t="n">
        <v>1</v>
      </c>
      <c r="K515" t="n">
        <v>0</v>
      </c>
      <c r="L515" t="n">
        <v>0</v>
      </c>
      <c r="M515" t="n">
        <v>0</v>
      </c>
      <c r="N515" t="n">
        <v>0</v>
      </c>
      <c r="O515" t="n">
        <v>1</v>
      </c>
      <c r="P515" t="n">
        <v>0</v>
      </c>
      <c r="Q515" t="n">
        <v>1</v>
      </c>
      <c r="R515" s="2" t="inlineStr">
        <is>
          <t>Vedskivlav</t>
        </is>
      </c>
      <c r="S515">
        <f>HYPERLINK("https://klasma.github.io/Logging_OSKARSHAMN/artfynd/A 52162-2021.xlsx", "A 52162-2021")</f>
        <v/>
      </c>
      <c r="T515">
        <f>HYPERLINK("https://klasma.github.io/Logging_OSKARSHAMN/kartor/A 52162-2021.png", "A 52162-2021")</f>
        <v/>
      </c>
      <c r="V515">
        <f>HYPERLINK("https://klasma.github.io/Logging_OSKARSHAMN/klagomål/A 52162-2021.docx", "A 52162-2021")</f>
        <v/>
      </c>
      <c r="W515">
        <f>HYPERLINK("https://klasma.github.io/Logging_OSKARSHAMN/klagomålsmail/A 52162-2021.docx", "A 52162-2021")</f>
        <v/>
      </c>
      <c r="X515">
        <f>HYPERLINK("https://klasma.github.io/Logging_OSKARSHAMN/tillsyn/A 52162-2021.docx", "A 52162-2021")</f>
        <v/>
      </c>
      <c r="Y515">
        <f>HYPERLINK("https://klasma.github.io/Logging_OSKARSHAMN/tillsynsmail/A 52162-2021.docx", "A 52162-2021")</f>
        <v/>
      </c>
    </row>
    <row r="516" ht="15" customHeight="1">
      <c r="A516" t="inlineStr">
        <is>
          <t>A 52670-2021</t>
        </is>
      </c>
      <c r="B516" s="1" t="n">
        <v>44466</v>
      </c>
      <c r="C516" s="1" t="n">
        <v>45190</v>
      </c>
      <c r="D516" t="inlineStr">
        <is>
          <t>KALMAR LÄN</t>
        </is>
      </c>
      <c r="E516" t="inlineStr">
        <is>
          <t>KALMAR</t>
        </is>
      </c>
      <c r="G516" t="n">
        <v>5.7</v>
      </c>
      <c r="H516" t="n">
        <v>1</v>
      </c>
      <c r="I516" t="n">
        <v>0</v>
      </c>
      <c r="J516" t="n">
        <v>0</v>
      </c>
      <c r="K516" t="n">
        <v>1</v>
      </c>
      <c r="L516" t="n">
        <v>0</v>
      </c>
      <c r="M516" t="n">
        <v>0</v>
      </c>
      <c r="N516" t="n">
        <v>0</v>
      </c>
      <c r="O516" t="n">
        <v>1</v>
      </c>
      <c r="P516" t="n">
        <v>1</v>
      </c>
      <c r="Q516" t="n">
        <v>1</v>
      </c>
      <c r="R516" s="2" t="inlineStr">
        <is>
          <t>Knärot</t>
        </is>
      </c>
      <c r="S516">
        <f>HYPERLINK("https://klasma.github.io/Logging_KALMAR/artfynd/A 52670-2021.xlsx", "A 52670-2021")</f>
        <v/>
      </c>
      <c r="T516">
        <f>HYPERLINK("https://klasma.github.io/Logging_KALMAR/kartor/A 52670-2021.png", "A 52670-2021")</f>
        <v/>
      </c>
      <c r="U516">
        <f>HYPERLINK("https://klasma.github.io/Logging_KALMAR/knärot/A 52670-2021.png", "A 52670-2021")</f>
        <v/>
      </c>
      <c r="V516">
        <f>HYPERLINK("https://klasma.github.io/Logging_KALMAR/klagomål/A 52670-2021.docx", "A 52670-2021")</f>
        <v/>
      </c>
      <c r="W516">
        <f>HYPERLINK("https://klasma.github.io/Logging_KALMAR/klagomålsmail/A 52670-2021.docx", "A 52670-2021")</f>
        <v/>
      </c>
      <c r="X516">
        <f>HYPERLINK("https://klasma.github.io/Logging_KALMAR/tillsyn/A 52670-2021.docx", "A 52670-2021")</f>
        <v/>
      </c>
      <c r="Y516">
        <f>HYPERLINK("https://klasma.github.io/Logging_KALMAR/tillsynsmail/A 52670-2021.docx", "A 52670-2021")</f>
        <v/>
      </c>
    </row>
    <row r="517" ht="15" customHeight="1">
      <c r="A517" t="inlineStr">
        <is>
          <t>A 52831-2021</t>
        </is>
      </c>
      <c r="B517" s="1" t="n">
        <v>44467</v>
      </c>
      <c r="C517" s="1" t="n">
        <v>45190</v>
      </c>
      <c r="D517" t="inlineStr">
        <is>
          <t>KALMAR LÄN</t>
        </is>
      </c>
      <c r="E517" t="inlineStr">
        <is>
          <t>VÄSTERVIK</t>
        </is>
      </c>
      <c r="G517" t="n">
        <v>0.8</v>
      </c>
      <c r="H517" t="n">
        <v>0</v>
      </c>
      <c r="I517" t="n">
        <v>0</v>
      </c>
      <c r="J517" t="n">
        <v>1</v>
      </c>
      <c r="K517" t="n">
        <v>0</v>
      </c>
      <c r="L517" t="n">
        <v>0</v>
      </c>
      <c r="M517" t="n">
        <v>0</v>
      </c>
      <c r="N517" t="n">
        <v>0</v>
      </c>
      <c r="O517" t="n">
        <v>1</v>
      </c>
      <c r="P517" t="n">
        <v>0</v>
      </c>
      <c r="Q517" t="n">
        <v>1</v>
      </c>
      <c r="R517" s="2" t="inlineStr">
        <is>
          <t>Tallticka</t>
        </is>
      </c>
      <c r="S517">
        <f>HYPERLINK("https://klasma.github.io/Logging_VASTERVIK/artfynd/A 52831-2021.xlsx", "A 52831-2021")</f>
        <v/>
      </c>
      <c r="T517">
        <f>HYPERLINK("https://klasma.github.io/Logging_VASTERVIK/kartor/A 52831-2021.png", "A 52831-2021")</f>
        <v/>
      </c>
      <c r="V517">
        <f>HYPERLINK("https://klasma.github.io/Logging_VASTERVIK/klagomål/A 52831-2021.docx", "A 52831-2021")</f>
        <v/>
      </c>
      <c r="W517">
        <f>HYPERLINK("https://klasma.github.io/Logging_VASTERVIK/klagomålsmail/A 52831-2021.docx", "A 52831-2021")</f>
        <v/>
      </c>
      <c r="X517">
        <f>HYPERLINK("https://klasma.github.io/Logging_VASTERVIK/tillsyn/A 52831-2021.docx", "A 52831-2021")</f>
        <v/>
      </c>
      <c r="Y517">
        <f>HYPERLINK("https://klasma.github.io/Logging_VASTERVIK/tillsynsmail/A 52831-2021.docx", "A 52831-2021")</f>
        <v/>
      </c>
    </row>
    <row r="518" ht="15" customHeight="1">
      <c r="A518" t="inlineStr">
        <is>
          <t>A 53738-2021</t>
        </is>
      </c>
      <c r="B518" s="1" t="n">
        <v>44467</v>
      </c>
      <c r="C518" s="1" t="n">
        <v>45190</v>
      </c>
      <c r="D518" t="inlineStr">
        <is>
          <t>KALMAR LÄN</t>
        </is>
      </c>
      <c r="E518" t="inlineStr">
        <is>
          <t>VÄSTERVIK</t>
        </is>
      </c>
      <c r="G518" t="n">
        <v>2.8</v>
      </c>
      <c r="H518" t="n">
        <v>1</v>
      </c>
      <c r="I518" t="n">
        <v>0</v>
      </c>
      <c r="J518" t="n">
        <v>0</v>
      </c>
      <c r="K518" t="n">
        <v>1</v>
      </c>
      <c r="L518" t="n">
        <v>0</v>
      </c>
      <c r="M518" t="n">
        <v>0</v>
      </c>
      <c r="N518" t="n">
        <v>0</v>
      </c>
      <c r="O518" t="n">
        <v>1</v>
      </c>
      <c r="P518" t="n">
        <v>1</v>
      </c>
      <c r="Q518" t="n">
        <v>1</v>
      </c>
      <c r="R518" s="2" t="inlineStr">
        <is>
          <t>Knärot</t>
        </is>
      </c>
      <c r="S518">
        <f>HYPERLINK("https://klasma.github.io/Logging_VASTERVIK/artfynd/A 53738-2021.xlsx", "A 53738-2021")</f>
        <v/>
      </c>
      <c r="T518">
        <f>HYPERLINK("https://klasma.github.io/Logging_VASTERVIK/kartor/A 53738-2021.png", "A 53738-2021")</f>
        <v/>
      </c>
      <c r="U518">
        <f>HYPERLINK("https://klasma.github.io/Logging_VASTERVIK/knärot/A 53738-2021.png", "A 53738-2021")</f>
        <v/>
      </c>
      <c r="V518">
        <f>HYPERLINK("https://klasma.github.io/Logging_VASTERVIK/klagomål/A 53738-2021.docx", "A 53738-2021")</f>
        <v/>
      </c>
      <c r="W518">
        <f>HYPERLINK("https://klasma.github.io/Logging_VASTERVIK/klagomålsmail/A 53738-2021.docx", "A 53738-2021")</f>
        <v/>
      </c>
      <c r="X518">
        <f>HYPERLINK("https://klasma.github.io/Logging_VASTERVIK/tillsyn/A 53738-2021.docx", "A 53738-2021")</f>
        <v/>
      </c>
      <c r="Y518">
        <f>HYPERLINK("https://klasma.github.io/Logging_VASTERVIK/tillsynsmail/A 53738-2021.docx", "A 53738-2021")</f>
        <v/>
      </c>
    </row>
    <row r="519" ht="15" customHeight="1">
      <c r="A519" t="inlineStr">
        <is>
          <t>A 54192-2021</t>
        </is>
      </c>
      <c r="B519" s="1" t="n">
        <v>44470</v>
      </c>
      <c r="C519" s="1" t="n">
        <v>45190</v>
      </c>
      <c r="D519" t="inlineStr">
        <is>
          <t>KALMAR LÄN</t>
        </is>
      </c>
      <c r="E519" t="inlineStr">
        <is>
          <t>MÖRBYLÅNGA</t>
        </is>
      </c>
      <c r="G519" t="n">
        <v>1.5</v>
      </c>
      <c r="H519" t="n">
        <v>0</v>
      </c>
      <c r="I519" t="n">
        <v>0</v>
      </c>
      <c r="J519" t="n">
        <v>1</v>
      </c>
      <c r="K519" t="n">
        <v>0</v>
      </c>
      <c r="L519" t="n">
        <v>0</v>
      </c>
      <c r="M519" t="n">
        <v>0</v>
      </c>
      <c r="N519" t="n">
        <v>0</v>
      </c>
      <c r="O519" t="n">
        <v>1</v>
      </c>
      <c r="P519" t="n">
        <v>0</v>
      </c>
      <c r="Q519" t="n">
        <v>1</v>
      </c>
      <c r="R519" s="2" t="inlineStr">
        <is>
          <t>Sminkrot</t>
        </is>
      </c>
      <c r="S519">
        <f>HYPERLINK("https://klasma.github.io/Logging_MORBYLANGA/artfynd/A 54192-2021.xlsx", "A 54192-2021")</f>
        <v/>
      </c>
      <c r="T519">
        <f>HYPERLINK("https://klasma.github.io/Logging_MORBYLANGA/kartor/A 54192-2021.png", "A 54192-2021")</f>
        <v/>
      </c>
      <c r="V519">
        <f>HYPERLINK("https://klasma.github.io/Logging_MORBYLANGA/klagomål/A 54192-2021.docx", "A 54192-2021")</f>
        <v/>
      </c>
      <c r="W519">
        <f>HYPERLINK("https://klasma.github.io/Logging_MORBYLANGA/klagomålsmail/A 54192-2021.docx", "A 54192-2021")</f>
        <v/>
      </c>
      <c r="X519">
        <f>HYPERLINK("https://klasma.github.io/Logging_MORBYLANGA/tillsyn/A 54192-2021.docx", "A 54192-2021")</f>
        <v/>
      </c>
      <c r="Y519">
        <f>HYPERLINK("https://klasma.github.io/Logging_MORBYLANGA/tillsynsmail/A 54192-2021.docx", "A 54192-2021")</f>
        <v/>
      </c>
    </row>
    <row r="520" ht="15" customHeight="1">
      <c r="A520" t="inlineStr">
        <is>
          <t>A 56618-2021</t>
        </is>
      </c>
      <c r="B520" s="1" t="n">
        <v>44480</v>
      </c>
      <c r="C520" s="1" t="n">
        <v>45190</v>
      </c>
      <c r="D520" t="inlineStr">
        <is>
          <t>KALMAR LÄN</t>
        </is>
      </c>
      <c r="E520" t="inlineStr">
        <is>
          <t>VÄSTERVIK</t>
        </is>
      </c>
      <c r="G520" t="n">
        <v>1.5</v>
      </c>
      <c r="H520" t="n">
        <v>0</v>
      </c>
      <c r="I520" t="n">
        <v>0</v>
      </c>
      <c r="J520" t="n">
        <v>1</v>
      </c>
      <c r="K520" t="n">
        <v>0</v>
      </c>
      <c r="L520" t="n">
        <v>0</v>
      </c>
      <c r="M520" t="n">
        <v>0</v>
      </c>
      <c r="N520" t="n">
        <v>0</v>
      </c>
      <c r="O520" t="n">
        <v>1</v>
      </c>
      <c r="P520" t="n">
        <v>0</v>
      </c>
      <c r="Q520" t="n">
        <v>1</v>
      </c>
      <c r="R520" s="2" t="inlineStr">
        <is>
          <t>Tallticka</t>
        </is>
      </c>
      <c r="S520">
        <f>HYPERLINK("https://klasma.github.io/Logging_VASTERVIK/artfynd/A 56618-2021.xlsx", "A 56618-2021")</f>
        <v/>
      </c>
      <c r="T520">
        <f>HYPERLINK("https://klasma.github.io/Logging_VASTERVIK/kartor/A 56618-2021.png", "A 56618-2021")</f>
        <v/>
      </c>
      <c r="V520">
        <f>HYPERLINK("https://klasma.github.io/Logging_VASTERVIK/klagomål/A 56618-2021.docx", "A 56618-2021")</f>
        <v/>
      </c>
      <c r="W520">
        <f>HYPERLINK("https://klasma.github.io/Logging_VASTERVIK/klagomålsmail/A 56618-2021.docx", "A 56618-2021")</f>
        <v/>
      </c>
      <c r="X520">
        <f>HYPERLINK("https://klasma.github.io/Logging_VASTERVIK/tillsyn/A 56618-2021.docx", "A 56618-2021")</f>
        <v/>
      </c>
      <c r="Y520">
        <f>HYPERLINK("https://klasma.github.io/Logging_VASTERVIK/tillsynsmail/A 56618-2021.docx", "A 56618-2021")</f>
        <v/>
      </c>
    </row>
    <row r="521" ht="15" customHeight="1">
      <c r="A521" t="inlineStr">
        <is>
          <t>A 57058-2021</t>
        </is>
      </c>
      <c r="B521" s="1" t="n">
        <v>44482</v>
      </c>
      <c r="C521" s="1" t="n">
        <v>45190</v>
      </c>
      <c r="D521" t="inlineStr">
        <is>
          <t>KALMAR LÄN</t>
        </is>
      </c>
      <c r="E521" t="inlineStr">
        <is>
          <t>KALMAR</t>
        </is>
      </c>
      <c r="G521" t="n">
        <v>7.3</v>
      </c>
      <c r="H521" t="n">
        <v>1</v>
      </c>
      <c r="I521" t="n">
        <v>0</v>
      </c>
      <c r="J521" t="n">
        <v>0</v>
      </c>
      <c r="K521" t="n">
        <v>1</v>
      </c>
      <c r="L521" t="n">
        <v>0</v>
      </c>
      <c r="M521" t="n">
        <v>0</v>
      </c>
      <c r="N521" t="n">
        <v>0</v>
      </c>
      <c r="O521" t="n">
        <v>1</v>
      </c>
      <c r="P521" t="n">
        <v>1</v>
      </c>
      <c r="Q521" t="n">
        <v>1</v>
      </c>
      <c r="R521" s="2" t="inlineStr">
        <is>
          <t>Knärot</t>
        </is>
      </c>
      <c r="S521">
        <f>HYPERLINK("https://klasma.github.io/Logging_KALMAR/artfynd/A 57058-2021.xlsx", "A 57058-2021")</f>
        <v/>
      </c>
      <c r="T521">
        <f>HYPERLINK("https://klasma.github.io/Logging_KALMAR/kartor/A 57058-2021.png", "A 57058-2021")</f>
        <v/>
      </c>
      <c r="U521">
        <f>HYPERLINK("https://klasma.github.io/Logging_KALMAR/knärot/A 57058-2021.png", "A 57058-2021")</f>
        <v/>
      </c>
      <c r="V521">
        <f>HYPERLINK("https://klasma.github.io/Logging_KALMAR/klagomål/A 57058-2021.docx", "A 57058-2021")</f>
        <v/>
      </c>
      <c r="W521">
        <f>HYPERLINK("https://klasma.github.io/Logging_KALMAR/klagomålsmail/A 57058-2021.docx", "A 57058-2021")</f>
        <v/>
      </c>
      <c r="X521">
        <f>HYPERLINK("https://klasma.github.io/Logging_KALMAR/tillsyn/A 57058-2021.docx", "A 57058-2021")</f>
        <v/>
      </c>
      <c r="Y521">
        <f>HYPERLINK("https://klasma.github.io/Logging_KALMAR/tillsynsmail/A 57058-2021.docx", "A 57058-2021")</f>
        <v/>
      </c>
    </row>
    <row r="522" ht="15" customHeight="1">
      <c r="A522" t="inlineStr">
        <is>
          <t>A 58044-2021</t>
        </is>
      </c>
      <c r="B522" s="1" t="n">
        <v>44487</v>
      </c>
      <c r="C522" s="1" t="n">
        <v>45190</v>
      </c>
      <c r="D522" t="inlineStr">
        <is>
          <t>KALMAR LÄN</t>
        </is>
      </c>
      <c r="E522" t="inlineStr">
        <is>
          <t>KALMAR</t>
        </is>
      </c>
      <c r="G522" t="n">
        <v>8.4</v>
      </c>
      <c r="H522" t="n">
        <v>1</v>
      </c>
      <c r="I522" t="n">
        <v>0</v>
      </c>
      <c r="J522" t="n">
        <v>0</v>
      </c>
      <c r="K522" t="n">
        <v>1</v>
      </c>
      <c r="L522" t="n">
        <v>0</v>
      </c>
      <c r="M522" t="n">
        <v>0</v>
      </c>
      <c r="N522" t="n">
        <v>0</v>
      </c>
      <c r="O522" t="n">
        <v>1</v>
      </c>
      <c r="P522" t="n">
        <v>1</v>
      </c>
      <c r="Q522" t="n">
        <v>1</v>
      </c>
      <c r="R522" s="2" t="inlineStr">
        <is>
          <t>Knärot</t>
        </is>
      </c>
      <c r="S522">
        <f>HYPERLINK("https://klasma.github.io/Logging_KALMAR/artfynd/A 58044-2021.xlsx", "A 58044-2021")</f>
        <v/>
      </c>
      <c r="T522">
        <f>HYPERLINK("https://klasma.github.io/Logging_KALMAR/kartor/A 58044-2021.png", "A 58044-2021")</f>
        <v/>
      </c>
      <c r="U522">
        <f>HYPERLINK("https://klasma.github.io/Logging_KALMAR/knärot/A 58044-2021.png", "A 58044-2021")</f>
        <v/>
      </c>
      <c r="V522">
        <f>HYPERLINK("https://klasma.github.io/Logging_KALMAR/klagomål/A 58044-2021.docx", "A 58044-2021")</f>
        <v/>
      </c>
      <c r="W522">
        <f>HYPERLINK("https://klasma.github.io/Logging_KALMAR/klagomålsmail/A 58044-2021.docx", "A 58044-2021")</f>
        <v/>
      </c>
      <c r="X522">
        <f>HYPERLINK("https://klasma.github.io/Logging_KALMAR/tillsyn/A 58044-2021.docx", "A 58044-2021")</f>
        <v/>
      </c>
      <c r="Y522">
        <f>HYPERLINK("https://klasma.github.io/Logging_KALMAR/tillsynsmail/A 58044-2021.docx", "A 58044-2021")</f>
        <v/>
      </c>
    </row>
    <row r="523" ht="15" customHeight="1">
      <c r="A523" t="inlineStr">
        <is>
          <t>A 58297-2021</t>
        </is>
      </c>
      <c r="B523" s="1" t="n">
        <v>44488</v>
      </c>
      <c r="C523" s="1" t="n">
        <v>45190</v>
      </c>
      <c r="D523" t="inlineStr">
        <is>
          <t>KALMAR LÄN</t>
        </is>
      </c>
      <c r="E523" t="inlineStr">
        <is>
          <t>EMMABODA</t>
        </is>
      </c>
      <c r="F523" t="inlineStr">
        <is>
          <t>Kommuner</t>
        </is>
      </c>
      <c r="G523" t="n">
        <v>1.6</v>
      </c>
      <c r="H523" t="n">
        <v>0</v>
      </c>
      <c r="I523" t="n">
        <v>0</v>
      </c>
      <c r="J523" t="n">
        <v>1</v>
      </c>
      <c r="K523" t="n">
        <v>0</v>
      </c>
      <c r="L523" t="n">
        <v>0</v>
      </c>
      <c r="M523" t="n">
        <v>0</v>
      </c>
      <c r="N523" t="n">
        <v>0</v>
      </c>
      <c r="O523" t="n">
        <v>1</v>
      </c>
      <c r="P523" t="n">
        <v>0</v>
      </c>
      <c r="Q523" t="n">
        <v>1</v>
      </c>
      <c r="R523" s="2" t="inlineStr">
        <is>
          <t>Åkerkål</t>
        </is>
      </c>
      <c r="S523">
        <f>HYPERLINK("https://klasma.github.io/Logging_EMMABODA/artfynd/A 58297-2021.xlsx", "A 58297-2021")</f>
        <v/>
      </c>
      <c r="T523">
        <f>HYPERLINK("https://klasma.github.io/Logging_EMMABODA/kartor/A 58297-2021.png", "A 58297-2021")</f>
        <v/>
      </c>
      <c r="V523">
        <f>HYPERLINK("https://klasma.github.io/Logging_EMMABODA/klagomål/A 58297-2021.docx", "A 58297-2021")</f>
        <v/>
      </c>
      <c r="W523">
        <f>HYPERLINK("https://klasma.github.io/Logging_EMMABODA/klagomålsmail/A 58297-2021.docx", "A 58297-2021")</f>
        <v/>
      </c>
      <c r="X523">
        <f>HYPERLINK("https://klasma.github.io/Logging_EMMABODA/tillsyn/A 58297-2021.docx", "A 58297-2021")</f>
        <v/>
      </c>
      <c r="Y523">
        <f>HYPERLINK("https://klasma.github.io/Logging_EMMABODA/tillsynsmail/A 58297-2021.docx", "A 58297-2021")</f>
        <v/>
      </c>
    </row>
    <row r="524" ht="15" customHeight="1">
      <c r="A524" t="inlineStr">
        <is>
          <t>A 58765-2021</t>
        </is>
      </c>
      <c r="B524" s="1" t="n">
        <v>44489</v>
      </c>
      <c r="C524" s="1" t="n">
        <v>45190</v>
      </c>
      <c r="D524" t="inlineStr">
        <is>
          <t>KALMAR LÄN</t>
        </is>
      </c>
      <c r="E524" t="inlineStr">
        <is>
          <t>NYBRO</t>
        </is>
      </c>
      <c r="G524" t="n">
        <v>0.8</v>
      </c>
      <c r="H524" t="n">
        <v>1</v>
      </c>
      <c r="I524" t="n">
        <v>0</v>
      </c>
      <c r="J524" t="n">
        <v>0</v>
      </c>
      <c r="K524" t="n">
        <v>0</v>
      </c>
      <c r="L524" t="n">
        <v>0</v>
      </c>
      <c r="M524" t="n">
        <v>0</v>
      </c>
      <c r="N524" t="n">
        <v>0</v>
      </c>
      <c r="O524" t="n">
        <v>0</v>
      </c>
      <c r="P524" t="n">
        <v>0</v>
      </c>
      <c r="Q524" t="n">
        <v>1</v>
      </c>
      <c r="R524" s="2" t="inlineStr">
        <is>
          <t>Mattlummer</t>
        </is>
      </c>
      <c r="S524">
        <f>HYPERLINK("https://klasma.github.io/Logging_NYBRO/artfynd/A 58765-2021.xlsx", "A 58765-2021")</f>
        <v/>
      </c>
      <c r="T524">
        <f>HYPERLINK("https://klasma.github.io/Logging_NYBRO/kartor/A 58765-2021.png", "A 58765-2021")</f>
        <v/>
      </c>
      <c r="V524">
        <f>HYPERLINK("https://klasma.github.io/Logging_NYBRO/klagomål/A 58765-2021.docx", "A 58765-2021")</f>
        <v/>
      </c>
      <c r="W524">
        <f>HYPERLINK("https://klasma.github.io/Logging_NYBRO/klagomålsmail/A 58765-2021.docx", "A 58765-2021")</f>
        <v/>
      </c>
      <c r="X524">
        <f>HYPERLINK("https://klasma.github.io/Logging_NYBRO/tillsyn/A 58765-2021.docx", "A 58765-2021")</f>
        <v/>
      </c>
      <c r="Y524">
        <f>HYPERLINK("https://klasma.github.io/Logging_NYBRO/tillsynsmail/A 58765-2021.docx", "A 58765-2021")</f>
        <v/>
      </c>
    </row>
    <row r="525" ht="15" customHeight="1">
      <c r="A525" t="inlineStr">
        <is>
          <t>A 58927-2021</t>
        </is>
      </c>
      <c r="B525" s="1" t="n">
        <v>44489</v>
      </c>
      <c r="C525" s="1" t="n">
        <v>45190</v>
      </c>
      <c r="D525" t="inlineStr">
        <is>
          <t>KALMAR LÄN</t>
        </is>
      </c>
      <c r="E525" t="inlineStr">
        <is>
          <t>KALMAR</t>
        </is>
      </c>
      <c r="G525" t="n">
        <v>3.6</v>
      </c>
      <c r="H525" t="n">
        <v>1</v>
      </c>
      <c r="I525" t="n">
        <v>0</v>
      </c>
      <c r="J525" t="n">
        <v>1</v>
      </c>
      <c r="K525" t="n">
        <v>0</v>
      </c>
      <c r="L525" t="n">
        <v>0</v>
      </c>
      <c r="M525" t="n">
        <v>0</v>
      </c>
      <c r="N525" t="n">
        <v>0</v>
      </c>
      <c r="O525" t="n">
        <v>1</v>
      </c>
      <c r="P525" t="n">
        <v>0</v>
      </c>
      <c r="Q525" t="n">
        <v>1</v>
      </c>
      <c r="R525" s="2" t="inlineStr">
        <is>
          <t>Talltita</t>
        </is>
      </c>
      <c r="S525">
        <f>HYPERLINK("https://klasma.github.io/Logging_KALMAR/artfynd/A 58927-2021.xlsx", "A 58927-2021")</f>
        <v/>
      </c>
      <c r="T525">
        <f>HYPERLINK("https://klasma.github.io/Logging_KALMAR/kartor/A 58927-2021.png", "A 58927-2021")</f>
        <v/>
      </c>
      <c r="V525">
        <f>HYPERLINK("https://klasma.github.io/Logging_KALMAR/klagomål/A 58927-2021.docx", "A 58927-2021")</f>
        <v/>
      </c>
      <c r="W525">
        <f>HYPERLINK("https://klasma.github.io/Logging_KALMAR/klagomålsmail/A 58927-2021.docx", "A 58927-2021")</f>
        <v/>
      </c>
      <c r="X525">
        <f>HYPERLINK("https://klasma.github.io/Logging_KALMAR/tillsyn/A 58927-2021.docx", "A 58927-2021")</f>
        <v/>
      </c>
      <c r="Y525">
        <f>HYPERLINK("https://klasma.github.io/Logging_KALMAR/tillsynsmail/A 58927-2021.docx", "A 58927-2021")</f>
        <v/>
      </c>
    </row>
    <row r="526" ht="15" customHeight="1">
      <c r="A526" t="inlineStr">
        <is>
          <t>A 59683-2021</t>
        </is>
      </c>
      <c r="B526" s="1" t="n">
        <v>44494</v>
      </c>
      <c r="C526" s="1" t="n">
        <v>45190</v>
      </c>
      <c r="D526" t="inlineStr">
        <is>
          <t>KALMAR LÄN</t>
        </is>
      </c>
      <c r="E526" t="inlineStr">
        <is>
          <t>OSKARSHAMN</t>
        </is>
      </c>
      <c r="G526" t="n">
        <v>1.6</v>
      </c>
      <c r="H526" t="n">
        <v>1</v>
      </c>
      <c r="I526" t="n">
        <v>0</v>
      </c>
      <c r="J526" t="n">
        <v>1</v>
      </c>
      <c r="K526" t="n">
        <v>0</v>
      </c>
      <c r="L526" t="n">
        <v>0</v>
      </c>
      <c r="M526" t="n">
        <v>0</v>
      </c>
      <c r="N526" t="n">
        <v>0</v>
      </c>
      <c r="O526" t="n">
        <v>1</v>
      </c>
      <c r="P526" t="n">
        <v>0</v>
      </c>
      <c r="Q526" t="n">
        <v>1</v>
      </c>
      <c r="R526" s="2" t="inlineStr">
        <is>
          <t>Talltita</t>
        </is>
      </c>
      <c r="S526">
        <f>HYPERLINK("https://klasma.github.io/Logging_OSKARSHAMN/artfynd/A 59683-2021.xlsx", "A 59683-2021")</f>
        <v/>
      </c>
      <c r="T526">
        <f>HYPERLINK("https://klasma.github.io/Logging_OSKARSHAMN/kartor/A 59683-2021.png", "A 59683-2021")</f>
        <v/>
      </c>
      <c r="V526">
        <f>HYPERLINK("https://klasma.github.io/Logging_OSKARSHAMN/klagomål/A 59683-2021.docx", "A 59683-2021")</f>
        <v/>
      </c>
      <c r="W526">
        <f>HYPERLINK("https://klasma.github.io/Logging_OSKARSHAMN/klagomålsmail/A 59683-2021.docx", "A 59683-2021")</f>
        <v/>
      </c>
      <c r="X526">
        <f>HYPERLINK("https://klasma.github.io/Logging_OSKARSHAMN/tillsyn/A 59683-2021.docx", "A 59683-2021")</f>
        <v/>
      </c>
      <c r="Y526">
        <f>HYPERLINK("https://klasma.github.io/Logging_OSKARSHAMN/tillsynsmail/A 59683-2021.docx", "A 59683-2021")</f>
        <v/>
      </c>
    </row>
    <row r="527" ht="15" customHeight="1">
      <c r="A527" t="inlineStr">
        <is>
          <t>A 60257-2021</t>
        </is>
      </c>
      <c r="B527" s="1" t="n">
        <v>44495</v>
      </c>
      <c r="C527" s="1" t="n">
        <v>45190</v>
      </c>
      <c r="D527" t="inlineStr">
        <is>
          <t>KALMAR LÄN</t>
        </is>
      </c>
      <c r="E527" t="inlineStr">
        <is>
          <t>EMMABODA</t>
        </is>
      </c>
      <c r="G527" t="n">
        <v>0.7</v>
      </c>
      <c r="H527" t="n">
        <v>1</v>
      </c>
      <c r="I527" t="n">
        <v>0</v>
      </c>
      <c r="J527" t="n">
        <v>0</v>
      </c>
      <c r="K527" t="n">
        <v>1</v>
      </c>
      <c r="L527" t="n">
        <v>0</v>
      </c>
      <c r="M527" t="n">
        <v>0</v>
      </c>
      <c r="N527" t="n">
        <v>0</v>
      </c>
      <c r="O527" t="n">
        <v>1</v>
      </c>
      <c r="P527" t="n">
        <v>1</v>
      </c>
      <c r="Q527" t="n">
        <v>1</v>
      </c>
      <c r="R527" s="2" t="inlineStr">
        <is>
          <t>Knärot</t>
        </is>
      </c>
      <c r="S527">
        <f>HYPERLINK("https://klasma.github.io/Logging_EMMABODA/artfynd/A 60257-2021.xlsx", "A 60257-2021")</f>
        <v/>
      </c>
      <c r="T527">
        <f>HYPERLINK("https://klasma.github.io/Logging_EMMABODA/kartor/A 60257-2021.png", "A 60257-2021")</f>
        <v/>
      </c>
      <c r="U527">
        <f>HYPERLINK("https://klasma.github.io/Logging_EMMABODA/knärot/A 60257-2021.png", "A 60257-2021")</f>
        <v/>
      </c>
      <c r="V527">
        <f>HYPERLINK("https://klasma.github.io/Logging_EMMABODA/klagomål/A 60257-2021.docx", "A 60257-2021")</f>
        <v/>
      </c>
      <c r="W527">
        <f>HYPERLINK("https://klasma.github.io/Logging_EMMABODA/klagomålsmail/A 60257-2021.docx", "A 60257-2021")</f>
        <v/>
      </c>
      <c r="X527">
        <f>HYPERLINK("https://klasma.github.io/Logging_EMMABODA/tillsyn/A 60257-2021.docx", "A 60257-2021")</f>
        <v/>
      </c>
      <c r="Y527">
        <f>HYPERLINK("https://klasma.github.io/Logging_EMMABODA/tillsynsmail/A 60257-2021.docx", "A 60257-2021")</f>
        <v/>
      </c>
    </row>
    <row r="528" ht="15" customHeight="1">
      <c r="A528" t="inlineStr">
        <is>
          <t>A 61319-2021</t>
        </is>
      </c>
      <c r="B528" s="1" t="n">
        <v>44498</v>
      </c>
      <c r="C528" s="1" t="n">
        <v>45190</v>
      </c>
      <c r="D528" t="inlineStr">
        <is>
          <t>KALMAR LÄN</t>
        </is>
      </c>
      <c r="E528" t="inlineStr">
        <is>
          <t>VÄSTERVIK</t>
        </is>
      </c>
      <c r="G528" t="n">
        <v>2.2</v>
      </c>
      <c r="H528" t="n">
        <v>1</v>
      </c>
      <c r="I528" t="n">
        <v>1</v>
      </c>
      <c r="J528" t="n">
        <v>0</v>
      </c>
      <c r="K528" t="n">
        <v>0</v>
      </c>
      <c r="L528" t="n">
        <v>0</v>
      </c>
      <c r="M528" t="n">
        <v>0</v>
      </c>
      <c r="N528" t="n">
        <v>0</v>
      </c>
      <c r="O528" t="n">
        <v>0</v>
      </c>
      <c r="P528" t="n">
        <v>0</v>
      </c>
      <c r="Q528" t="n">
        <v>1</v>
      </c>
      <c r="R528" s="2" t="inlineStr">
        <is>
          <t>Ekoxe</t>
        </is>
      </c>
      <c r="S528">
        <f>HYPERLINK("https://klasma.github.io/Logging_VASTERVIK/artfynd/A 61319-2021.xlsx", "A 61319-2021")</f>
        <v/>
      </c>
      <c r="T528">
        <f>HYPERLINK("https://klasma.github.io/Logging_VASTERVIK/kartor/A 61319-2021.png", "A 61319-2021")</f>
        <v/>
      </c>
      <c r="V528">
        <f>HYPERLINK("https://klasma.github.io/Logging_VASTERVIK/klagomål/A 61319-2021.docx", "A 61319-2021")</f>
        <v/>
      </c>
      <c r="W528">
        <f>HYPERLINK("https://klasma.github.io/Logging_VASTERVIK/klagomålsmail/A 61319-2021.docx", "A 61319-2021")</f>
        <v/>
      </c>
      <c r="X528">
        <f>HYPERLINK("https://klasma.github.io/Logging_VASTERVIK/tillsyn/A 61319-2021.docx", "A 61319-2021")</f>
        <v/>
      </c>
      <c r="Y528">
        <f>HYPERLINK("https://klasma.github.io/Logging_VASTERVIK/tillsynsmail/A 61319-2021.docx", "A 61319-2021")</f>
        <v/>
      </c>
    </row>
    <row r="529" ht="15" customHeight="1">
      <c r="A529" t="inlineStr">
        <is>
          <t>A 68096-2021</t>
        </is>
      </c>
      <c r="B529" s="1" t="n">
        <v>44526</v>
      </c>
      <c r="C529" s="1" t="n">
        <v>45190</v>
      </c>
      <c r="D529" t="inlineStr">
        <is>
          <t>KALMAR LÄN</t>
        </is>
      </c>
      <c r="E529" t="inlineStr">
        <is>
          <t>HULTSFRED</t>
        </is>
      </c>
      <c r="G529" t="n">
        <v>5.8</v>
      </c>
      <c r="H529" t="n">
        <v>1</v>
      </c>
      <c r="I529" t="n">
        <v>0</v>
      </c>
      <c r="J529" t="n">
        <v>0</v>
      </c>
      <c r="K529" t="n">
        <v>1</v>
      </c>
      <c r="L529" t="n">
        <v>0</v>
      </c>
      <c r="M529" t="n">
        <v>0</v>
      </c>
      <c r="N529" t="n">
        <v>0</v>
      </c>
      <c r="O529" t="n">
        <v>1</v>
      </c>
      <c r="P529" t="n">
        <v>1</v>
      </c>
      <c r="Q529" t="n">
        <v>1</v>
      </c>
      <c r="R529" s="2" t="inlineStr">
        <is>
          <t>Knärot</t>
        </is>
      </c>
      <c r="S529">
        <f>HYPERLINK("https://klasma.github.io/Logging_HULTSFRED/artfynd/A 68096-2021.xlsx", "A 68096-2021")</f>
        <v/>
      </c>
      <c r="T529">
        <f>HYPERLINK("https://klasma.github.io/Logging_HULTSFRED/kartor/A 68096-2021.png", "A 68096-2021")</f>
        <v/>
      </c>
      <c r="U529">
        <f>HYPERLINK("https://klasma.github.io/Logging_HULTSFRED/knärot/A 68096-2021.png", "A 68096-2021")</f>
        <v/>
      </c>
      <c r="V529">
        <f>HYPERLINK("https://klasma.github.io/Logging_HULTSFRED/klagomål/A 68096-2021.docx", "A 68096-2021")</f>
        <v/>
      </c>
      <c r="W529">
        <f>HYPERLINK("https://klasma.github.io/Logging_HULTSFRED/klagomålsmail/A 68096-2021.docx", "A 68096-2021")</f>
        <v/>
      </c>
      <c r="X529">
        <f>HYPERLINK("https://klasma.github.io/Logging_HULTSFRED/tillsyn/A 68096-2021.docx", "A 68096-2021")</f>
        <v/>
      </c>
      <c r="Y529">
        <f>HYPERLINK("https://klasma.github.io/Logging_HULTSFRED/tillsynsmail/A 68096-2021.docx", "A 68096-2021")</f>
        <v/>
      </c>
    </row>
    <row r="530" ht="15" customHeight="1">
      <c r="A530" t="inlineStr">
        <is>
          <t>A 68563-2021</t>
        </is>
      </c>
      <c r="B530" s="1" t="n">
        <v>44529</v>
      </c>
      <c r="C530" s="1" t="n">
        <v>45190</v>
      </c>
      <c r="D530" t="inlineStr">
        <is>
          <t>KALMAR LÄN</t>
        </is>
      </c>
      <c r="E530" t="inlineStr">
        <is>
          <t>HÖGSBY</t>
        </is>
      </c>
      <c r="F530" t="inlineStr">
        <is>
          <t>Sveaskog</t>
        </is>
      </c>
      <c r="G530" t="n">
        <v>9.1</v>
      </c>
      <c r="H530" t="n">
        <v>0</v>
      </c>
      <c r="I530" t="n">
        <v>0</v>
      </c>
      <c r="J530" t="n">
        <v>0</v>
      </c>
      <c r="K530" t="n">
        <v>0</v>
      </c>
      <c r="L530" t="n">
        <v>1</v>
      </c>
      <c r="M530" t="n">
        <v>0</v>
      </c>
      <c r="N530" t="n">
        <v>0</v>
      </c>
      <c r="O530" t="n">
        <v>1</v>
      </c>
      <c r="P530" t="n">
        <v>1</v>
      </c>
      <c r="Q530" t="n">
        <v>1</v>
      </c>
      <c r="R530" s="2" t="inlineStr">
        <is>
          <t>Ask</t>
        </is>
      </c>
      <c r="S530">
        <f>HYPERLINK("https://klasma.github.io/Logging_HOGSBY/artfynd/A 68563-2021.xlsx", "A 68563-2021")</f>
        <v/>
      </c>
      <c r="T530">
        <f>HYPERLINK("https://klasma.github.io/Logging_HOGSBY/kartor/A 68563-2021.png", "A 68563-2021")</f>
        <v/>
      </c>
      <c r="V530">
        <f>HYPERLINK("https://klasma.github.io/Logging_HOGSBY/klagomål/A 68563-2021.docx", "A 68563-2021")</f>
        <v/>
      </c>
      <c r="W530">
        <f>HYPERLINK("https://klasma.github.io/Logging_HOGSBY/klagomålsmail/A 68563-2021.docx", "A 68563-2021")</f>
        <v/>
      </c>
      <c r="X530">
        <f>HYPERLINK("https://klasma.github.io/Logging_HOGSBY/tillsyn/A 68563-2021.docx", "A 68563-2021")</f>
        <v/>
      </c>
      <c r="Y530">
        <f>HYPERLINK("https://klasma.github.io/Logging_HOGSBY/tillsynsmail/A 68563-2021.docx", "A 68563-2021")</f>
        <v/>
      </c>
    </row>
    <row r="531" ht="15" customHeight="1">
      <c r="A531" t="inlineStr">
        <is>
          <t>A 71785-2021</t>
        </is>
      </c>
      <c r="B531" s="1" t="n">
        <v>44539</v>
      </c>
      <c r="C531" s="1" t="n">
        <v>45190</v>
      </c>
      <c r="D531" t="inlineStr">
        <is>
          <t>KALMAR LÄN</t>
        </is>
      </c>
      <c r="E531" t="inlineStr">
        <is>
          <t>VIMMERBY</t>
        </is>
      </c>
      <c r="G531" t="n">
        <v>1.1</v>
      </c>
      <c r="H531" t="n">
        <v>0</v>
      </c>
      <c r="I531" t="n">
        <v>0</v>
      </c>
      <c r="J531" t="n">
        <v>0</v>
      </c>
      <c r="K531" t="n">
        <v>0</v>
      </c>
      <c r="L531" t="n">
        <v>1</v>
      </c>
      <c r="M531" t="n">
        <v>0</v>
      </c>
      <c r="N531" t="n">
        <v>0</v>
      </c>
      <c r="O531" t="n">
        <v>1</v>
      </c>
      <c r="P531" t="n">
        <v>1</v>
      </c>
      <c r="Q531" t="n">
        <v>1</v>
      </c>
      <c r="R531" s="2" t="inlineStr">
        <is>
          <t>Ryl</t>
        </is>
      </c>
      <c r="S531">
        <f>HYPERLINK("https://klasma.github.io/Logging_VIMMERBY/artfynd/A 71785-2021.xlsx", "A 71785-2021")</f>
        <v/>
      </c>
      <c r="T531">
        <f>HYPERLINK("https://klasma.github.io/Logging_VIMMERBY/kartor/A 71785-2021.png", "A 71785-2021")</f>
        <v/>
      </c>
      <c r="V531">
        <f>HYPERLINK("https://klasma.github.io/Logging_VIMMERBY/klagomål/A 71785-2021.docx", "A 71785-2021")</f>
        <v/>
      </c>
      <c r="W531">
        <f>HYPERLINK("https://klasma.github.io/Logging_VIMMERBY/klagomålsmail/A 71785-2021.docx", "A 71785-2021")</f>
        <v/>
      </c>
      <c r="X531">
        <f>HYPERLINK("https://klasma.github.io/Logging_VIMMERBY/tillsyn/A 71785-2021.docx", "A 71785-2021")</f>
        <v/>
      </c>
      <c r="Y531">
        <f>HYPERLINK("https://klasma.github.io/Logging_VIMMERBY/tillsynsmail/A 71785-2021.docx", "A 71785-2021")</f>
        <v/>
      </c>
    </row>
    <row r="532" ht="15" customHeight="1">
      <c r="A532" t="inlineStr">
        <is>
          <t>A 84-2022</t>
        </is>
      </c>
      <c r="B532" s="1" t="n">
        <v>44564</v>
      </c>
      <c r="C532" s="1" t="n">
        <v>45190</v>
      </c>
      <c r="D532" t="inlineStr">
        <is>
          <t>KALMAR LÄN</t>
        </is>
      </c>
      <c r="E532" t="inlineStr">
        <is>
          <t>NYBRO</t>
        </is>
      </c>
      <c r="F532" t="inlineStr">
        <is>
          <t>Sveaskog</t>
        </is>
      </c>
      <c r="G532" t="n">
        <v>2.2</v>
      </c>
      <c r="H532" t="n">
        <v>0</v>
      </c>
      <c r="I532" t="n">
        <v>1</v>
      </c>
      <c r="J532" t="n">
        <v>0</v>
      </c>
      <c r="K532" t="n">
        <v>0</v>
      </c>
      <c r="L532" t="n">
        <v>0</v>
      </c>
      <c r="M532" t="n">
        <v>0</v>
      </c>
      <c r="N532" t="n">
        <v>0</v>
      </c>
      <c r="O532" t="n">
        <v>0</v>
      </c>
      <c r="P532" t="n">
        <v>0</v>
      </c>
      <c r="Q532" t="n">
        <v>1</v>
      </c>
      <c r="R532" s="2" t="inlineStr">
        <is>
          <t>Blåmossa</t>
        </is>
      </c>
      <c r="S532">
        <f>HYPERLINK("https://klasma.github.io/Logging_NYBRO/artfynd/A 84-2022.xlsx", "A 84-2022")</f>
        <v/>
      </c>
      <c r="T532">
        <f>HYPERLINK("https://klasma.github.io/Logging_NYBRO/kartor/A 84-2022.png", "A 84-2022")</f>
        <v/>
      </c>
      <c r="V532">
        <f>HYPERLINK("https://klasma.github.io/Logging_NYBRO/klagomål/A 84-2022.docx", "A 84-2022")</f>
        <v/>
      </c>
      <c r="W532">
        <f>HYPERLINK("https://klasma.github.io/Logging_NYBRO/klagomålsmail/A 84-2022.docx", "A 84-2022")</f>
        <v/>
      </c>
      <c r="X532">
        <f>HYPERLINK("https://klasma.github.io/Logging_NYBRO/tillsyn/A 84-2022.docx", "A 84-2022")</f>
        <v/>
      </c>
      <c r="Y532">
        <f>HYPERLINK("https://klasma.github.io/Logging_NYBRO/tillsynsmail/A 84-2022.docx", "A 84-2022")</f>
        <v/>
      </c>
    </row>
    <row r="533" ht="15" customHeight="1">
      <c r="A533" t="inlineStr">
        <is>
          <t>A 1519-2022</t>
        </is>
      </c>
      <c r="B533" s="1" t="n">
        <v>44573</v>
      </c>
      <c r="C533" s="1" t="n">
        <v>45190</v>
      </c>
      <c r="D533" t="inlineStr">
        <is>
          <t>KALMAR LÄN</t>
        </is>
      </c>
      <c r="E533" t="inlineStr">
        <is>
          <t>HÖGSBY</t>
        </is>
      </c>
      <c r="G533" t="n">
        <v>2.6</v>
      </c>
      <c r="H533" t="n">
        <v>0</v>
      </c>
      <c r="I533" t="n">
        <v>0</v>
      </c>
      <c r="J533" t="n">
        <v>0</v>
      </c>
      <c r="K533" t="n">
        <v>1</v>
      </c>
      <c r="L533" t="n">
        <v>0</v>
      </c>
      <c r="M533" t="n">
        <v>0</v>
      </c>
      <c r="N533" t="n">
        <v>0</v>
      </c>
      <c r="O533" t="n">
        <v>1</v>
      </c>
      <c r="P533" t="n">
        <v>1</v>
      </c>
      <c r="Q533" t="n">
        <v>1</v>
      </c>
      <c r="R533" s="2" t="inlineStr">
        <is>
          <t>Slåttergubbe</t>
        </is>
      </c>
      <c r="S533">
        <f>HYPERLINK("https://klasma.github.io/Logging_HOGSBY/artfynd/A 1519-2022.xlsx", "A 1519-2022")</f>
        <v/>
      </c>
      <c r="T533">
        <f>HYPERLINK("https://klasma.github.io/Logging_HOGSBY/kartor/A 1519-2022.png", "A 1519-2022")</f>
        <v/>
      </c>
      <c r="V533">
        <f>HYPERLINK("https://klasma.github.io/Logging_HOGSBY/klagomål/A 1519-2022.docx", "A 1519-2022")</f>
        <v/>
      </c>
      <c r="W533">
        <f>HYPERLINK("https://klasma.github.io/Logging_HOGSBY/klagomålsmail/A 1519-2022.docx", "A 1519-2022")</f>
        <v/>
      </c>
      <c r="X533">
        <f>HYPERLINK("https://klasma.github.io/Logging_HOGSBY/tillsyn/A 1519-2022.docx", "A 1519-2022")</f>
        <v/>
      </c>
      <c r="Y533">
        <f>HYPERLINK("https://klasma.github.io/Logging_HOGSBY/tillsynsmail/A 1519-2022.docx", "A 1519-2022")</f>
        <v/>
      </c>
    </row>
    <row r="534" ht="15" customHeight="1">
      <c r="A534" t="inlineStr">
        <is>
          <t>A 1677-2022</t>
        </is>
      </c>
      <c r="B534" s="1" t="n">
        <v>44574</v>
      </c>
      <c r="C534" s="1" t="n">
        <v>45190</v>
      </c>
      <c r="D534" t="inlineStr">
        <is>
          <t>KALMAR LÄN</t>
        </is>
      </c>
      <c r="E534" t="inlineStr">
        <is>
          <t>VÄSTERVIK</t>
        </is>
      </c>
      <c r="G534" t="n">
        <v>3.3</v>
      </c>
      <c r="H534" t="n">
        <v>1</v>
      </c>
      <c r="I534" t="n">
        <v>0</v>
      </c>
      <c r="J534" t="n">
        <v>0</v>
      </c>
      <c r="K534" t="n">
        <v>1</v>
      </c>
      <c r="L534" t="n">
        <v>0</v>
      </c>
      <c r="M534" t="n">
        <v>0</v>
      </c>
      <c r="N534" t="n">
        <v>0</v>
      </c>
      <c r="O534" t="n">
        <v>1</v>
      </c>
      <c r="P534" t="n">
        <v>1</v>
      </c>
      <c r="Q534" t="n">
        <v>1</v>
      </c>
      <c r="R534" s="2" t="inlineStr">
        <is>
          <t>Knärot</t>
        </is>
      </c>
      <c r="S534">
        <f>HYPERLINK("https://klasma.github.io/Logging_VASTERVIK/artfynd/A 1677-2022.xlsx", "A 1677-2022")</f>
        <v/>
      </c>
      <c r="T534">
        <f>HYPERLINK("https://klasma.github.io/Logging_VASTERVIK/kartor/A 1677-2022.png", "A 1677-2022")</f>
        <v/>
      </c>
      <c r="U534">
        <f>HYPERLINK("https://klasma.github.io/Logging_VASTERVIK/knärot/A 1677-2022.png", "A 1677-2022")</f>
        <v/>
      </c>
      <c r="V534">
        <f>HYPERLINK("https://klasma.github.io/Logging_VASTERVIK/klagomål/A 1677-2022.docx", "A 1677-2022")</f>
        <v/>
      </c>
      <c r="W534">
        <f>HYPERLINK("https://klasma.github.io/Logging_VASTERVIK/klagomålsmail/A 1677-2022.docx", "A 1677-2022")</f>
        <v/>
      </c>
      <c r="X534">
        <f>HYPERLINK("https://klasma.github.io/Logging_VASTERVIK/tillsyn/A 1677-2022.docx", "A 1677-2022")</f>
        <v/>
      </c>
      <c r="Y534">
        <f>HYPERLINK("https://klasma.github.io/Logging_VASTERVIK/tillsynsmail/A 1677-2022.docx", "A 1677-2022")</f>
        <v/>
      </c>
    </row>
    <row r="535" ht="15" customHeight="1">
      <c r="A535" t="inlineStr">
        <is>
          <t>A 6849-2022</t>
        </is>
      </c>
      <c r="B535" s="1" t="n">
        <v>44602</v>
      </c>
      <c r="C535" s="1" t="n">
        <v>45190</v>
      </c>
      <c r="D535" t="inlineStr">
        <is>
          <t>KALMAR LÄN</t>
        </is>
      </c>
      <c r="E535" t="inlineStr">
        <is>
          <t>NYBRO</t>
        </is>
      </c>
      <c r="G535" t="n">
        <v>1.8</v>
      </c>
      <c r="H535" t="n">
        <v>0</v>
      </c>
      <c r="I535" t="n">
        <v>1</v>
      </c>
      <c r="J535" t="n">
        <v>0</v>
      </c>
      <c r="K535" t="n">
        <v>0</v>
      </c>
      <c r="L535" t="n">
        <v>0</v>
      </c>
      <c r="M535" t="n">
        <v>0</v>
      </c>
      <c r="N535" t="n">
        <v>0</v>
      </c>
      <c r="O535" t="n">
        <v>0</v>
      </c>
      <c r="P535" t="n">
        <v>0</v>
      </c>
      <c r="Q535" t="n">
        <v>1</v>
      </c>
      <c r="R535" s="2" t="inlineStr">
        <is>
          <t>Vågbandad barkbock</t>
        </is>
      </c>
      <c r="S535">
        <f>HYPERLINK("https://klasma.github.io/Logging_NYBRO/artfynd/A 6849-2022.xlsx", "A 6849-2022")</f>
        <v/>
      </c>
      <c r="T535">
        <f>HYPERLINK("https://klasma.github.io/Logging_NYBRO/kartor/A 6849-2022.png", "A 6849-2022")</f>
        <v/>
      </c>
      <c r="V535">
        <f>HYPERLINK("https://klasma.github.io/Logging_NYBRO/klagomål/A 6849-2022.docx", "A 6849-2022")</f>
        <v/>
      </c>
      <c r="W535">
        <f>HYPERLINK("https://klasma.github.io/Logging_NYBRO/klagomålsmail/A 6849-2022.docx", "A 6849-2022")</f>
        <v/>
      </c>
      <c r="X535">
        <f>HYPERLINK("https://klasma.github.io/Logging_NYBRO/tillsyn/A 6849-2022.docx", "A 6849-2022")</f>
        <v/>
      </c>
      <c r="Y535">
        <f>HYPERLINK("https://klasma.github.io/Logging_NYBRO/tillsynsmail/A 6849-2022.docx", "A 6849-2022")</f>
        <v/>
      </c>
    </row>
    <row r="536" ht="15" customHeight="1">
      <c r="A536" t="inlineStr">
        <is>
          <t>A 7032-2022</t>
        </is>
      </c>
      <c r="B536" s="1" t="n">
        <v>44603</v>
      </c>
      <c r="C536" s="1" t="n">
        <v>45190</v>
      </c>
      <c r="D536" t="inlineStr">
        <is>
          <t>KALMAR LÄN</t>
        </is>
      </c>
      <c r="E536" t="inlineStr">
        <is>
          <t>HÖGSBY</t>
        </is>
      </c>
      <c r="G536" t="n">
        <v>0.7</v>
      </c>
      <c r="H536" t="n">
        <v>1</v>
      </c>
      <c r="I536" t="n">
        <v>0</v>
      </c>
      <c r="J536" t="n">
        <v>0</v>
      </c>
      <c r="K536" t="n">
        <v>1</v>
      </c>
      <c r="L536" t="n">
        <v>0</v>
      </c>
      <c r="M536" t="n">
        <v>0</v>
      </c>
      <c r="N536" t="n">
        <v>0</v>
      </c>
      <c r="O536" t="n">
        <v>1</v>
      </c>
      <c r="P536" t="n">
        <v>1</v>
      </c>
      <c r="Q536" t="n">
        <v>1</v>
      </c>
      <c r="R536" s="2" t="inlineStr">
        <is>
          <t>Sandödla</t>
        </is>
      </c>
      <c r="S536">
        <f>HYPERLINK("https://klasma.github.io/Logging_HOGSBY/artfynd/A 7032-2022.xlsx", "A 7032-2022")</f>
        <v/>
      </c>
      <c r="T536">
        <f>HYPERLINK("https://klasma.github.io/Logging_HOGSBY/kartor/A 7032-2022.png", "A 7032-2022")</f>
        <v/>
      </c>
      <c r="V536">
        <f>HYPERLINK("https://klasma.github.io/Logging_HOGSBY/klagomål/A 7032-2022.docx", "A 7032-2022")</f>
        <v/>
      </c>
      <c r="W536">
        <f>HYPERLINK("https://klasma.github.io/Logging_HOGSBY/klagomålsmail/A 7032-2022.docx", "A 7032-2022")</f>
        <v/>
      </c>
      <c r="X536">
        <f>HYPERLINK("https://klasma.github.io/Logging_HOGSBY/tillsyn/A 7032-2022.docx", "A 7032-2022")</f>
        <v/>
      </c>
      <c r="Y536">
        <f>HYPERLINK("https://klasma.github.io/Logging_HOGSBY/tillsynsmail/A 7032-2022.docx", "A 7032-2022")</f>
        <v/>
      </c>
    </row>
    <row r="537" ht="15" customHeight="1">
      <c r="A537" t="inlineStr">
        <is>
          <t>A 9518-2022</t>
        </is>
      </c>
      <c r="B537" s="1" t="n">
        <v>44616</v>
      </c>
      <c r="C537" s="1" t="n">
        <v>45190</v>
      </c>
      <c r="D537" t="inlineStr">
        <is>
          <t>KALMAR LÄN</t>
        </is>
      </c>
      <c r="E537" t="inlineStr">
        <is>
          <t>OSKARSHAMN</t>
        </is>
      </c>
      <c r="F537" t="inlineStr">
        <is>
          <t>Kyrkan</t>
        </is>
      </c>
      <c r="G537" t="n">
        <v>1.9</v>
      </c>
      <c r="H537" t="n">
        <v>1</v>
      </c>
      <c r="I537" t="n">
        <v>0</v>
      </c>
      <c r="J537" t="n">
        <v>0</v>
      </c>
      <c r="K537" t="n">
        <v>0</v>
      </c>
      <c r="L537" t="n">
        <v>0</v>
      </c>
      <c r="M537" t="n">
        <v>0</v>
      </c>
      <c r="N537" t="n">
        <v>0</v>
      </c>
      <c r="O537" t="n">
        <v>0</v>
      </c>
      <c r="P537" t="n">
        <v>0</v>
      </c>
      <c r="Q537" t="n">
        <v>1</v>
      </c>
      <c r="R537" s="2" t="inlineStr">
        <is>
          <t>Revlummer</t>
        </is>
      </c>
      <c r="S537">
        <f>HYPERLINK("https://klasma.github.io/Logging_OSKARSHAMN/artfynd/A 9518-2022.xlsx", "A 9518-2022")</f>
        <v/>
      </c>
      <c r="T537">
        <f>HYPERLINK("https://klasma.github.io/Logging_OSKARSHAMN/kartor/A 9518-2022.png", "A 9518-2022")</f>
        <v/>
      </c>
      <c r="V537">
        <f>HYPERLINK("https://klasma.github.io/Logging_OSKARSHAMN/klagomål/A 9518-2022.docx", "A 9518-2022")</f>
        <v/>
      </c>
      <c r="W537">
        <f>HYPERLINK("https://klasma.github.io/Logging_OSKARSHAMN/klagomålsmail/A 9518-2022.docx", "A 9518-2022")</f>
        <v/>
      </c>
      <c r="X537">
        <f>HYPERLINK("https://klasma.github.io/Logging_OSKARSHAMN/tillsyn/A 9518-2022.docx", "A 9518-2022")</f>
        <v/>
      </c>
      <c r="Y537">
        <f>HYPERLINK("https://klasma.github.io/Logging_OSKARSHAMN/tillsynsmail/A 9518-2022.docx", "A 9518-2022")</f>
        <v/>
      </c>
    </row>
    <row r="538" ht="15" customHeight="1">
      <c r="A538" t="inlineStr">
        <is>
          <t>A 10292-2022</t>
        </is>
      </c>
      <c r="B538" s="1" t="n">
        <v>44622</v>
      </c>
      <c r="C538" s="1" t="n">
        <v>45190</v>
      </c>
      <c r="D538" t="inlineStr">
        <is>
          <t>KALMAR LÄN</t>
        </is>
      </c>
      <c r="E538" t="inlineStr">
        <is>
          <t>BORGHOLM</t>
        </is>
      </c>
      <c r="G538" t="n">
        <v>4</v>
      </c>
      <c r="H538" t="n">
        <v>1</v>
      </c>
      <c r="I538" t="n">
        <v>0</v>
      </c>
      <c r="J538" t="n">
        <v>0</v>
      </c>
      <c r="K538" t="n">
        <v>0</v>
      </c>
      <c r="L538" t="n">
        <v>0</v>
      </c>
      <c r="M538" t="n">
        <v>0</v>
      </c>
      <c r="N538" t="n">
        <v>0</v>
      </c>
      <c r="O538" t="n">
        <v>0</v>
      </c>
      <c r="P538" t="n">
        <v>0</v>
      </c>
      <c r="Q538" t="n">
        <v>1</v>
      </c>
      <c r="R538" s="2" t="inlineStr">
        <is>
          <t>Sädgås</t>
        </is>
      </c>
      <c r="S538">
        <f>HYPERLINK("https://klasma.github.io/Logging_BORGHOLM/artfynd/A 10292-2022.xlsx", "A 10292-2022")</f>
        <v/>
      </c>
      <c r="T538">
        <f>HYPERLINK("https://klasma.github.io/Logging_BORGHOLM/kartor/A 10292-2022.png", "A 10292-2022")</f>
        <v/>
      </c>
      <c r="V538">
        <f>HYPERLINK("https://klasma.github.io/Logging_BORGHOLM/klagomål/A 10292-2022.docx", "A 10292-2022")</f>
        <v/>
      </c>
      <c r="W538">
        <f>HYPERLINK("https://klasma.github.io/Logging_BORGHOLM/klagomålsmail/A 10292-2022.docx", "A 10292-2022")</f>
        <v/>
      </c>
      <c r="X538">
        <f>HYPERLINK("https://klasma.github.io/Logging_BORGHOLM/tillsyn/A 10292-2022.docx", "A 10292-2022")</f>
        <v/>
      </c>
      <c r="Y538">
        <f>HYPERLINK("https://klasma.github.io/Logging_BORGHOLM/tillsynsmail/A 10292-2022.docx", "A 10292-2022")</f>
        <v/>
      </c>
    </row>
    <row r="539" ht="15" customHeight="1">
      <c r="A539" t="inlineStr">
        <is>
          <t>A 10989-2022</t>
        </is>
      </c>
      <c r="B539" s="1" t="n">
        <v>44628</v>
      </c>
      <c r="C539" s="1" t="n">
        <v>45190</v>
      </c>
      <c r="D539" t="inlineStr">
        <is>
          <t>KALMAR LÄN</t>
        </is>
      </c>
      <c r="E539" t="inlineStr">
        <is>
          <t>HÖGSBY</t>
        </is>
      </c>
      <c r="F539" t="inlineStr">
        <is>
          <t>Kyrkan</t>
        </is>
      </c>
      <c r="G539" t="n">
        <v>6.8</v>
      </c>
      <c r="H539" t="n">
        <v>1</v>
      </c>
      <c r="I539" t="n">
        <v>1</v>
      </c>
      <c r="J539" t="n">
        <v>0</v>
      </c>
      <c r="K539" t="n">
        <v>0</v>
      </c>
      <c r="L539" t="n">
        <v>0</v>
      </c>
      <c r="M539" t="n">
        <v>0</v>
      </c>
      <c r="N539" t="n">
        <v>0</v>
      </c>
      <c r="O539" t="n">
        <v>0</v>
      </c>
      <c r="P539" t="n">
        <v>0</v>
      </c>
      <c r="Q539" t="n">
        <v>1</v>
      </c>
      <c r="R539" s="2" t="inlineStr">
        <is>
          <t>Purpurknipprot</t>
        </is>
      </c>
      <c r="S539">
        <f>HYPERLINK("https://klasma.github.io/Logging_HOGSBY/artfynd/A 10989-2022.xlsx", "A 10989-2022")</f>
        <v/>
      </c>
      <c r="T539">
        <f>HYPERLINK("https://klasma.github.io/Logging_HOGSBY/kartor/A 10989-2022.png", "A 10989-2022")</f>
        <v/>
      </c>
      <c r="V539">
        <f>HYPERLINK("https://klasma.github.io/Logging_HOGSBY/klagomål/A 10989-2022.docx", "A 10989-2022")</f>
        <v/>
      </c>
      <c r="W539">
        <f>HYPERLINK("https://klasma.github.io/Logging_HOGSBY/klagomålsmail/A 10989-2022.docx", "A 10989-2022")</f>
        <v/>
      </c>
      <c r="X539">
        <f>HYPERLINK("https://klasma.github.io/Logging_HOGSBY/tillsyn/A 10989-2022.docx", "A 10989-2022")</f>
        <v/>
      </c>
      <c r="Y539">
        <f>HYPERLINK("https://klasma.github.io/Logging_HOGSBY/tillsynsmail/A 10989-2022.docx", "A 10989-2022")</f>
        <v/>
      </c>
    </row>
    <row r="540" ht="15" customHeight="1">
      <c r="A540" t="inlineStr">
        <is>
          <t>A 11823-2022</t>
        </is>
      </c>
      <c r="B540" s="1" t="n">
        <v>44634</v>
      </c>
      <c r="C540" s="1" t="n">
        <v>45190</v>
      </c>
      <c r="D540" t="inlineStr">
        <is>
          <t>KALMAR LÄN</t>
        </is>
      </c>
      <c r="E540" t="inlineStr">
        <is>
          <t>NYBRO</t>
        </is>
      </c>
      <c r="G540" t="n">
        <v>1.8</v>
      </c>
      <c r="H540" t="n">
        <v>0</v>
      </c>
      <c r="I540" t="n">
        <v>0</v>
      </c>
      <c r="J540" t="n">
        <v>1</v>
      </c>
      <c r="K540" t="n">
        <v>0</v>
      </c>
      <c r="L540" t="n">
        <v>0</v>
      </c>
      <c r="M540" t="n">
        <v>0</v>
      </c>
      <c r="N540" t="n">
        <v>0</v>
      </c>
      <c r="O540" t="n">
        <v>1</v>
      </c>
      <c r="P540" t="n">
        <v>0</v>
      </c>
      <c r="Q540" t="n">
        <v>1</v>
      </c>
      <c r="R540" s="2" t="inlineStr">
        <is>
          <t>Svinrot</t>
        </is>
      </c>
      <c r="S540">
        <f>HYPERLINK("https://klasma.github.io/Logging_NYBRO/artfynd/A 11823-2022.xlsx", "A 11823-2022")</f>
        <v/>
      </c>
      <c r="T540">
        <f>HYPERLINK("https://klasma.github.io/Logging_NYBRO/kartor/A 11823-2022.png", "A 11823-2022")</f>
        <v/>
      </c>
      <c r="V540">
        <f>HYPERLINK("https://klasma.github.io/Logging_NYBRO/klagomål/A 11823-2022.docx", "A 11823-2022")</f>
        <v/>
      </c>
      <c r="W540">
        <f>HYPERLINK("https://klasma.github.io/Logging_NYBRO/klagomålsmail/A 11823-2022.docx", "A 11823-2022")</f>
        <v/>
      </c>
      <c r="X540">
        <f>HYPERLINK("https://klasma.github.io/Logging_NYBRO/tillsyn/A 11823-2022.docx", "A 11823-2022")</f>
        <v/>
      </c>
      <c r="Y540">
        <f>HYPERLINK("https://klasma.github.io/Logging_NYBRO/tillsynsmail/A 11823-2022.docx", "A 11823-2022")</f>
        <v/>
      </c>
    </row>
    <row r="541" ht="15" customHeight="1">
      <c r="A541" t="inlineStr">
        <is>
          <t>A 11995-2022</t>
        </is>
      </c>
      <c r="B541" s="1" t="n">
        <v>44635</v>
      </c>
      <c r="C541" s="1" t="n">
        <v>45190</v>
      </c>
      <c r="D541" t="inlineStr">
        <is>
          <t>KALMAR LÄN</t>
        </is>
      </c>
      <c r="E541" t="inlineStr">
        <is>
          <t>HÖGSBY</t>
        </is>
      </c>
      <c r="G541" t="n">
        <v>2.9</v>
      </c>
      <c r="H541" t="n">
        <v>1</v>
      </c>
      <c r="I541" t="n">
        <v>0</v>
      </c>
      <c r="J541" t="n">
        <v>0</v>
      </c>
      <c r="K541" t="n">
        <v>0</v>
      </c>
      <c r="L541" t="n">
        <v>0</v>
      </c>
      <c r="M541" t="n">
        <v>0</v>
      </c>
      <c r="N541" t="n">
        <v>0</v>
      </c>
      <c r="O541" t="n">
        <v>0</v>
      </c>
      <c r="P541" t="n">
        <v>0</v>
      </c>
      <c r="Q541" t="n">
        <v>1</v>
      </c>
      <c r="R541" s="2" t="inlineStr">
        <is>
          <t>Gullviva</t>
        </is>
      </c>
      <c r="S541">
        <f>HYPERLINK("https://klasma.github.io/Logging_HOGSBY/artfynd/A 11995-2022.xlsx", "A 11995-2022")</f>
        <v/>
      </c>
      <c r="T541">
        <f>HYPERLINK("https://klasma.github.io/Logging_HOGSBY/kartor/A 11995-2022.png", "A 11995-2022")</f>
        <v/>
      </c>
      <c r="V541">
        <f>HYPERLINK("https://klasma.github.io/Logging_HOGSBY/klagomål/A 11995-2022.docx", "A 11995-2022")</f>
        <v/>
      </c>
      <c r="W541">
        <f>HYPERLINK("https://klasma.github.io/Logging_HOGSBY/klagomålsmail/A 11995-2022.docx", "A 11995-2022")</f>
        <v/>
      </c>
      <c r="X541">
        <f>HYPERLINK("https://klasma.github.io/Logging_HOGSBY/tillsyn/A 11995-2022.docx", "A 11995-2022")</f>
        <v/>
      </c>
      <c r="Y541">
        <f>HYPERLINK("https://klasma.github.io/Logging_HOGSBY/tillsynsmail/A 11995-2022.docx", "A 11995-2022")</f>
        <v/>
      </c>
    </row>
    <row r="542" ht="15" customHeight="1">
      <c r="A542" t="inlineStr">
        <is>
          <t>A 12662-2022</t>
        </is>
      </c>
      <c r="B542" s="1" t="n">
        <v>44641</v>
      </c>
      <c r="C542" s="1" t="n">
        <v>45190</v>
      </c>
      <c r="D542" t="inlineStr">
        <is>
          <t>KALMAR LÄN</t>
        </is>
      </c>
      <c r="E542" t="inlineStr">
        <is>
          <t>VÄSTERVIK</t>
        </is>
      </c>
      <c r="G542" t="n">
        <v>2.1</v>
      </c>
      <c r="H542" t="n">
        <v>0</v>
      </c>
      <c r="I542" t="n">
        <v>1</v>
      </c>
      <c r="J542" t="n">
        <v>0</v>
      </c>
      <c r="K542" t="n">
        <v>0</v>
      </c>
      <c r="L542" t="n">
        <v>0</v>
      </c>
      <c r="M542" t="n">
        <v>0</v>
      </c>
      <c r="N542" t="n">
        <v>0</v>
      </c>
      <c r="O542" t="n">
        <v>0</v>
      </c>
      <c r="P542" t="n">
        <v>0</v>
      </c>
      <c r="Q542" t="n">
        <v>1</v>
      </c>
      <c r="R542" s="2" t="inlineStr">
        <is>
          <t>Blåmossa</t>
        </is>
      </c>
      <c r="S542">
        <f>HYPERLINK("https://klasma.github.io/Logging_VASTERVIK/artfynd/A 12662-2022.xlsx", "A 12662-2022")</f>
        <v/>
      </c>
      <c r="T542">
        <f>HYPERLINK("https://klasma.github.io/Logging_VASTERVIK/kartor/A 12662-2022.png", "A 12662-2022")</f>
        <v/>
      </c>
      <c r="V542">
        <f>HYPERLINK("https://klasma.github.io/Logging_VASTERVIK/klagomål/A 12662-2022.docx", "A 12662-2022")</f>
        <v/>
      </c>
      <c r="W542">
        <f>HYPERLINK("https://klasma.github.io/Logging_VASTERVIK/klagomålsmail/A 12662-2022.docx", "A 12662-2022")</f>
        <v/>
      </c>
      <c r="X542">
        <f>HYPERLINK("https://klasma.github.io/Logging_VASTERVIK/tillsyn/A 12662-2022.docx", "A 12662-2022")</f>
        <v/>
      </c>
      <c r="Y542">
        <f>HYPERLINK("https://klasma.github.io/Logging_VASTERVIK/tillsynsmail/A 12662-2022.docx", "A 12662-2022")</f>
        <v/>
      </c>
    </row>
    <row r="543" ht="15" customHeight="1">
      <c r="A543" t="inlineStr">
        <is>
          <t>A 13690-2022</t>
        </is>
      </c>
      <c r="B543" s="1" t="n">
        <v>44648</v>
      </c>
      <c r="C543" s="1" t="n">
        <v>45190</v>
      </c>
      <c r="D543" t="inlineStr">
        <is>
          <t>KALMAR LÄN</t>
        </is>
      </c>
      <c r="E543" t="inlineStr">
        <is>
          <t>NYBRO</t>
        </is>
      </c>
      <c r="F543" t="inlineStr">
        <is>
          <t>Kommuner</t>
        </is>
      </c>
      <c r="G543" t="n">
        <v>8.300000000000001</v>
      </c>
      <c r="H543" t="n">
        <v>1</v>
      </c>
      <c r="I543" t="n">
        <v>0</v>
      </c>
      <c r="J543" t="n">
        <v>0</v>
      </c>
      <c r="K543" t="n">
        <v>1</v>
      </c>
      <c r="L543" t="n">
        <v>0</v>
      </c>
      <c r="M543" t="n">
        <v>0</v>
      </c>
      <c r="N543" t="n">
        <v>0</v>
      </c>
      <c r="O543" t="n">
        <v>1</v>
      </c>
      <c r="P543" t="n">
        <v>1</v>
      </c>
      <c r="Q543" t="n">
        <v>1</v>
      </c>
      <c r="R543" s="2" t="inlineStr">
        <is>
          <t>Knärot</t>
        </is>
      </c>
      <c r="S543">
        <f>HYPERLINK("https://klasma.github.io/Logging_NYBRO/artfynd/A 13690-2022.xlsx", "A 13690-2022")</f>
        <v/>
      </c>
      <c r="T543">
        <f>HYPERLINK("https://klasma.github.io/Logging_NYBRO/kartor/A 13690-2022.png", "A 13690-2022")</f>
        <v/>
      </c>
      <c r="U543">
        <f>HYPERLINK("https://klasma.github.io/Logging_NYBRO/knärot/A 13690-2022.png", "A 13690-2022")</f>
        <v/>
      </c>
      <c r="V543">
        <f>HYPERLINK("https://klasma.github.io/Logging_NYBRO/klagomål/A 13690-2022.docx", "A 13690-2022")</f>
        <v/>
      </c>
      <c r="W543">
        <f>HYPERLINK("https://klasma.github.io/Logging_NYBRO/klagomålsmail/A 13690-2022.docx", "A 13690-2022")</f>
        <v/>
      </c>
      <c r="X543">
        <f>HYPERLINK("https://klasma.github.io/Logging_NYBRO/tillsyn/A 13690-2022.docx", "A 13690-2022")</f>
        <v/>
      </c>
      <c r="Y543">
        <f>HYPERLINK("https://klasma.github.io/Logging_NYBRO/tillsynsmail/A 13690-2022.docx", "A 13690-2022")</f>
        <v/>
      </c>
    </row>
    <row r="544" ht="15" customHeight="1">
      <c r="A544" t="inlineStr">
        <is>
          <t>A 14858-2022</t>
        </is>
      </c>
      <c r="B544" s="1" t="n">
        <v>44656</v>
      </c>
      <c r="C544" s="1" t="n">
        <v>45190</v>
      </c>
      <c r="D544" t="inlineStr">
        <is>
          <t>KALMAR LÄN</t>
        </is>
      </c>
      <c r="E544" t="inlineStr">
        <is>
          <t>NYBRO</t>
        </is>
      </c>
      <c r="F544" t="inlineStr">
        <is>
          <t>Kommuner</t>
        </is>
      </c>
      <c r="G544" t="n">
        <v>4.9</v>
      </c>
      <c r="H544" t="n">
        <v>0</v>
      </c>
      <c r="I544" t="n">
        <v>0</v>
      </c>
      <c r="J544" t="n">
        <v>0</v>
      </c>
      <c r="K544" t="n">
        <v>1</v>
      </c>
      <c r="L544" t="n">
        <v>0</v>
      </c>
      <c r="M544" t="n">
        <v>0</v>
      </c>
      <c r="N544" t="n">
        <v>0</v>
      </c>
      <c r="O544" t="n">
        <v>1</v>
      </c>
      <c r="P544" t="n">
        <v>1</v>
      </c>
      <c r="Q544" t="n">
        <v>1</v>
      </c>
      <c r="R544" s="2" t="inlineStr">
        <is>
          <t>Apelticka</t>
        </is>
      </c>
      <c r="S544">
        <f>HYPERLINK("https://klasma.github.io/Logging_NYBRO/artfynd/A 14858-2022.xlsx", "A 14858-2022")</f>
        <v/>
      </c>
      <c r="T544">
        <f>HYPERLINK("https://klasma.github.io/Logging_NYBRO/kartor/A 14858-2022.png", "A 14858-2022")</f>
        <v/>
      </c>
      <c r="V544">
        <f>HYPERLINK("https://klasma.github.io/Logging_NYBRO/klagomål/A 14858-2022.docx", "A 14858-2022")</f>
        <v/>
      </c>
      <c r="W544">
        <f>HYPERLINK("https://klasma.github.io/Logging_NYBRO/klagomålsmail/A 14858-2022.docx", "A 14858-2022")</f>
        <v/>
      </c>
      <c r="X544">
        <f>HYPERLINK("https://klasma.github.io/Logging_NYBRO/tillsyn/A 14858-2022.docx", "A 14858-2022")</f>
        <v/>
      </c>
      <c r="Y544">
        <f>HYPERLINK("https://klasma.github.io/Logging_NYBRO/tillsynsmail/A 14858-2022.docx", "A 14858-2022")</f>
        <v/>
      </c>
    </row>
    <row r="545" ht="15" customHeight="1">
      <c r="A545" t="inlineStr">
        <is>
          <t>A 15378-2022</t>
        </is>
      </c>
      <c r="B545" s="1" t="n">
        <v>44659</v>
      </c>
      <c r="C545" s="1" t="n">
        <v>45190</v>
      </c>
      <c r="D545" t="inlineStr">
        <is>
          <t>KALMAR LÄN</t>
        </is>
      </c>
      <c r="E545" t="inlineStr">
        <is>
          <t>VÄSTERVIK</t>
        </is>
      </c>
      <c r="G545" t="n">
        <v>1.4</v>
      </c>
      <c r="H545" t="n">
        <v>0</v>
      </c>
      <c r="I545" t="n">
        <v>0</v>
      </c>
      <c r="J545" t="n">
        <v>1</v>
      </c>
      <c r="K545" t="n">
        <v>0</v>
      </c>
      <c r="L545" t="n">
        <v>0</v>
      </c>
      <c r="M545" t="n">
        <v>0</v>
      </c>
      <c r="N545" t="n">
        <v>0</v>
      </c>
      <c r="O545" t="n">
        <v>1</v>
      </c>
      <c r="P545" t="n">
        <v>0</v>
      </c>
      <c r="Q545" t="n">
        <v>1</v>
      </c>
      <c r="R545" s="2" t="inlineStr">
        <is>
          <t>Klofibbla</t>
        </is>
      </c>
      <c r="S545">
        <f>HYPERLINK("https://klasma.github.io/Logging_VASTERVIK/artfynd/A 15378-2022.xlsx", "A 15378-2022")</f>
        <v/>
      </c>
      <c r="T545">
        <f>HYPERLINK("https://klasma.github.io/Logging_VASTERVIK/kartor/A 15378-2022.png", "A 15378-2022")</f>
        <v/>
      </c>
      <c r="V545">
        <f>HYPERLINK("https://klasma.github.io/Logging_VASTERVIK/klagomål/A 15378-2022.docx", "A 15378-2022")</f>
        <v/>
      </c>
      <c r="W545">
        <f>HYPERLINK("https://klasma.github.io/Logging_VASTERVIK/klagomålsmail/A 15378-2022.docx", "A 15378-2022")</f>
        <v/>
      </c>
      <c r="X545">
        <f>HYPERLINK("https://klasma.github.io/Logging_VASTERVIK/tillsyn/A 15378-2022.docx", "A 15378-2022")</f>
        <v/>
      </c>
      <c r="Y545">
        <f>HYPERLINK("https://klasma.github.io/Logging_VASTERVIK/tillsynsmail/A 15378-2022.docx", "A 15378-2022")</f>
        <v/>
      </c>
    </row>
    <row r="546" ht="15" customHeight="1">
      <c r="A546" t="inlineStr">
        <is>
          <t>A 19384-2022</t>
        </is>
      </c>
      <c r="B546" s="1" t="n">
        <v>44692</v>
      </c>
      <c r="C546" s="1" t="n">
        <v>45190</v>
      </c>
      <c r="D546" t="inlineStr">
        <is>
          <t>KALMAR LÄN</t>
        </is>
      </c>
      <c r="E546" t="inlineStr">
        <is>
          <t>NYBRO</t>
        </is>
      </c>
      <c r="G546" t="n">
        <v>3.2</v>
      </c>
      <c r="H546" t="n">
        <v>0</v>
      </c>
      <c r="I546" t="n">
        <v>1</v>
      </c>
      <c r="J546" t="n">
        <v>0</v>
      </c>
      <c r="K546" t="n">
        <v>0</v>
      </c>
      <c r="L546" t="n">
        <v>0</v>
      </c>
      <c r="M546" t="n">
        <v>0</v>
      </c>
      <c r="N546" t="n">
        <v>0</v>
      </c>
      <c r="O546" t="n">
        <v>0</v>
      </c>
      <c r="P546" t="n">
        <v>0</v>
      </c>
      <c r="Q546" t="n">
        <v>1</v>
      </c>
      <c r="R546" s="2" t="inlineStr">
        <is>
          <t>Sotlav</t>
        </is>
      </c>
      <c r="S546">
        <f>HYPERLINK("https://klasma.github.io/Logging_NYBRO/artfynd/A 19384-2022.xlsx", "A 19384-2022")</f>
        <v/>
      </c>
      <c r="T546">
        <f>HYPERLINK("https://klasma.github.io/Logging_NYBRO/kartor/A 19384-2022.png", "A 19384-2022")</f>
        <v/>
      </c>
      <c r="V546">
        <f>HYPERLINK("https://klasma.github.io/Logging_NYBRO/klagomål/A 19384-2022.docx", "A 19384-2022")</f>
        <v/>
      </c>
      <c r="W546">
        <f>HYPERLINK("https://klasma.github.io/Logging_NYBRO/klagomålsmail/A 19384-2022.docx", "A 19384-2022")</f>
        <v/>
      </c>
      <c r="X546">
        <f>HYPERLINK("https://klasma.github.io/Logging_NYBRO/tillsyn/A 19384-2022.docx", "A 19384-2022")</f>
        <v/>
      </c>
      <c r="Y546">
        <f>HYPERLINK("https://klasma.github.io/Logging_NYBRO/tillsynsmail/A 19384-2022.docx", "A 19384-2022")</f>
        <v/>
      </c>
    </row>
    <row r="547" ht="15" customHeight="1">
      <c r="A547" t="inlineStr">
        <is>
          <t>A 19900-2022</t>
        </is>
      </c>
      <c r="B547" s="1" t="n">
        <v>44697</v>
      </c>
      <c r="C547" s="1" t="n">
        <v>45190</v>
      </c>
      <c r="D547" t="inlineStr">
        <is>
          <t>KALMAR LÄN</t>
        </is>
      </c>
      <c r="E547" t="inlineStr">
        <is>
          <t>VÄSTERVIK</t>
        </is>
      </c>
      <c r="G547" t="n">
        <v>2.4</v>
      </c>
      <c r="H547" t="n">
        <v>1</v>
      </c>
      <c r="I547" t="n">
        <v>0</v>
      </c>
      <c r="J547" t="n">
        <v>0</v>
      </c>
      <c r="K547" t="n">
        <v>1</v>
      </c>
      <c r="L547" t="n">
        <v>0</v>
      </c>
      <c r="M547" t="n">
        <v>0</v>
      </c>
      <c r="N547" t="n">
        <v>0</v>
      </c>
      <c r="O547" t="n">
        <v>1</v>
      </c>
      <c r="P547" t="n">
        <v>1</v>
      </c>
      <c r="Q547" t="n">
        <v>1</v>
      </c>
      <c r="R547" s="2" t="inlineStr">
        <is>
          <t>Knärot</t>
        </is>
      </c>
      <c r="S547">
        <f>HYPERLINK("https://klasma.github.io/Logging_VASTERVIK/artfynd/A 19900-2022.xlsx", "A 19900-2022")</f>
        <v/>
      </c>
      <c r="T547">
        <f>HYPERLINK("https://klasma.github.io/Logging_VASTERVIK/kartor/A 19900-2022.png", "A 19900-2022")</f>
        <v/>
      </c>
      <c r="U547">
        <f>HYPERLINK("https://klasma.github.io/Logging_VASTERVIK/knärot/A 19900-2022.png", "A 19900-2022")</f>
        <v/>
      </c>
      <c r="V547">
        <f>HYPERLINK("https://klasma.github.io/Logging_VASTERVIK/klagomål/A 19900-2022.docx", "A 19900-2022")</f>
        <v/>
      </c>
      <c r="W547">
        <f>HYPERLINK("https://klasma.github.io/Logging_VASTERVIK/klagomålsmail/A 19900-2022.docx", "A 19900-2022")</f>
        <v/>
      </c>
      <c r="X547">
        <f>HYPERLINK("https://klasma.github.io/Logging_VASTERVIK/tillsyn/A 19900-2022.docx", "A 19900-2022")</f>
        <v/>
      </c>
      <c r="Y547">
        <f>HYPERLINK("https://klasma.github.io/Logging_VASTERVIK/tillsynsmail/A 19900-2022.docx", "A 19900-2022")</f>
        <v/>
      </c>
    </row>
    <row r="548" ht="15" customHeight="1">
      <c r="A548" t="inlineStr">
        <is>
          <t>A 24096-2022</t>
        </is>
      </c>
      <c r="B548" s="1" t="n">
        <v>44725</v>
      </c>
      <c r="C548" s="1" t="n">
        <v>45190</v>
      </c>
      <c r="D548" t="inlineStr">
        <is>
          <t>KALMAR LÄN</t>
        </is>
      </c>
      <c r="E548" t="inlineStr">
        <is>
          <t>BORGHOLM</t>
        </is>
      </c>
      <c r="G548" t="n">
        <v>1.9</v>
      </c>
      <c r="H548" t="n">
        <v>0</v>
      </c>
      <c r="I548" t="n">
        <v>1</v>
      </c>
      <c r="J548" t="n">
        <v>0</v>
      </c>
      <c r="K548" t="n">
        <v>0</v>
      </c>
      <c r="L548" t="n">
        <v>0</v>
      </c>
      <c r="M548" t="n">
        <v>0</v>
      </c>
      <c r="N548" t="n">
        <v>0</v>
      </c>
      <c r="O548" t="n">
        <v>0</v>
      </c>
      <c r="P548" t="n">
        <v>0</v>
      </c>
      <c r="Q548" t="n">
        <v>1</v>
      </c>
      <c r="R548" s="2" t="inlineStr">
        <is>
          <t>Sårläka</t>
        </is>
      </c>
      <c r="S548">
        <f>HYPERLINK("https://klasma.github.io/Logging_BORGHOLM/artfynd/A 24096-2022.xlsx", "A 24096-2022")</f>
        <v/>
      </c>
      <c r="T548">
        <f>HYPERLINK("https://klasma.github.io/Logging_BORGHOLM/kartor/A 24096-2022.png", "A 24096-2022")</f>
        <v/>
      </c>
      <c r="V548">
        <f>HYPERLINK("https://klasma.github.io/Logging_BORGHOLM/klagomål/A 24096-2022.docx", "A 24096-2022")</f>
        <v/>
      </c>
      <c r="W548">
        <f>HYPERLINK("https://klasma.github.io/Logging_BORGHOLM/klagomålsmail/A 24096-2022.docx", "A 24096-2022")</f>
        <v/>
      </c>
      <c r="X548">
        <f>HYPERLINK("https://klasma.github.io/Logging_BORGHOLM/tillsyn/A 24096-2022.docx", "A 24096-2022")</f>
        <v/>
      </c>
      <c r="Y548">
        <f>HYPERLINK("https://klasma.github.io/Logging_BORGHOLM/tillsynsmail/A 24096-2022.docx", "A 24096-2022")</f>
        <v/>
      </c>
    </row>
    <row r="549" ht="15" customHeight="1">
      <c r="A549" t="inlineStr">
        <is>
          <t>A 24437-2022</t>
        </is>
      </c>
      <c r="B549" s="1" t="n">
        <v>44726</v>
      </c>
      <c r="C549" s="1" t="n">
        <v>45190</v>
      </c>
      <c r="D549" t="inlineStr">
        <is>
          <t>KALMAR LÄN</t>
        </is>
      </c>
      <c r="E549" t="inlineStr">
        <is>
          <t>KALMAR</t>
        </is>
      </c>
      <c r="G549" t="n">
        <v>21.2</v>
      </c>
      <c r="H549" t="n">
        <v>0</v>
      </c>
      <c r="I549" t="n">
        <v>0</v>
      </c>
      <c r="J549" t="n">
        <v>1</v>
      </c>
      <c r="K549" t="n">
        <v>0</v>
      </c>
      <c r="L549" t="n">
        <v>0</v>
      </c>
      <c r="M549" t="n">
        <v>0</v>
      </c>
      <c r="N549" t="n">
        <v>0</v>
      </c>
      <c r="O549" t="n">
        <v>1</v>
      </c>
      <c r="P549" t="n">
        <v>0</v>
      </c>
      <c r="Q549" t="n">
        <v>1</v>
      </c>
      <c r="R549" s="2" t="inlineStr">
        <is>
          <t>Paddfot</t>
        </is>
      </c>
      <c r="S549">
        <f>HYPERLINK("https://klasma.github.io/Logging_KALMAR/artfynd/A 24437-2022.xlsx", "A 24437-2022")</f>
        <v/>
      </c>
      <c r="T549">
        <f>HYPERLINK("https://klasma.github.io/Logging_KALMAR/kartor/A 24437-2022.png", "A 24437-2022")</f>
        <v/>
      </c>
      <c r="V549">
        <f>HYPERLINK("https://klasma.github.io/Logging_KALMAR/klagomål/A 24437-2022.docx", "A 24437-2022")</f>
        <v/>
      </c>
      <c r="W549">
        <f>HYPERLINK("https://klasma.github.io/Logging_KALMAR/klagomålsmail/A 24437-2022.docx", "A 24437-2022")</f>
        <v/>
      </c>
      <c r="X549">
        <f>HYPERLINK("https://klasma.github.io/Logging_KALMAR/tillsyn/A 24437-2022.docx", "A 24437-2022")</f>
        <v/>
      </c>
      <c r="Y549">
        <f>HYPERLINK("https://klasma.github.io/Logging_KALMAR/tillsynsmail/A 24437-2022.docx", "A 24437-2022")</f>
        <v/>
      </c>
    </row>
    <row r="550" ht="15" customHeight="1">
      <c r="A550" t="inlineStr">
        <is>
          <t>A 26056-2022</t>
        </is>
      </c>
      <c r="B550" s="1" t="n">
        <v>44734</v>
      </c>
      <c r="C550" s="1" t="n">
        <v>45190</v>
      </c>
      <c r="D550" t="inlineStr">
        <is>
          <t>KALMAR LÄN</t>
        </is>
      </c>
      <c r="E550" t="inlineStr">
        <is>
          <t>VÄSTERVIK</t>
        </is>
      </c>
      <c r="G550" t="n">
        <v>1.1</v>
      </c>
      <c r="H550" t="n">
        <v>0</v>
      </c>
      <c r="I550" t="n">
        <v>0</v>
      </c>
      <c r="J550" t="n">
        <v>1</v>
      </c>
      <c r="K550" t="n">
        <v>0</v>
      </c>
      <c r="L550" t="n">
        <v>0</v>
      </c>
      <c r="M550" t="n">
        <v>0</v>
      </c>
      <c r="N550" t="n">
        <v>0</v>
      </c>
      <c r="O550" t="n">
        <v>1</v>
      </c>
      <c r="P550" t="n">
        <v>0</v>
      </c>
      <c r="Q550" t="n">
        <v>1</v>
      </c>
      <c r="R550" s="2" t="inlineStr">
        <is>
          <t>Slåtterfibbla</t>
        </is>
      </c>
      <c r="S550">
        <f>HYPERLINK("https://klasma.github.io/Logging_VASTERVIK/artfynd/A 26056-2022.xlsx", "A 26056-2022")</f>
        <v/>
      </c>
      <c r="T550">
        <f>HYPERLINK("https://klasma.github.io/Logging_VASTERVIK/kartor/A 26056-2022.png", "A 26056-2022")</f>
        <v/>
      </c>
      <c r="V550">
        <f>HYPERLINK("https://klasma.github.io/Logging_VASTERVIK/klagomål/A 26056-2022.docx", "A 26056-2022")</f>
        <v/>
      </c>
      <c r="W550">
        <f>HYPERLINK("https://klasma.github.io/Logging_VASTERVIK/klagomålsmail/A 26056-2022.docx", "A 26056-2022")</f>
        <v/>
      </c>
      <c r="X550">
        <f>HYPERLINK("https://klasma.github.io/Logging_VASTERVIK/tillsyn/A 26056-2022.docx", "A 26056-2022")</f>
        <v/>
      </c>
      <c r="Y550">
        <f>HYPERLINK("https://klasma.github.io/Logging_VASTERVIK/tillsynsmail/A 26056-2022.docx", "A 26056-2022")</f>
        <v/>
      </c>
    </row>
    <row r="551" ht="15" customHeight="1">
      <c r="A551" t="inlineStr">
        <is>
          <t>A 30597-2022</t>
        </is>
      </c>
      <c r="B551" s="1" t="n">
        <v>44762</v>
      </c>
      <c r="C551" s="1" t="n">
        <v>45190</v>
      </c>
      <c r="D551" t="inlineStr">
        <is>
          <t>KALMAR LÄN</t>
        </is>
      </c>
      <c r="E551" t="inlineStr">
        <is>
          <t>EMMABODA</t>
        </is>
      </c>
      <c r="G551" t="n">
        <v>0.9</v>
      </c>
      <c r="H551" t="n">
        <v>1</v>
      </c>
      <c r="I551" t="n">
        <v>0</v>
      </c>
      <c r="J551" t="n">
        <v>0</v>
      </c>
      <c r="K551" t="n">
        <v>0</v>
      </c>
      <c r="L551" t="n">
        <v>0</v>
      </c>
      <c r="M551" t="n">
        <v>0</v>
      </c>
      <c r="N551" t="n">
        <v>0</v>
      </c>
      <c r="O551" t="n">
        <v>0</v>
      </c>
      <c r="P551" t="n">
        <v>0</v>
      </c>
      <c r="Q551" t="n">
        <v>1</v>
      </c>
      <c r="R551" s="2" t="inlineStr">
        <is>
          <t>Hasselmus</t>
        </is>
      </c>
      <c r="S551">
        <f>HYPERLINK("https://klasma.github.io/Logging_EMMABODA/artfynd/A 30597-2022.xlsx", "A 30597-2022")</f>
        <v/>
      </c>
      <c r="T551">
        <f>HYPERLINK("https://klasma.github.io/Logging_EMMABODA/kartor/A 30597-2022.png", "A 30597-2022")</f>
        <v/>
      </c>
      <c r="V551">
        <f>HYPERLINK("https://klasma.github.io/Logging_EMMABODA/klagomål/A 30597-2022.docx", "A 30597-2022")</f>
        <v/>
      </c>
      <c r="W551">
        <f>HYPERLINK("https://klasma.github.io/Logging_EMMABODA/klagomålsmail/A 30597-2022.docx", "A 30597-2022")</f>
        <v/>
      </c>
      <c r="X551">
        <f>HYPERLINK("https://klasma.github.io/Logging_EMMABODA/tillsyn/A 30597-2022.docx", "A 30597-2022")</f>
        <v/>
      </c>
      <c r="Y551">
        <f>HYPERLINK("https://klasma.github.io/Logging_EMMABODA/tillsynsmail/A 30597-2022.docx", "A 30597-2022")</f>
        <v/>
      </c>
    </row>
    <row r="552" ht="15" customHeight="1">
      <c r="A552" t="inlineStr">
        <is>
          <t>A 31295-2022</t>
        </is>
      </c>
      <c r="B552" s="1" t="n">
        <v>44772</v>
      </c>
      <c r="C552" s="1" t="n">
        <v>45190</v>
      </c>
      <c r="D552" t="inlineStr">
        <is>
          <t>KALMAR LÄN</t>
        </is>
      </c>
      <c r="E552" t="inlineStr">
        <is>
          <t>BORGHOLM</t>
        </is>
      </c>
      <c r="F552" t="inlineStr">
        <is>
          <t>Sveaskog</t>
        </is>
      </c>
      <c r="G552" t="n">
        <v>6.1</v>
      </c>
      <c r="H552" t="n">
        <v>0</v>
      </c>
      <c r="I552" t="n">
        <v>0</v>
      </c>
      <c r="J552" t="n">
        <v>0</v>
      </c>
      <c r="K552" t="n">
        <v>0</v>
      </c>
      <c r="L552" t="n">
        <v>1</v>
      </c>
      <c r="M552" t="n">
        <v>0</v>
      </c>
      <c r="N552" t="n">
        <v>0</v>
      </c>
      <c r="O552" t="n">
        <v>1</v>
      </c>
      <c r="P552" t="n">
        <v>1</v>
      </c>
      <c r="Q552" t="n">
        <v>1</v>
      </c>
      <c r="R552" s="2" t="inlineStr">
        <is>
          <t>Skärrande gräshoppa</t>
        </is>
      </c>
      <c r="S552">
        <f>HYPERLINK("https://klasma.github.io/Logging_BORGHOLM/artfynd/A 31295-2022.xlsx", "A 31295-2022")</f>
        <v/>
      </c>
      <c r="T552">
        <f>HYPERLINK("https://klasma.github.io/Logging_BORGHOLM/kartor/A 31295-2022.png", "A 31295-2022")</f>
        <v/>
      </c>
      <c r="V552">
        <f>HYPERLINK("https://klasma.github.io/Logging_BORGHOLM/klagomål/A 31295-2022.docx", "A 31295-2022")</f>
        <v/>
      </c>
      <c r="W552">
        <f>HYPERLINK("https://klasma.github.io/Logging_BORGHOLM/klagomålsmail/A 31295-2022.docx", "A 31295-2022")</f>
        <v/>
      </c>
      <c r="X552">
        <f>HYPERLINK("https://klasma.github.io/Logging_BORGHOLM/tillsyn/A 31295-2022.docx", "A 31295-2022")</f>
        <v/>
      </c>
      <c r="Y552">
        <f>HYPERLINK("https://klasma.github.io/Logging_BORGHOLM/tillsynsmail/A 31295-2022.docx", "A 31295-2022")</f>
        <v/>
      </c>
    </row>
    <row r="553" ht="15" customHeight="1">
      <c r="A553" t="inlineStr">
        <is>
          <t>A 32030-2022</t>
        </is>
      </c>
      <c r="B553" s="1" t="n">
        <v>44778</v>
      </c>
      <c r="C553" s="1" t="n">
        <v>45190</v>
      </c>
      <c r="D553" t="inlineStr">
        <is>
          <t>KALMAR LÄN</t>
        </is>
      </c>
      <c r="E553" t="inlineStr">
        <is>
          <t>OSKARSHAMN</t>
        </is>
      </c>
      <c r="G553" t="n">
        <v>2.4</v>
      </c>
      <c r="H553" t="n">
        <v>1</v>
      </c>
      <c r="I553" t="n">
        <v>0</v>
      </c>
      <c r="J553" t="n">
        <v>0</v>
      </c>
      <c r="K553" t="n">
        <v>0</v>
      </c>
      <c r="L553" t="n">
        <v>0</v>
      </c>
      <c r="M553" t="n">
        <v>0</v>
      </c>
      <c r="N553" t="n">
        <v>0</v>
      </c>
      <c r="O553" t="n">
        <v>0</v>
      </c>
      <c r="P553" t="n">
        <v>0</v>
      </c>
      <c r="Q553" t="n">
        <v>1</v>
      </c>
      <c r="R553" s="2" t="inlineStr">
        <is>
          <t>Blåsippa</t>
        </is>
      </c>
      <c r="S553">
        <f>HYPERLINK("https://klasma.github.io/Logging_OSKARSHAMN/artfynd/A 32030-2022.xlsx", "A 32030-2022")</f>
        <v/>
      </c>
      <c r="T553">
        <f>HYPERLINK("https://klasma.github.io/Logging_OSKARSHAMN/kartor/A 32030-2022.png", "A 32030-2022")</f>
        <v/>
      </c>
      <c r="V553">
        <f>HYPERLINK("https://klasma.github.io/Logging_OSKARSHAMN/klagomål/A 32030-2022.docx", "A 32030-2022")</f>
        <v/>
      </c>
      <c r="W553">
        <f>HYPERLINK("https://klasma.github.io/Logging_OSKARSHAMN/klagomålsmail/A 32030-2022.docx", "A 32030-2022")</f>
        <v/>
      </c>
      <c r="X553">
        <f>HYPERLINK("https://klasma.github.io/Logging_OSKARSHAMN/tillsyn/A 32030-2022.docx", "A 32030-2022")</f>
        <v/>
      </c>
      <c r="Y553">
        <f>HYPERLINK("https://klasma.github.io/Logging_OSKARSHAMN/tillsynsmail/A 32030-2022.docx", "A 32030-2022")</f>
        <v/>
      </c>
    </row>
    <row r="554" ht="15" customHeight="1">
      <c r="A554" t="inlineStr">
        <is>
          <t>A 33241-2022</t>
        </is>
      </c>
      <c r="B554" s="1" t="n">
        <v>44786</v>
      </c>
      <c r="C554" s="1" t="n">
        <v>45190</v>
      </c>
      <c r="D554" t="inlineStr">
        <is>
          <t>KALMAR LÄN</t>
        </is>
      </c>
      <c r="E554" t="inlineStr">
        <is>
          <t>OSKARSHAMN</t>
        </is>
      </c>
      <c r="G554" t="n">
        <v>3</v>
      </c>
      <c r="H554" t="n">
        <v>0</v>
      </c>
      <c r="I554" t="n">
        <v>1</v>
      </c>
      <c r="J554" t="n">
        <v>0</v>
      </c>
      <c r="K554" t="n">
        <v>0</v>
      </c>
      <c r="L554" t="n">
        <v>0</v>
      </c>
      <c r="M554" t="n">
        <v>0</v>
      </c>
      <c r="N554" t="n">
        <v>0</v>
      </c>
      <c r="O554" t="n">
        <v>0</v>
      </c>
      <c r="P554" t="n">
        <v>0</v>
      </c>
      <c r="Q554" t="n">
        <v>1</v>
      </c>
      <c r="R554" s="2" t="inlineStr">
        <is>
          <t>Fällmossa</t>
        </is>
      </c>
      <c r="S554">
        <f>HYPERLINK("https://klasma.github.io/Logging_OSKARSHAMN/artfynd/A 33241-2022.xlsx", "A 33241-2022")</f>
        <v/>
      </c>
      <c r="T554">
        <f>HYPERLINK("https://klasma.github.io/Logging_OSKARSHAMN/kartor/A 33241-2022.png", "A 33241-2022")</f>
        <v/>
      </c>
      <c r="V554">
        <f>HYPERLINK("https://klasma.github.io/Logging_OSKARSHAMN/klagomål/A 33241-2022.docx", "A 33241-2022")</f>
        <v/>
      </c>
      <c r="W554">
        <f>HYPERLINK("https://klasma.github.io/Logging_OSKARSHAMN/klagomålsmail/A 33241-2022.docx", "A 33241-2022")</f>
        <v/>
      </c>
      <c r="X554">
        <f>HYPERLINK("https://klasma.github.io/Logging_OSKARSHAMN/tillsyn/A 33241-2022.docx", "A 33241-2022")</f>
        <v/>
      </c>
      <c r="Y554">
        <f>HYPERLINK("https://klasma.github.io/Logging_OSKARSHAMN/tillsynsmail/A 33241-2022.docx", "A 33241-2022")</f>
        <v/>
      </c>
    </row>
    <row r="555" ht="15" customHeight="1">
      <c r="A555" t="inlineStr">
        <is>
          <t>A 34081-2022</t>
        </is>
      </c>
      <c r="B555" s="1" t="n">
        <v>44791</v>
      </c>
      <c r="C555" s="1" t="n">
        <v>45190</v>
      </c>
      <c r="D555" t="inlineStr">
        <is>
          <t>KALMAR LÄN</t>
        </is>
      </c>
      <c r="E555" t="inlineStr">
        <is>
          <t>MÖNSTERÅS</t>
        </is>
      </c>
      <c r="G555" t="n">
        <v>1.9</v>
      </c>
      <c r="H555" t="n">
        <v>1</v>
      </c>
      <c r="I555" t="n">
        <v>0</v>
      </c>
      <c r="J555" t="n">
        <v>0</v>
      </c>
      <c r="K555" t="n">
        <v>1</v>
      </c>
      <c r="L555" t="n">
        <v>0</v>
      </c>
      <c r="M555" t="n">
        <v>0</v>
      </c>
      <c r="N555" t="n">
        <v>0</v>
      </c>
      <c r="O555" t="n">
        <v>1</v>
      </c>
      <c r="P555" t="n">
        <v>1</v>
      </c>
      <c r="Q555" t="n">
        <v>1</v>
      </c>
      <c r="R555" s="2" t="inlineStr">
        <is>
          <t>Knärot</t>
        </is>
      </c>
      <c r="S555">
        <f>HYPERLINK("https://klasma.github.io/Logging_MONSTERAS/artfynd/A 34081-2022.xlsx", "A 34081-2022")</f>
        <v/>
      </c>
      <c r="T555">
        <f>HYPERLINK("https://klasma.github.io/Logging_MONSTERAS/kartor/A 34081-2022.png", "A 34081-2022")</f>
        <v/>
      </c>
      <c r="U555">
        <f>HYPERLINK("https://klasma.github.io/Logging_MONSTERAS/knärot/A 34081-2022.png", "A 34081-2022")</f>
        <v/>
      </c>
      <c r="V555">
        <f>HYPERLINK("https://klasma.github.io/Logging_MONSTERAS/klagomål/A 34081-2022.docx", "A 34081-2022")</f>
        <v/>
      </c>
      <c r="W555">
        <f>HYPERLINK("https://klasma.github.io/Logging_MONSTERAS/klagomålsmail/A 34081-2022.docx", "A 34081-2022")</f>
        <v/>
      </c>
      <c r="X555">
        <f>HYPERLINK("https://klasma.github.io/Logging_MONSTERAS/tillsyn/A 34081-2022.docx", "A 34081-2022")</f>
        <v/>
      </c>
      <c r="Y555">
        <f>HYPERLINK("https://klasma.github.io/Logging_MONSTERAS/tillsynsmail/A 34081-2022.docx", "A 34081-2022")</f>
        <v/>
      </c>
    </row>
    <row r="556" ht="15" customHeight="1">
      <c r="A556" t="inlineStr">
        <is>
          <t>A 36625-2022</t>
        </is>
      </c>
      <c r="B556" s="1" t="n">
        <v>44804</v>
      </c>
      <c r="C556" s="1" t="n">
        <v>45190</v>
      </c>
      <c r="D556" t="inlineStr">
        <is>
          <t>KALMAR LÄN</t>
        </is>
      </c>
      <c r="E556" t="inlineStr">
        <is>
          <t>TORSÅS</t>
        </is>
      </c>
      <c r="G556" t="n">
        <v>7.5</v>
      </c>
      <c r="H556" t="n">
        <v>0</v>
      </c>
      <c r="I556" t="n">
        <v>1</v>
      </c>
      <c r="J556" t="n">
        <v>0</v>
      </c>
      <c r="K556" t="n">
        <v>0</v>
      </c>
      <c r="L556" t="n">
        <v>0</v>
      </c>
      <c r="M556" t="n">
        <v>0</v>
      </c>
      <c r="N556" t="n">
        <v>0</v>
      </c>
      <c r="O556" t="n">
        <v>0</v>
      </c>
      <c r="P556" t="n">
        <v>0</v>
      </c>
      <c r="Q556" t="n">
        <v>1</v>
      </c>
      <c r="R556" s="2" t="inlineStr">
        <is>
          <t>Stor revmossa</t>
        </is>
      </c>
      <c r="S556">
        <f>HYPERLINK("https://klasma.github.io/Logging_TORSAS/artfynd/A 36625-2022.xlsx", "A 36625-2022")</f>
        <v/>
      </c>
      <c r="T556">
        <f>HYPERLINK("https://klasma.github.io/Logging_TORSAS/kartor/A 36625-2022.png", "A 36625-2022")</f>
        <v/>
      </c>
      <c r="V556">
        <f>HYPERLINK("https://klasma.github.io/Logging_TORSAS/klagomål/A 36625-2022.docx", "A 36625-2022")</f>
        <v/>
      </c>
      <c r="W556">
        <f>HYPERLINK("https://klasma.github.io/Logging_TORSAS/klagomålsmail/A 36625-2022.docx", "A 36625-2022")</f>
        <v/>
      </c>
      <c r="X556">
        <f>HYPERLINK("https://klasma.github.io/Logging_TORSAS/tillsyn/A 36625-2022.docx", "A 36625-2022")</f>
        <v/>
      </c>
      <c r="Y556">
        <f>HYPERLINK("https://klasma.github.io/Logging_TORSAS/tillsynsmail/A 36625-2022.docx", "A 36625-2022")</f>
        <v/>
      </c>
    </row>
    <row r="557" ht="15" customHeight="1">
      <c r="A557" t="inlineStr">
        <is>
          <t>A 39199-2022</t>
        </is>
      </c>
      <c r="B557" s="1" t="n">
        <v>44817</v>
      </c>
      <c r="C557" s="1" t="n">
        <v>45190</v>
      </c>
      <c r="D557" t="inlineStr">
        <is>
          <t>KALMAR LÄN</t>
        </is>
      </c>
      <c r="E557" t="inlineStr">
        <is>
          <t>MÖNSTERÅS</t>
        </is>
      </c>
      <c r="G557" t="n">
        <v>5.2</v>
      </c>
      <c r="H557" t="n">
        <v>0</v>
      </c>
      <c r="I557" t="n">
        <v>0</v>
      </c>
      <c r="J557" t="n">
        <v>0</v>
      </c>
      <c r="K557" t="n">
        <v>0</v>
      </c>
      <c r="L557" t="n">
        <v>1</v>
      </c>
      <c r="M557" t="n">
        <v>0</v>
      </c>
      <c r="N557" t="n">
        <v>0</v>
      </c>
      <c r="O557" t="n">
        <v>1</v>
      </c>
      <c r="P557" t="n">
        <v>1</v>
      </c>
      <c r="Q557" t="n">
        <v>1</v>
      </c>
      <c r="R557" s="2" t="inlineStr">
        <is>
          <t>Ask</t>
        </is>
      </c>
      <c r="S557">
        <f>HYPERLINK("https://klasma.github.io/Logging_MONSTERAS/artfynd/A 39199-2022.xlsx", "A 39199-2022")</f>
        <v/>
      </c>
      <c r="T557">
        <f>HYPERLINK("https://klasma.github.io/Logging_MONSTERAS/kartor/A 39199-2022.png", "A 39199-2022")</f>
        <v/>
      </c>
      <c r="V557">
        <f>HYPERLINK("https://klasma.github.io/Logging_MONSTERAS/klagomål/A 39199-2022.docx", "A 39199-2022")</f>
        <v/>
      </c>
      <c r="W557">
        <f>HYPERLINK("https://klasma.github.io/Logging_MONSTERAS/klagomålsmail/A 39199-2022.docx", "A 39199-2022")</f>
        <v/>
      </c>
      <c r="X557">
        <f>HYPERLINK("https://klasma.github.io/Logging_MONSTERAS/tillsyn/A 39199-2022.docx", "A 39199-2022")</f>
        <v/>
      </c>
      <c r="Y557">
        <f>HYPERLINK("https://klasma.github.io/Logging_MONSTERAS/tillsynsmail/A 39199-2022.docx", "A 39199-2022")</f>
        <v/>
      </c>
    </row>
    <row r="558" ht="15" customHeight="1">
      <c r="A558" t="inlineStr">
        <is>
          <t>A 40258-2022</t>
        </is>
      </c>
      <c r="B558" s="1" t="n">
        <v>44820</v>
      </c>
      <c r="C558" s="1" t="n">
        <v>45190</v>
      </c>
      <c r="D558" t="inlineStr">
        <is>
          <t>KALMAR LÄN</t>
        </is>
      </c>
      <c r="E558" t="inlineStr">
        <is>
          <t>OSKARSHAMN</t>
        </is>
      </c>
      <c r="G558" t="n">
        <v>2.8</v>
      </c>
      <c r="H558" t="n">
        <v>0</v>
      </c>
      <c r="I558" t="n">
        <v>0</v>
      </c>
      <c r="J558" t="n">
        <v>1</v>
      </c>
      <c r="K558" t="n">
        <v>0</v>
      </c>
      <c r="L558" t="n">
        <v>0</v>
      </c>
      <c r="M558" t="n">
        <v>0</v>
      </c>
      <c r="N558" t="n">
        <v>0</v>
      </c>
      <c r="O558" t="n">
        <v>1</v>
      </c>
      <c r="P558" t="n">
        <v>0</v>
      </c>
      <c r="Q558" t="n">
        <v>1</v>
      </c>
      <c r="R558" s="2" t="inlineStr">
        <is>
          <t>Orange taggsvamp</t>
        </is>
      </c>
      <c r="S558">
        <f>HYPERLINK("https://klasma.github.io/Logging_OSKARSHAMN/artfynd/A 40258-2022.xlsx", "A 40258-2022")</f>
        <v/>
      </c>
      <c r="T558">
        <f>HYPERLINK("https://klasma.github.io/Logging_OSKARSHAMN/kartor/A 40258-2022.png", "A 40258-2022")</f>
        <v/>
      </c>
      <c r="V558">
        <f>HYPERLINK("https://klasma.github.io/Logging_OSKARSHAMN/klagomål/A 40258-2022.docx", "A 40258-2022")</f>
        <v/>
      </c>
      <c r="W558">
        <f>HYPERLINK("https://klasma.github.io/Logging_OSKARSHAMN/klagomålsmail/A 40258-2022.docx", "A 40258-2022")</f>
        <v/>
      </c>
      <c r="X558">
        <f>HYPERLINK("https://klasma.github.io/Logging_OSKARSHAMN/tillsyn/A 40258-2022.docx", "A 40258-2022")</f>
        <v/>
      </c>
      <c r="Y558">
        <f>HYPERLINK("https://klasma.github.io/Logging_OSKARSHAMN/tillsynsmail/A 40258-2022.docx", "A 40258-2022")</f>
        <v/>
      </c>
    </row>
    <row r="559" ht="15" customHeight="1">
      <c r="A559" t="inlineStr">
        <is>
          <t>A 40924-2022</t>
        </is>
      </c>
      <c r="B559" s="1" t="n">
        <v>44825</v>
      </c>
      <c r="C559" s="1" t="n">
        <v>45190</v>
      </c>
      <c r="D559" t="inlineStr">
        <is>
          <t>KALMAR LÄN</t>
        </is>
      </c>
      <c r="E559" t="inlineStr">
        <is>
          <t>VÄSTERVIK</t>
        </is>
      </c>
      <c r="F559" t="inlineStr">
        <is>
          <t>Sveaskog</t>
        </is>
      </c>
      <c r="G559" t="n">
        <v>0.5</v>
      </c>
      <c r="H559" t="n">
        <v>1</v>
      </c>
      <c r="I559" t="n">
        <v>0</v>
      </c>
      <c r="J559" t="n">
        <v>1</v>
      </c>
      <c r="K559" t="n">
        <v>0</v>
      </c>
      <c r="L559" t="n">
        <v>0</v>
      </c>
      <c r="M559" t="n">
        <v>0</v>
      </c>
      <c r="N559" t="n">
        <v>0</v>
      </c>
      <c r="O559" t="n">
        <v>1</v>
      </c>
      <c r="P559" t="n">
        <v>0</v>
      </c>
      <c r="Q559" t="n">
        <v>1</v>
      </c>
      <c r="R559" s="2" t="inlineStr">
        <is>
          <t>Barbastell</t>
        </is>
      </c>
      <c r="S559">
        <f>HYPERLINK("https://klasma.github.io/Logging_VASTERVIK/artfynd/A 40924-2022.xlsx", "A 40924-2022")</f>
        <v/>
      </c>
      <c r="T559">
        <f>HYPERLINK("https://klasma.github.io/Logging_VASTERVIK/kartor/A 40924-2022.png", "A 40924-2022")</f>
        <v/>
      </c>
      <c r="V559">
        <f>HYPERLINK("https://klasma.github.io/Logging_VASTERVIK/klagomål/A 40924-2022.docx", "A 40924-2022")</f>
        <v/>
      </c>
      <c r="W559">
        <f>HYPERLINK("https://klasma.github.io/Logging_VASTERVIK/klagomålsmail/A 40924-2022.docx", "A 40924-2022")</f>
        <v/>
      </c>
      <c r="X559">
        <f>HYPERLINK("https://klasma.github.io/Logging_VASTERVIK/tillsyn/A 40924-2022.docx", "A 40924-2022")</f>
        <v/>
      </c>
      <c r="Y559">
        <f>HYPERLINK("https://klasma.github.io/Logging_VASTERVIK/tillsynsmail/A 40924-2022.docx", "A 40924-2022")</f>
        <v/>
      </c>
    </row>
    <row r="560" ht="15" customHeight="1">
      <c r="A560" t="inlineStr">
        <is>
          <t>A 41879-2022</t>
        </is>
      </c>
      <c r="B560" s="1" t="n">
        <v>44827</v>
      </c>
      <c r="C560" s="1" t="n">
        <v>45190</v>
      </c>
      <c r="D560" t="inlineStr">
        <is>
          <t>KALMAR LÄN</t>
        </is>
      </c>
      <c r="E560" t="inlineStr">
        <is>
          <t>MÖNSTERÅS</t>
        </is>
      </c>
      <c r="F560" t="inlineStr">
        <is>
          <t>Kyrkan</t>
        </is>
      </c>
      <c r="G560" t="n">
        <v>1</v>
      </c>
      <c r="H560" t="n">
        <v>0</v>
      </c>
      <c r="I560" t="n">
        <v>0</v>
      </c>
      <c r="J560" t="n">
        <v>1</v>
      </c>
      <c r="K560" t="n">
        <v>0</v>
      </c>
      <c r="L560" t="n">
        <v>0</v>
      </c>
      <c r="M560" t="n">
        <v>0</v>
      </c>
      <c r="N560" t="n">
        <v>0</v>
      </c>
      <c r="O560" t="n">
        <v>1</v>
      </c>
      <c r="P560" t="n">
        <v>0</v>
      </c>
      <c r="Q560" t="n">
        <v>1</v>
      </c>
      <c r="R560" s="2" t="inlineStr">
        <is>
          <t>Brunag</t>
        </is>
      </c>
      <c r="S560">
        <f>HYPERLINK("https://klasma.github.io/Logging_MONSTERAS/artfynd/A 41879-2022.xlsx", "A 41879-2022")</f>
        <v/>
      </c>
      <c r="T560">
        <f>HYPERLINK("https://klasma.github.io/Logging_MONSTERAS/kartor/A 41879-2022.png", "A 41879-2022")</f>
        <v/>
      </c>
      <c r="V560">
        <f>HYPERLINK("https://klasma.github.io/Logging_MONSTERAS/klagomål/A 41879-2022.docx", "A 41879-2022")</f>
        <v/>
      </c>
      <c r="W560">
        <f>HYPERLINK("https://klasma.github.io/Logging_MONSTERAS/klagomålsmail/A 41879-2022.docx", "A 41879-2022")</f>
        <v/>
      </c>
      <c r="X560">
        <f>HYPERLINK("https://klasma.github.io/Logging_MONSTERAS/tillsyn/A 41879-2022.docx", "A 41879-2022")</f>
        <v/>
      </c>
      <c r="Y560">
        <f>HYPERLINK("https://klasma.github.io/Logging_MONSTERAS/tillsynsmail/A 41879-2022.docx", "A 41879-2022")</f>
        <v/>
      </c>
    </row>
    <row r="561" ht="15" customHeight="1">
      <c r="A561" t="inlineStr">
        <is>
          <t>A 42052-2022</t>
        </is>
      </c>
      <c r="B561" s="1" t="n">
        <v>44830</v>
      </c>
      <c r="C561" s="1" t="n">
        <v>45190</v>
      </c>
      <c r="D561" t="inlineStr">
        <is>
          <t>KALMAR LÄN</t>
        </is>
      </c>
      <c r="E561" t="inlineStr">
        <is>
          <t>KALMAR</t>
        </is>
      </c>
      <c r="G561" t="n">
        <v>5.1</v>
      </c>
      <c r="H561" t="n">
        <v>1</v>
      </c>
      <c r="I561" t="n">
        <v>0</v>
      </c>
      <c r="J561" t="n">
        <v>0</v>
      </c>
      <c r="K561" t="n">
        <v>0</v>
      </c>
      <c r="L561" t="n">
        <v>0</v>
      </c>
      <c r="M561" t="n">
        <v>0</v>
      </c>
      <c r="N561" t="n">
        <v>0</v>
      </c>
      <c r="O561" t="n">
        <v>0</v>
      </c>
      <c r="P561" t="n">
        <v>0</v>
      </c>
      <c r="Q561" t="n">
        <v>1</v>
      </c>
      <c r="R561" s="2" t="inlineStr">
        <is>
          <t>Brudsporre</t>
        </is>
      </c>
      <c r="S561">
        <f>HYPERLINK("https://klasma.github.io/Logging_KALMAR/artfynd/A 42052-2022.xlsx", "A 42052-2022")</f>
        <v/>
      </c>
      <c r="T561">
        <f>HYPERLINK("https://klasma.github.io/Logging_KALMAR/kartor/A 42052-2022.png", "A 42052-2022")</f>
        <v/>
      </c>
      <c r="V561">
        <f>HYPERLINK("https://klasma.github.io/Logging_KALMAR/klagomål/A 42052-2022.docx", "A 42052-2022")</f>
        <v/>
      </c>
      <c r="W561">
        <f>HYPERLINK("https://klasma.github.io/Logging_KALMAR/klagomålsmail/A 42052-2022.docx", "A 42052-2022")</f>
        <v/>
      </c>
      <c r="X561">
        <f>HYPERLINK("https://klasma.github.io/Logging_KALMAR/tillsyn/A 42052-2022.docx", "A 42052-2022")</f>
        <v/>
      </c>
      <c r="Y561">
        <f>HYPERLINK("https://klasma.github.io/Logging_KALMAR/tillsynsmail/A 42052-2022.docx", "A 42052-2022")</f>
        <v/>
      </c>
    </row>
    <row r="562" ht="15" customHeight="1">
      <c r="A562" t="inlineStr">
        <is>
          <t>A 46556-2022</t>
        </is>
      </c>
      <c r="B562" s="1" t="n">
        <v>44848</v>
      </c>
      <c r="C562" s="1" t="n">
        <v>45190</v>
      </c>
      <c r="D562" t="inlineStr">
        <is>
          <t>KALMAR LÄN</t>
        </is>
      </c>
      <c r="E562" t="inlineStr">
        <is>
          <t>VÄSTERVIK</t>
        </is>
      </c>
      <c r="F562" t="inlineStr">
        <is>
          <t>Sveaskog</t>
        </is>
      </c>
      <c r="G562" t="n">
        <v>1.5</v>
      </c>
      <c r="H562" t="n">
        <v>0</v>
      </c>
      <c r="I562" t="n">
        <v>1</v>
      </c>
      <c r="J562" t="n">
        <v>0</v>
      </c>
      <c r="K562" t="n">
        <v>0</v>
      </c>
      <c r="L562" t="n">
        <v>0</v>
      </c>
      <c r="M562" t="n">
        <v>0</v>
      </c>
      <c r="N562" t="n">
        <v>0</v>
      </c>
      <c r="O562" t="n">
        <v>0</v>
      </c>
      <c r="P562" t="n">
        <v>0</v>
      </c>
      <c r="Q562" t="n">
        <v>1</v>
      </c>
      <c r="R562" s="2" t="inlineStr">
        <is>
          <t>Fjällig taggsvamp s.str.</t>
        </is>
      </c>
      <c r="S562">
        <f>HYPERLINK("https://klasma.github.io/Logging_VASTERVIK/artfynd/A 46556-2022.xlsx", "A 46556-2022")</f>
        <v/>
      </c>
      <c r="T562">
        <f>HYPERLINK("https://klasma.github.io/Logging_VASTERVIK/kartor/A 46556-2022.png", "A 46556-2022")</f>
        <v/>
      </c>
      <c r="V562">
        <f>HYPERLINK("https://klasma.github.io/Logging_VASTERVIK/klagomål/A 46556-2022.docx", "A 46556-2022")</f>
        <v/>
      </c>
      <c r="W562">
        <f>HYPERLINK("https://klasma.github.io/Logging_VASTERVIK/klagomålsmail/A 46556-2022.docx", "A 46556-2022")</f>
        <v/>
      </c>
      <c r="X562">
        <f>HYPERLINK("https://klasma.github.io/Logging_VASTERVIK/tillsyn/A 46556-2022.docx", "A 46556-2022")</f>
        <v/>
      </c>
      <c r="Y562">
        <f>HYPERLINK("https://klasma.github.io/Logging_VASTERVIK/tillsynsmail/A 46556-2022.docx", "A 46556-2022")</f>
        <v/>
      </c>
    </row>
    <row r="563" ht="15" customHeight="1">
      <c r="A563" t="inlineStr">
        <is>
          <t>A 46559-2022</t>
        </is>
      </c>
      <c r="B563" s="1" t="n">
        <v>44848</v>
      </c>
      <c r="C563" s="1" t="n">
        <v>45190</v>
      </c>
      <c r="D563" t="inlineStr">
        <is>
          <t>KALMAR LÄN</t>
        </is>
      </c>
      <c r="E563" t="inlineStr">
        <is>
          <t>VÄSTERVIK</t>
        </is>
      </c>
      <c r="F563" t="inlineStr">
        <is>
          <t>Sveaskog</t>
        </is>
      </c>
      <c r="G563" t="n">
        <v>2.2</v>
      </c>
      <c r="H563" t="n">
        <v>1</v>
      </c>
      <c r="I563" t="n">
        <v>0</v>
      </c>
      <c r="J563" t="n">
        <v>0</v>
      </c>
      <c r="K563" t="n">
        <v>0</v>
      </c>
      <c r="L563" t="n">
        <v>0</v>
      </c>
      <c r="M563" t="n">
        <v>0</v>
      </c>
      <c r="N563" t="n">
        <v>0</v>
      </c>
      <c r="O563" t="n">
        <v>0</v>
      </c>
      <c r="P563" t="n">
        <v>0</v>
      </c>
      <c r="Q563" t="n">
        <v>1</v>
      </c>
      <c r="R563" s="2" t="inlineStr">
        <is>
          <t>Blåsippa</t>
        </is>
      </c>
      <c r="S563">
        <f>HYPERLINK("https://klasma.github.io/Logging_VASTERVIK/artfynd/A 46559-2022.xlsx", "A 46559-2022")</f>
        <v/>
      </c>
      <c r="T563">
        <f>HYPERLINK("https://klasma.github.io/Logging_VASTERVIK/kartor/A 46559-2022.png", "A 46559-2022")</f>
        <v/>
      </c>
      <c r="V563">
        <f>HYPERLINK("https://klasma.github.io/Logging_VASTERVIK/klagomål/A 46559-2022.docx", "A 46559-2022")</f>
        <v/>
      </c>
      <c r="W563">
        <f>HYPERLINK("https://klasma.github.io/Logging_VASTERVIK/klagomålsmail/A 46559-2022.docx", "A 46559-2022")</f>
        <v/>
      </c>
      <c r="X563">
        <f>HYPERLINK("https://klasma.github.io/Logging_VASTERVIK/tillsyn/A 46559-2022.docx", "A 46559-2022")</f>
        <v/>
      </c>
      <c r="Y563">
        <f>HYPERLINK("https://klasma.github.io/Logging_VASTERVIK/tillsynsmail/A 46559-2022.docx", "A 46559-2022")</f>
        <v/>
      </c>
    </row>
    <row r="564" ht="15" customHeight="1">
      <c r="A564" t="inlineStr">
        <is>
          <t>A 48263-2022</t>
        </is>
      </c>
      <c r="B564" s="1" t="n">
        <v>44853</v>
      </c>
      <c r="C564" s="1" t="n">
        <v>45190</v>
      </c>
      <c r="D564" t="inlineStr">
        <is>
          <t>KALMAR LÄN</t>
        </is>
      </c>
      <c r="E564" t="inlineStr">
        <is>
          <t>HÖGSBY</t>
        </is>
      </c>
      <c r="G564" t="n">
        <v>8.199999999999999</v>
      </c>
      <c r="H564" t="n">
        <v>1</v>
      </c>
      <c r="I564" t="n">
        <v>0</v>
      </c>
      <c r="J564" t="n">
        <v>1</v>
      </c>
      <c r="K564" t="n">
        <v>0</v>
      </c>
      <c r="L564" t="n">
        <v>0</v>
      </c>
      <c r="M564" t="n">
        <v>0</v>
      </c>
      <c r="N564" t="n">
        <v>0</v>
      </c>
      <c r="O564" t="n">
        <v>1</v>
      </c>
      <c r="P564" t="n">
        <v>0</v>
      </c>
      <c r="Q564" t="n">
        <v>1</v>
      </c>
      <c r="R564" s="2" t="inlineStr">
        <is>
          <t>Talltita</t>
        </is>
      </c>
      <c r="S564">
        <f>HYPERLINK("https://klasma.github.io/Logging_HOGSBY/artfynd/A 48263-2022.xlsx", "A 48263-2022")</f>
        <v/>
      </c>
      <c r="T564">
        <f>HYPERLINK("https://klasma.github.io/Logging_HOGSBY/kartor/A 48263-2022.png", "A 48263-2022")</f>
        <v/>
      </c>
      <c r="V564">
        <f>HYPERLINK("https://klasma.github.io/Logging_HOGSBY/klagomål/A 48263-2022.docx", "A 48263-2022")</f>
        <v/>
      </c>
      <c r="W564">
        <f>HYPERLINK("https://klasma.github.io/Logging_HOGSBY/klagomålsmail/A 48263-2022.docx", "A 48263-2022")</f>
        <v/>
      </c>
      <c r="X564">
        <f>HYPERLINK("https://klasma.github.io/Logging_HOGSBY/tillsyn/A 48263-2022.docx", "A 48263-2022")</f>
        <v/>
      </c>
      <c r="Y564">
        <f>HYPERLINK("https://klasma.github.io/Logging_HOGSBY/tillsynsmail/A 48263-2022.docx", "A 48263-2022")</f>
        <v/>
      </c>
    </row>
    <row r="565" ht="15" customHeight="1">
      <c r="A565" t="inlineStr">
        <is>
          <t>A 47672-2022</t>
        </is>
      </c>
      <c r="B565" s="1" t="n">
        <v>44854</v>
      </c>
      <c r="C565" s="1" t="n">
        <v>45190</v>
      </c>
      <c r="D565" t="inlineStr">
        <is>
          <t>KALMAR LÄN</t>
        </is>
      </c>
      <c r="E565" t="inlineStr">
        <is>
          <t>MÖNSTERÅS</t>
        </is>
      </c>
      <c r="G565" t="n">
        <v>4.6</v>
      </c>
      <c r="H565" t="n">
        <v>1</v>
      </c>
      <c r="I565" t="n">
        <v>0</v>
      </c>
      <c r="J565" t="n">
        <v>0</v>
      </c>
      <c r="K565" t="n">
        <v>1</v>
      </c>
      <c r="L565" t="n">
        <v>0</v>
      </c>
      <c r="M565" t="n">
        <v>0</v>
      </c>
      <c r="N565" t="n">
        <v>0</v>
      </c>
      <c r="O565" t="n">
        <v>1</v>
      </c>
      <c r="P565" t="n">
        <v>1</v>
      </c>
      <c r="Q565" t="n">
        <v>1</v>
      </c>
      <c r="R565" s="2" t="inlineStr">
        <is>
          <t>Knärot</t>
        </is>
      </c>
      <c r="S565">
        <f>HYPERLINK("https://klasma.github.io/Logging_MONSTERAS/artfynd/A 47672-2022.xlsx", "A 47672-2022")</f>
        <v/>
      </c>
      <c r="T565">
        <f>HYPERLINK("https://klasma.github.io/Logging_MONSTERAS/kartor/A 47672-2022.png", "A 47672-2022")</f>
        <v/>
      </c>
      <c r="U565">
        <f>HYPERLINK("https://klasma.github.io/Logging_MONSTERAS/knärot/A 47672-2022.png", "A 47672-2022")</f>
        <v/>
      </c>
      <c r="V565">
        <f>HYPERLINK("https://klasma.github.io/Logging_MONSTERAS/klagomål/A 47672-2022.docx", "A 47672-2022")</f>
        <v/>
      </c>
      <c r="W565">
        <f>HYPERLINK("https://klasma.github.io/Logging_MONSTERAS/klagomålsmail/A 47672-2022.docx", "A 47672-2022")</f>
        <v/>
      </c>
      <c r="X565">
        <f>HYPERLINK("https://klasma.github.io/Logging_MONSTERAS/tillsyn/A 47672-2022.docx", "A 47672-2022")</f>
        <v/>
      </c>
      <c r="Y565">
        <f>HYPERLINK("https://klasma.github.io/Logging_MONSTERAS/tillsynsmail/A 47672-2022.docx", "A 47672-2022")</f>
        <v/>
      </c>
    </row>
    <row r="566" ht="15" customHeight="1">
      <c r="A566" t="inlineStr">
        <is>
          <t>A 48442-2022</t>
        </is>
      </c>
      <c r="B566" s="1" t="n">
        <v>44858</v>
      </c>
      <c r="C566" s="1" t="n">
        <v>45190</v>
      </c>
      <c r="D566" t="inlineStr">
        <is>
          <t>KALMAR LÄN</t>
        </is>
      </c>
      <c r="E566" t="inlineStr">
        <is>
          <t>OSKARSHAMN</t>
        </is>
      </c>
      <c r="G566" t="n">
        <v>2.9</v>
      </c>
      <c r="H566" t="n">
        <v>1</v>
      </c>
      <c r="I566" t="n">
        <v>1</v>
      </c>
      <c r="J566" t="n">
        <v>0</v>
      </c>
      <c r="K566" t="n">
        <v>0</v>
      </c>
      <c r="L566" t="n">
        <v>0</v>
      </c>
      <c r="M566" t="n">
        <v>0</v>
      </c>
      <c r="N566" t="n">
        <v>0</v>
      </c>
      <c r="O566" t="n">
        <v>0</v>
      </c>
      <c r="P566" t="n">
        <v>0</v>
      </c>
      <c r="Q566" t="n">
        <v>1</v>
      </c>
      <c r="R566" s="2" t="inlineStr">
        <is>
          <t>Ekoxe</t>
        </is>
      </c>
      <c r="S566">
        <f>HYPERLINK("https://klasma.github.io/Logging_OSKARSHAMN/artfynd/A 48442-2022.xlsx", "A 48442-2022")</f>
        <v/>
      </c>
      <c r="T566">
        <f>HYPERLINK("https://klasma.github.io/Logging_OSKARSHAMN/kartor/A 48442-2022.png", "A 48442-2022")</f>
        <v/>
      </c>
      <c r="V566">
        <f>HYPERLINK("https://klasma.github.io/Logging_OSKARSHAMN/klagomål/A 48442-2022.docx", "A 48442-2022")</f>
        <v/>
      </c>
      <c r="W566">
        <f>HYPERLINK("https://klasma.github.io/Logging_OSKARSHAMN/klagomålsmail/A 48442-2022.docx", "A 48442-2022")</f>
        <v/>
      </c>
      <c r="X566">
        <f>HYPERLINK("https://klasma.github.io/Logging_OSKARSHAMN/tillsyn/A 48442-2022.docx", "A 48442-2022")</f>
        <v/>
      </c>
      <c r="Y566">
        <f>HYPERLINK("https://klasma.github.io/Logging_OSKARSHAMN/tillsynsmail/A 48442-2022.docx", "A 48442-2022")</f>
        <v/>
      </c>
    </row>
    <row r="567" ht="15" customHeight="1">
      <c r="A567" t="inlineStr">
        <is>
          <t>A 51024-2022</t>
        </is>
      </c>
      <c r="B567" s="1" t="n">
        <v>44867</v>
      </c>
      <c r="C567" s="1" t="n">
        <v>45190</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HYPERLINK("https://klasma.github.io/Logging_VASTERVIK/artfynd/A 51024-2022.xlsx", "A 51024-2022")</f>
        <v/>
      </c>
      <c r="T567">
        <f>HYPERLINK("https://klasma.github.io/Logging_VASTERVIK/kartor/A 51024-2022.png", "A 51024-2022")</f>
        <v/>
      </c>
      <c r="V567">
        <f>HYPERLINK("https://klasma.github.io/Logging_VASTERVIK/klagomål/A 51024-2022.docx", "A 51024-2022")</f>
        <v/>
      </c>
      <c r="W567">
        <f>HYPERLINK("https://klasma.github.io/Logging_VASTERVIK/klagomålsmail/A 51024-2022.docx", "A 51024-2022")</f>
        <v/>
      </c>
      <c r="X567">
        <f>HYPERLINK("https://klasma.github.io/Logging_VASTERVIK/tillsyn/A 51024-2022.docx", "A 51024-2022")</f>
        <v/>
      </c>
      <c r="Y567">
        <f>HYPERLINK("https://klasma.github.io/Logging_VASTERVIK/tillsynsmail/A 51024-2022.docx", "A 51024-2022")</f>
        <v/>
      </c>
    </row>
    <row r="568" ht="15" customHeight="1">
      <c r="A568" t="inlineStr">
        <is>
          <t>A 52750-2022</t>
        </is>
      </c>
      <c r="B568" s="1" t="n">
        <v>44874</v>
      </c>
      <c r="C568" s="1" t="n">
        <v>45190</v>
      </c>
      <c r="D568" t="inlineStr">
        <is>
          <t>KALMAR LÄN</t>
        </is>
      </c>
      <c r="E568" t="inlineStr">
        <is>
          <t>NYBRO</t>
        </is>
      </c>
      <c r="G568" t="n">
        <v>15.6</v>
      </c>
      <c r="H568" t="n">
        <v>0</v>
      </c>
      <c r="I568" t="n">
        <v>0</v>
      </c>
      <c r="J568" t="n">
        <v>0</v>
      </c>
      <c r="K568" t="n">
        <v>1</v>
      </c>
      <c r="L568" t="n">
        <v>0</v>
      </c>
      <c r="M568" t="n">
        <v>0</v>
      </c>
      <c r="N568" t="n">
        <v>0</v>
      </c>
      <c r="O568" t="n">
        <v>1</v>
      </c>
      <c r="P568" t="n">
        <v>1</v>
      </c>
      <c r="Q568" t="n">
        <v>1</v>
      </c>
      <c r="R568" s="2" t="inlineStr">
        <is>
          <t>Ljungögontröst</t>
        </is>
      </c>
      <c r="S568">
        <f>HYPERLINK("https://klasma.github.io/Logging_NYBRO/artfynd/A 52750-2022.xlsx", "A 52750-2022")</f>
        <v/>
      </c>
      <c r="T568">
        <f>HYPERLINK("https://klasma.github.io/Logging_NYBRO/kartor/A 52750-2022.png", "A 52750-2022")</f>
        <v/>
      </c>
      <c r="V568">
        <f>HYPERLINK("https://klasma.github.io/Logging_NYBRO/klagomål/A 52750-2022.docx", "A 52750-2022")</f>
        <v/>
      </c>
      <c r="W568">
        <f>HYPERLINK("https://klasma.github.io/Logging_NYBRO/klagomålsmail/A 52750-2022.docx", "A 52750-2022")</f>
        <v/>
      </c>
      <c r="X568">
        <f>HYPERLINK("https://klasma.github.io/Logging_NYBRO/tillsyn/A 52750-2022.docx", "A 52750-2022")</f>
        <v/>
      </c>
      <c r="Y568">
        <f>HYPERLINK("https://klasma.github.io/Logging_NYBRO/tillsynsmail/A 52750-2022.docx", "A 52750-2022")</f>
        <v/>
      </c>
    </row>
    <row r="569" ht="15" customHeight="1">
      <c r="A569" t="inlineStr">
        <is>
          <t>A 53862-2022</t>
        </is>
      </c>
      <c r="B569" s="1" t="n">
        <v>44876</v>
      </c>
      <c r="C569" s="1" t="n">
        <v>45190</v>
      </c>
      <c r="D569" t="inlineStr">
        <is>
          <t>KALMAR LÄN</t>
        </is>
      </c>
      <c r="E569" t="inlineStr">
        <is>
          <t>HULTSFRED</t>
        </is>
      </c>
      <c r="F569" t="inlineStr">
        <is>
          <t>Kommuner</t>
        </is>
      </c>
      <c r="G569" t="n">
        <v>1.7</v>
      </c>
      <c r="H569" t="n">
        <v>1</v>
      </c>
      <c r="I569" t="n">
        <v>0</v>
      </c>
      <c r="J569" t="n">
        <v>0</v>
      </c>
      <c r="K569" t="n">
        <v>0</v>
      </c>
      <c r="L569" t="n">
        <v>0</v>
      </c>
      <c r="M569" t="n">
        <v>0</v>
      </c>
      <c r="N569" t="n">
        <v>0</v>
      </c>
      <c r="O569" t="n">
        <v>0</v>
      </c>
      <c r="P569" t="n">
        <v>0</v>
      </c>
      <c r="Q569" t="n">
        <v>1</v>
      </c>
      <c r="R569" s="2" t="inlineStr">
        <is>
          <t>Blåsippa</t>
        </is>
      </c>
      <c r="S569">
        <f>HYPERLINK("https://klasma.github.io/Logging_HULTSFRED/artfynd/A 53862-2022.xlsx", "A 53862-2022")</f>
        <v/>
      </c>
      <c r="T569">
        <f>HYPERLINK("https://klasma.github.io/Logging_HULTSFRED/kartor/A 53862-2022.png", "A 53862-2022")</f>
        <v/>
      </c>
      <c r="V569">
        <f>HYPERLINK("https://klasma.github.io/Logging_HULTSFRED/klagomål/A 53862-2022.docx", "A 53862-2022")</f>
        <v/>
      </c>
      <c r="W569">
        <f>HYPERLINK("https://klasma.github.io/Logging_HULTSFRED/klagomålsmail/A 53862-2022.docx", "A 53862-2022")</f>
        <v/>
      </c>
      <c r="X569">
        <f>HYPERLINK("https://klasma.github.io/Logging_HULTSFRED/tillsyn/A 53862-2022.docx", "A 53862-2022")</f>
        <v/>
      </c>
      <c r="Y569">
        <f>HYPERLINK("https://klasma.github.io/Logging_HULTSFRED/tillsynsmail/A 53862-2022.docx", "A 53862-2022")</f>
        <v/>
      </c>
    </row>
    <row r="570" ht="15" customHeight="1">
      <c r="A570" t="inlineStr">
        <is>
          <t>A 54193-2022</t>
        </is>
      </c>
      <c r="B570" s="1" t="n">
        <v>44881</v>
      </c>
      <c r="C570" s="1" t="n">
        <v>45190</v>
      </c>
      <c r="D570" t="inlineStr">
        <is>
          <t>KALMAR LÄN</t>
        </is>
      </c>
      <c r="E570" t="inlineStr">
        <is>
          <t>VÄSTERVIK</t>
        </is>
      </c>
      <c r="G570" t="n">
        <v>1.7</v>
      </c>
      <c r="H570" t="n">
        <v>0</v>
      </c>
      <c r="I570" t="n">
        <v>1</v>
      </c>
      <c r="J570" t="n">
        <v>0</v>
      </c>
      <c r="K570" t="n">
        <v>0</v>
      </c>
      <c r="L570" t="n">
        <v>0</v>
      </c>
      <c r="M570" t="n">
        <v>0</v>
      </c>
      <c r="N570" t="n">
        <v>0</v>
      </c>
      <c r="O570" t="n">
        <v>0</v>
      </c>
      <c r="P570" t="n">
        <v>0</v>
      </c>
      <c r="Q570" t="n">
        <v>1</v>
      </c>
      <c r="R570" s="2" t="inlineStr">
        <is>
          <t>Murgröna</t>
        </is>
      </c>
      <c r="S570">
        <f>HYPERLINK("https://klasma.github.io/Logging_VASTERVIK/artfynd/A 54193-2022.xlsx", "A 54193-2022")</f>
        <v/>
      </c>
      <c r="T570">
        <f>HYPERLINK("https://klasma.github.io/Logging_VASTERVIK/kartor/A 54193-2022.png", "A 54193-2022")</f>
        <v/>
      </c>
      <c r="U570">
        <f>HYPERLINK("https://klasma.github.io/Logging_VASTERVIK/knärot/A 54193-2022.png", "A 54193-2022")</f>
        <v/>
      </c>
      <c r="V570">
        <f>HYPERLINK("https://klasma.github.io/Logging_VASTERVIK/klagomål/A 54193-2022.docx", "A 54193-2022")</f>
        <v/>
      </c>
      <c r="W570">
        <f>HYPERLINK("https://klasma.github.io/Logging_VASTERVIK/klagomålsmail/A 54193-2022.docx", "A 54193-2022")</f>
        <v/>
      </c>
      <c r="X570">
        <f>HYPERLINK("https://klasma.github.io/Logging_VASTERVIK/tillsyn/A 54193-2022.docx", "A 54193-2022")</f>
        <v/>
      </c>
      <c r="Y570">
        <f>HYPERLINK("https://klasma.github.io/Logging_VASTERVIK/tillsynsmail/A 54193-2022.docx", "A 54193-2022")</f>
        <v/>
      </c>
    </row>
    <row r="571" ht="15" customHeight="1">
      <c r="A571" t="inlineStr">
        <is>
          <t>A 54924-2022</t>
        </is>
      </c>
      <c r="B571" s="1" t="n">
        <v>44886</v>
      </c>
      <c r="C571" s="1" t="n">
        <v>45190</v>
      </c>
      <c r="D571" t="inlineStr">
        <is>
          <t>KALMAR LÄN</t>
        </is>
      </c>
      <c r="E571" t="inlineStr">
        <is>
          <t>MÖNSTERÅS</t>
        </is>
      </c>
      <c r="G571" t="n">
        <v>5</v>
      </c>
      <c r="H571" t="n">
        <v>1</v>
      </c>
      <c r="I571" t="n">
        <v>0</v>
      </c>
      <c r="J571" t="n">
        <v>0</v>
      </c>
      <c r="K571" t="n">
        <v>1</v>
      </c>
      <c r="L571" t="n">
        <v>0</v>
      </c>
      <c r="M571" t="n">
        <v>0</v>
      </c>
      <c r="N571" t="n">
        <v>0</v>
      </c>
      <c r="O571" t="n">
        <v>1</v>
      </c>
      <c r="P571" t="n">
        <v>1</v>
      </c>
      <c r="Q571" t="n">
        <v>1</v>
      </c>
      <c r="R571" s="2" t="inlineStr">
        <is>
          <t>Knärot</t>
        </is>
      </c>
      <c r="S571">
        <f>HYPERLINK("https://klasma.github.io/Logging_MONSTERAS/artfynd/A 54924-2022.xlsx", "A 54924-2022")</f>
        <v/>
      </c>
      <c r="T571">
        <f>HYPERLINK("https://klasma.github.io/Logging_MONSTERAS/kartor/A 54924-2022.png", "A 54924-2022")</f>
        <v/>
      </c>
      <c r="U571">
        <f>HYPERLINK("https://klasma.github.io/Logging_MONSTERAS/knärot/A 54924-2022.png", "A 54924-2022")</f>
        <v/>
      </c>
      <c r="V571">
        <f>HYPERLINK("https://klasma.github.io/Logging_MONSTERAS/klagomål/A 54924-2022.docx", "A 54924-2022")</f>
        <v/>
      </c>
      <c r="W571">
        <f>HYPERLINK("https://klasma.github.io/Logging_MONSTERAS/klagomålsmail/A 54924-2022.docx", "A 54924-2022")</f>
        <v/>
      </c>
      <c r="X571">
        <f>HYPERLINK("https://klasma.github.io/Logging_MONSTERAS/tillsyn/A 54924-2022.docx", "A 54924-2022")</f>
        <v/>
      </c>
      <c r="Y571">
        <f>HYPERLINK("https://klasma.github.io/Logging_MONSTERAS/tillsynsmail/A 54924-2022.docx", "A 54924-2022")</f>
        <v/>
      </c>
    </row>
    <row r="572" ht="15" customHeight="1">
      <c r="A572" t="inlineStr">
        <is>
          <t>A 59178-2022</t>
        </is>
      </c>
      <c r="B572" s="1" t="n">
        <v>44904</v>
      </c>
      <c r="C572" s="1" t="n">
        <v>45190</v>
      </c>
      <c r="D572" t="inlineStr">
        <is>
          <t>KALMAR LÄN</t>
        </is>
      </c>
      <c r="E572" t="inlineStr">
        <is>
          <t>VÄSTERVIK</t>
        </is>
      </c>
      <c r="G572" t="n">
        <v>3.3</v>
      </c>
      <c r="H572" t="n">
        <v>0</v>
      </c>
      <c r="I572" t="n">
        <v>0</v>
      </c>
      <c r="J572" t="n">
        <v>1</v>
      </c>
      <c r="K572" t="n">
        <v>0</v>
      </c>
      <c r="L572" t="n">
        <v>0</v>
      </c>
      <c r="M572" t="n">
        <v>0</v>
      </c>
      <c r="N572" t="n">
        <v>0</v>
      </c>
      <c r="O572" t="n">
        <v>1</v>
      </c>
      <c r="P572" t="n">
        <v>0</v>
      </c>
      <c r="Q572" t="n">
        <v>1</v>
      </c>
      <c r="R572" s="2" t="inlineStr">
        <is>
          <t>Tallticka</t>
        </is>
      </c>
      <c r="S572">
        <f>HYPERLINK("https://klasma.github.io/Logging_VASTERVIK/artfynd/A 59178-2022.xlsx", "A 59178-2022")</f>
        <v/>
      </c>
      <c r="T572">
        <f>HYPERLINK("https://klasma.github.io/Logging_VASTERVIK/kartor/A 59178-2022.png", "A 59178-2022")</f>
        <v/>
      </c>
      <c r="V572">
        <f>HYPERLINK("https://klasma.github.io/Logging_VASTERVIK/klagomål/A 59178-2022.docx", "A 59178-2022")</f>
        <v/>
      </c>
      <c r="W572">
        <f>HYPERLINK("https://klasma.github.io/Logging_VASTERVIK/klagomålsmail/A 59178-2022.docx", "A 59178-2022")</f>
        <v/>
      </c>
      <c r="X572">
        <f>HYPERLINK("https://klasma.github.io/Logging_VASTERVIK/tillsyn/A 59178-2022.docx", "A 59178-2022")</f>
        <v/>
      </c>
      <c r="Y572">
        <f>HYPERLINK("https://klasma.github.io/Logging_VASTERVIK/tillsynsmail/A 59178-2022.docx", "A 59178-2022")</f>
        <v/>
      </c>
    </row>
    <row r="573" ht="15" customHeight="1">
      <c r="A573" t="inlineStr">
        <is>
          <t>A 59407-2022</t>
        </is>
      </c>
      <c r="B573" s="1" t="n">
        <v>44907</v>
      </c>
      <c r="C573" s="1" t="n">
        <v>45190</v>
      </c>
      <c r="D573" t="inlineStr">
        <is>
          <t>KALMAR LÄN</t>
        </is>
      </c>
      <c r="E573" t="inlineStr">
        <is>
          <t>HÖGSBY</t>
        </is>
      </c>
      <c r="G573" t="n">
        <v>1</v>
      </c>
      <c r="H573" t="n">
        <v>1</v>
      </c>
      <c r="I573" t="n">
        <v>0</v>
      </c>
      <c r="J573" t="n">
        <v>0</v>
      </c>
      <c r="K573" t="n">
        <v>0</v>
      </c>
      <c r="L573" t="n">
        <v>0</v>
      </c>
      <c r="M573" t="n">
        <v>0</v>
      </c>
      <c r="N573" t="n">
        <v>0</v>
      </c>
      <c r="O573" t="n">
        <v>0</v>
      </c>
      <c r="P573" t="n">
        <v>0</v>
      </c>
      <c r="Q573" t="n">
        <v>1</v>
      </c>
      <c r="R573" s="2" t="inlineStr">
        <is>
          <t>Blåsippa</t>
        </is>
      </c>
      <c r="S573">
        <f>HYPERLINK("https://klasma.github.io/Logging_HOGSBY/artfynd/A 59407-2022.xlsx", "A 59407-2022")</f>
        <v/>
      </c>
      <c r="T573">
        <f>HYPERLINK("https://klasma.github.io/Logging_HOGSBY/kartor/A 59407-2022.png", "A 59407-2022")</f>
        <v/>
      </c>
      <c r="V573">
        <f>HYPERLINK("https://klasma.github.io/Logging_HOGSBY/klagomål/A 59407-2022.docx", "A 59407-2022")</f>
        <v/>
      </c>
      <c r="W573">
        <f>HYPERLINK("https://klasma.github.io/Logging_HOGSBY/klagomålsmail/A 59407-2022.docx", "A 59407-2022")</f>
        <v/>
      </c>
      <c r="X573">
        <f>HYPERLINK("https://klasma.github.io/Logging_HOGSBY/tillsyn/A 59407-2022.docx", "A 59407-2022")</f>
        <v/>
      </c>
      <c r="Y573">
        <f>HYPERLINK("https://klasma.github.io/Logging_HOGSBY/tillsynsmail/A 59407-2022.docx", "A 59407-2022")</f>
        <v/>
      </c>
    </row>
    <row r="574" ht="15" customHeight="1">
      <c r="A574" t="inlineStr">
        <is>
          <t>A 60036-2022</t>
        </is>
      </c>
      <c r="B574" s="1" t="n">
        <v>44909</v>
      </c>
      <c r="C574" s="1" t="n">
        <v>45190</v>
      </c>
      <c r="D574" t="inlineStr">
        <is>
          <t>KALMAR LÄN</t>
        </is>
      </c>
      <c r="E574" t="inlineStr">
        <is>
          <t>NYBRO</t>
        </is>
      </c>
      <c r="G574" t="n">
        <v>8.699999999999999</v>
      </c>
      <c r="H574" t="n">
        <v>1</v>
      </c>
      <c r="I574" t="n">
        <v>0</v>
      </c>
      <c r="J574" t="n">
        <v>0</v>
      </c>
      <c r="K574" t="n">
        <v>1</v>
      </c>
      <c r="L574" t="n">
        <v>0</v>
      </c>
      <c r="M574" t="n">
        <v>0</v>
      </c>
      <c r="N574" t="n">
        <v>0</v>
      </c>
      <c r="O574" t="n">
        <v>1</v>
      </c>
      <c r="P574" t="n">
        <v>1</v>
      </c>
      <c r="Q574" t="n">
        <v>1</v>
      </c>
      <c r="R574" s="2" t="inlineStr">
        <is>
          <t>Knärot</t>
        </is>
      </c>
      <c r="S574">
        <f>HYPERLINK("https://klasma.github.io/Logging_NYBRO/artfynd/A 60036-2022.xlsx", "A 60036-2022")</f>
        <v/>
      </c>
      <c r="T574">
        <f>HYPERLINK("https://klasma.github.io/Logging_NYBRO/kartor/A 60036-2022.png", "A 60036-2022")</f>
        <v/>
      </c>
      <c r="U574">
        <f>HYPERLINK("https://klasma.github.io/Logging_NYBRO/knärot/A 60036-2022.png", "A 60036-2022")</f>
        <v/>
      </c>
      <c r="V574">
        <f>HYPERLINK("https://klasma.github.io/Logging_NYBRO/klagomål/A 60036-2022.docx", "A 60036-2022")</f>
        <v/>
      </c>
      <c r="W574">
        <f>HYPERLINK("https://klasma.github.io/Logging_NYBRO/klagomålsmail/A 60036-2022.docx", "A 60036-2022")</f>
        <v/>
      </c>
      <c r="X574">
        <f>HYPERLINK("https://klasma.github.io/Logging_NYBRO/tillsyn/A 60036-2022.docx", "A 60036-2022")</f>
        <v/>
      </c>
      <c r="Y574">
        <f>HYPERLINK("https://klasma.github.io/Logging_NYBRO/tillsynsmail/A 60036-2022.docx", "A 60036-2022")</f>
        <v/>
      </c>
    </row>
    <row r="575" ht="15" customHeight="1">
      <c r="A575" t="inlineStr">
        <is>
          <t>A 61236-2022</t>
        </is>
      </c>
      <c r="B575" s="1" t="n">
        <v>44915</v>
      </c>
      <c r="C575" s="1" t="n">
        <v>45190</v>
      </c>
      <c r="D575" t="inlineStr">
        <is>
          <t>KALMAR LÄN</t>
        </is>
      </c>
      <c r="E575" t="inlineStr">
        <is>
          <t>KALMAR</t>
        </is>
      </c>
      <c r="G575" t="n">
        <v>1.4</v>
      </c>
      <c r="H575" t="n">
        <v>0</v>
      </c>
      <c r="I575" t="n">
        <v>1</v>
      </c>
      <c r="J575" t="n">
        <v>0</v>
      </c>
      <c r="K575" t="n">
        <v>0</v>
      </c>
      <c r="L575" t="n">
        <v>0</v>
      </c>
      <c r="M575" t="n">
        <v>0</v>
      </c>
      <c r="N575" t="n">
        <v>0</v>
      </c>
      <c r="O575" t="n">
        <v>0</v>
      </c>
      <c r="P575" t="n">
        <v>0</v>
      </c>
      <c r="Q575" t="n">
        <v>1</v>
      </c>
      <c r="R575" s="2" t="inlineStr">
        <is>
          <t>Murgröna</t>
        </is>
      </c>
      <c r="S575">
        <f>HYPERLINK("https://klasma.github.io/Logging_KALMAR/artfynd/A 61236-2022.xlsx", "A 61236-2022")</f>
        <v/>
      </c>
      <c r="T575">
        <f>HYPERLINK("https://klasma.github.io/Logging_KALMAR/kartor/A 61236-2022.png", "A 61236-2022")</f>
        <v/>
      </c>
      <c r="V575">
        <f>HYPERLINK("https://klasma.github.io/Logging_KALMAR/klagomål/A 61236-2022.docx", "A 61236-2022")</f>
        <v/>
      </c>
      <c r="W575">
        <f>HYPERLINK("https://klasma.github.io/Logging_KALMAR/klagomålsmail/A 61236-2022.docx", "A 61236-2022")</f>
        <v/>
      </c>
      <c r="X575">
        <f>HYPERLINK("https://klasma.github.io/Logging_KALMAR/tillsyn/A 61236-2022.docx", "A 61236-2022")</f>
        <v/>
      </c>
      <c r="Y575">
        <f>HYPERLINK("https://klasma.github.io/Logging_KALMAR/tillsynsmail/A 61236-2022.docx", "A 61236-2022")</f>
        <v/>
      </c>
    </row>
    <row r="576" ht="15" customHeight="1">
      <c r="A576" t="inlineStr">
        <is>
          <t>A 61771-2022</t>
        </is>
      </c>
      <c r="B576" s="1" t="n">
        <v>44917</v>
      </c>
      <c r="C576" s="1" t="n">
        <v>45190</v>
      </c>
      <c r="D576" t="inlineStr">
        <is>
          <t>KALMAR LÄN</t>
        </is>
      </c>
      <c r="E576" t="inlineStr">
        <is>
          <t>NYBRO</t>
        </is>
      </c>
      <c r="F576" t="inlineStr">
        <is>
          <t>Kommuner</t>
        </is>
      </c>
      <c r="G576" t="n">
        <v>10.4</v>
      </c>
      <c r="H576" t="n">
        <v>1</v>
      </c>
      <c r="I576" t="n">
        <v>0</v>
      </c>
      <c r="J576" t="n">
        <v>1</v>
      </c>
      <c r="K576" t="n">
        <v>0</v>
      </c>
      <c r="L576" t="n">
        <v>0</v>
      </c>
      <c r="M576" t="n">
        <v>0</v>
      </c>
      <c r="N576" t="n">
        <v>0</v>
      </c>
      <c r="O576" t="n">
        <v>1</v>
      </c>
      <c r="P576" t="n">
        <v>0</v>
      </c>
      <c r="Q576" t="n">
        <v>1</v>
      </c>
      <c r="R576" s="2" t="inlineStr">
        <is>
          <t>Talltita</t>
        </is>
      </c>
      <c r="S576">
        <f>HYPERLINK("https://klasma.github.io/Logging_NYBRO/artfynd/A 61771-2022.xlsx", "A 61771-2022")</f>
        <v/>
      </c>
      <c r="T576">
        <f>HYPERLINK("https://klasma.github.io/Logging_NYBRO/kartor/A 61771-2022.png", "A 61771-2022")</f>
        <v/>
      </c>
      <c r="V576">
        <f>HYPERLINK("https://klasma.github.io/Logging_NYBRO/klagomål/A 61771-2022.docx", "A 61771-2022")</f>
        <v/>
      </c>
      <c r="W576">
        <f>HYPERLINK("https://klasma.github.io/Logging_NYBRO/klagomålsmail/A 61771-2022.docx", "A 61771-2022")</f>
        <v/>
      </c>
      <c r="X576">
        <f>HYPERLINK("https://klasma.github.io/Logging_NYBRO/tillsyn/A 61771-2022.docx", "A 61771-2022")</f>
        <v/>
      </c>
      <c r="Y576">
        <f>HYPERLINK("https://klasma.github.io/Logging_NYBRO/tillsynsmail/A 61771-2022.docx", "A 61771-2022")</f>
        <v/>
      </c>
    </row>
    <row r="577" ht="15" customHeight="1">
      <c r="A577" t="inlineStr">
        <is>
          <t>A 61790-2022</t>
        </is>
      </c>
      <c r="B577" s="1" t="n">
        <v>44917</v>
      </c>
      <c r="C577" s="1" t="n">
        <v>45190</v>
      </c>
      <c r="D577" t="inlineStr">
        <is>
          <t>KALMAR LÄN</t>
        </is>
      </c>
      <c r="E577" t="inlineStr">
        <is>
          <t>NYBRO</t>
        </is>
      </c>
      <c r="F577" t="inlineStr">
        <is>
          <t>Kommuner</t>
        </is>
      </c>
      <c r="G577" t="n">
        <v>3.7</v>
      </c>
      <c r="H577" t="n">
        <v>0</v>
      </c>
      <c r="I577" t="n">
        <v>1</v>
      </c>
      <c r="J577" t="n">
        <v>0</v>
      </c>
      <c r="K577" t="n">
        <v>0</v>
      </c>
      <c r="L577" t="n">
        <v>0</v>
      </c>
      <c r="M577" t="n">
        <v>0</v>
      </c>
      <c r="N577" t="n">
        <v>0</v>
      </c>
      <c r="O577" t="n">
        <v>0</v>
      </c>
      <c r="P577" t="n">
        <v>0</v>
      </c>
      <c r="Q577" t="n">
        <v>1</v>
      </c>
      <c r="R577" s="2" t="inlineStr">
        <is>
          <t>Grönpyrola</t>
        </is>
      </c>
      <c r="S577">
        <f>HYPERLINK("https://klasma.github.io/Logging_NYBRO/artfynd/A 61790-2022.xlsx", "A 61790-2022")</f>
        <v/>
      </c>
      <c r="T577">
        <f>HYPERLINK("https://klasma.github.io/Logging_NYBRO/kartor/A 61790-2022.png", "A 61790-2022")</f>
        <v/>
      </c>
      <c r="V577">
        <f>HYPERLINK("https://klasma.github.io/Logging_NYBRO/klagomål/A 61790-2022.docx", "A 61790-2022")</f>
        <v/>
      </c>
      <c r="W577">
        <f>HYPERLINK("https://klasma.github.io/Logging_NYBRO/klagomålsmail/A 61790-2022.docx", "A 61790-2022")</f>
        <v/>
      </c>
      <c r="X577">
        <f>HYPERLINK("https://klasma.github.io/Logging_NYBRO/tillsyn/A 61790-2022.docx", "A 61790-2022")</f>
        <v/>
      </c>
      <c r="Y577">
        <f>HYPERLINK("https://klasma.github.io/Logging_NYBRO/tillsynsmail/A 61790-2022.docx", "A 61790-2022")</f>
        <v/>
      </c>
    </row>
    <row r="578" ht="15" customHeight="1">
      <c r="A578" t="inlineStr">
        <is>
          <t>A 141-2023</t>
        </is>
      </c>
      <c r="B578" s="1" t="n">
        <v>44928</v>
      </c>
      <c r="C578" s="1" t="n">
        <v>45190</v>
      </c>
      <c r="D578" t="inlineStr">
        <is>
          <t>KALMAR LÄN</t>
        </is>
      </c>
      <c r="E578" t="inlineStr">
        <is>
          <t>HULTSFRED</t>
        </is>
      </c>
      <c r="F578" t="inlineStr">
        <is>
          <t>Sveaskog</t>
        </is>
      </c>
      <c r="G578" t="n">
        <v>7.6</v>
      </c>
      <c r="H578" t="n">
        <v>0</v>
      </c>
      <c r="I578" t="n">
        <v>0</v>
      </c>
      <c r="J578" t="n">
        <v>1</v>
      </c>
      <c r="K578" t="n">
        <v>0</v>
      </c>
      <c r="L578" t="n">
        <v>0</v>
      </c>
      <c r="M578" t="n">
        <v>0</v>
      </c>
      <c r="N578" t="n">
        <v>0</v>
      </c>
      <c r="O578" t="n">
        <v>1</v>
      </c>
      <c r="P578" t="n">
        <v>0</v>
      </c>
      <c r="Q578" t="n">
        <v>1</v>
      </c>
      <c r="R578" s="2" t="inlineStr">
        <is>
          <t>Vedtrappmossa</t>
        </is>
      </c>
      <c r="S578">
        <f>HYPERLINK("https://klasma.github.io/Logging_HULTSFRED/artfynd/A 141-2023.xlsx", "A 141-2023")</f>
        <v/>
      </c>
      <c r="T578">
        <f>HYPERLINK("https://klasma.github.io/Logging_HULTSFRED/kartor/A 141-2023.png", "A 141-2023")</f>
        <v/>
      </c>
      <c r="V578">
        <f>HYPERLINK("https://klasma.github.io/Logging_HULTSFRED/klagomål/A 141-2023.docx", "A 141-2023")</f>
        <v/>
      </c>
      <c r="W578">
        <f>HYPERLINK("https://klasma.github.io/Logging_HULTSFRED/klagomålsmail/A 141-2023.docx", "A 141-2023")</f>
        <v/>
      </c>
      <c r="X578">
        <f>HYPERLINK("https://klasma.github.io/Logging_HULTSFRED/tillsyn/A 141-2023.docx", "A 141-2023")</f>
        <v/>
      </c>
      <c r="Y578">
        <f>HYPERLINK("https://klasma.github.io/Logging_HULTSFRED/tillsynsmail/A 141-2023.docx", "A 141-2023")</f>
        <v/>
      </c>
    </row>
    <row r="579" ht="15" customHeight="1">
      <c r="A579" t="inlineStr">
        <is>
          <t>A 183-2023</t>
        </is>
      </c>
      <c r="B579" s="1" t="n">
        <v>44928</v>
      </c>
      <c r="C579" s="1" t="n">
        <v>45190</v>
      </c>
      <c r="D579" t="inlineStr">
        <is>
          <t>KALMAR LÄN</t>
        </is>
      </c>
      <c r="E579" t="inlineStr">
        <is>
          <t>KALMAR</t>
        </is>
      </c>
      <c r="F579" t="inlineStr">
        <is>
          <t>Sveaskog</t>
        </is>
      </c>
      <c r="G579" t="n">
        <v>16.2</v>
      </c>
      <c r="H579" t="n">
        <v>1</v>
      </c>
      <c r="I579" t="n">
        <v>0</v>
      </c>
      <c r="J579" t="n">
        <v>1</v>
      </c>
      <c r="K579" t="n">
        <v>0</v>
      </c>
      <c r="L579" t="n">
        <v>0</v>
      </c>
      <c r="M579" t="n">
        <v>0</v>
      </c>
      <c r="N579" t="n">
        <v>0</v>
      </c>
      <c r="O579" t="n">
        <v>1</v>
      </c>
      <c r="P579" t="n">
        <v>0</v>
      </c>
      <c r="Q579" t="n">
        <v>1</v>
      </c>
      <c r="R579" s="2" t="inlineStr">
        <is>
          <t>Talltita</t>
        </is>
      </c>
      <c r="S579">
        <f>HYPERLINK("https://klasma.github.io/Logging_KALMAR/artfynd/A 183-2023.xlsx", "A 183-2023")</f>
        <v/>
      </c>
      <c r="T579">
        <f>HYPERLINK("https://klasma.github.io/Logging_KALMAR/kartor/A 183-2023.png", "A 183-2023")</f>
        <v/>
      </c>
      <c r="V579">
        <f>HYPERLINK("https://klasma.github.io/Logging_KALMAR/klagomål/A 183-2023.docx", "A 183-2023")</f>
        <v/>
      </c>
      <c r="W579">
        <f>HYPERLINK("https://klasma.github.io/Logging_KALMAR/klagomålsmail/A 183-2023.docx", "A 183-2023")</f>
        <v/>
      </c>
      <c r="X579">
        <f>HYPERLINK("https://klasma.github.io/Logging_KALMAR/tillsyn/A 183-2023.docx", "A 183-2023")</f>
        <v/>
      </c>
      <c r="Y579">
        <f>HYPERLINK("https://klasma.github.io/Logging_KALMAR/tillsynsmail/A 183-2023.docx", "A 183-2023")</f>
        <v/>
      </c>
    </row>
    <row r="580" ht="15" customHeight="1">
      <c r="A580" t="inlineStr">
        <is>
          <t>A 804-2023</t>
        </is>
      </c>
      <c r="B580" s="1" t="n">
        <v>44931</v>
      </c>
      <c r="C580" s="1" t="n">
        <v>45190</v>
      </c>
      <c r="D580" t="inlineStr">
        <is>
          <t>KALMAR LÄN</t>
        </is>
      </c>
      <c r="E580" t="inlineStr">
        <is>
          <t>VÄSTERVIK</t>
        </is>
      </c>
      <c r="F580" t="inlineStr">
        <is>
          <t>Holmen skog AB</t>
        </is>
      </c>
      <c r="G580" t="n">
        <v>5.2</v>
      </c>
      <c r="H580" t="n">
        <v>0</v>
      </c>
      <c r="I580" t="n">
        <v>0</v>
      </c>
      <c r="J580" t="n">
        <v>0</v>
      </c>
      <c r="K580" t="n">
        <v>1</v>
      </c>
      <c r="L580" t="n">
        <v>0</v>
      </c>
      <c r="M580" t="n">
        <v>0</v>
      </c>
      <c r="N580" t="n">
        <v>0</v>
      </c>
      <c r="O580" t="n">
        <v>1</v>
      </c>
      <c r="P580" t="n">
        <v>1</v>
      </c>
      <c r="Q580" t="n">
        <v>1</v>
      </c>
      <c r="R580" s="2" t="inlineStr">
        <is>
          <t>Violett fingersvamp</t>
        </is>
      </c>
      <c r="S580">
        <f>HYPERLINK("https://klasma.github.io/Logging_VASTERVIK/artfynd/A 804-2023.xlsx", "A 804-2023")</f>
        <v/>
      </c>
      <c r="T580">
        <f>HYPERLINK("https://klasma.github.io/Logging_VASTERVIK/kartor/A 804-2023.png", "A 804-2023")</f>
        <v/>
      </c>
      <c r="V580">
        <f>HYPERLINK("https://klasma.github.io/Logging_VASTERVIK/klagomål/A 804-2023.docx", "A 804-2023")</f>
        <v/>
      </c>
      <c r="W580">
        <f>HYPERLINK("https://klasma.github.io/Logging_VASTERVIK/klagomålsmail/A 804-2023.docx", "A 804-2023")</f>
        <v/>
      </c>
      <c r="X580">
        <f>HYPERLINK("https://klasma.github.io/Logging_VASTERVIK/tillsyn/A 804-2023.docx", "A 804-2023")</f>
        <v/>
      </c>
      <c r="Y580">
        <f>HYPERLINK("https://klasma.github.io/Logging_VASTERVIK/tillsynsmail/A 804-2023.docx", "A 804-2023")</f>
        <v/>
      </c>
    </row>
    <row r="581" ht="15" customHeight="1">
      <c r="A581" t="inlineStr">
        <is>
          <t>A 975-2023</t>
        </is>
      </c>
      <c r="B581" s="1" t="n">
        <v>44935</v>
      </c>
      <c r="C581" s="1" t="n">
        <v>45190</v>
      </c>
      <c r="D581" t="inlineStr">
        <is>
          <t>KALMAR LÄN</t>
        </is>
      </c>
      <c r="E581" t="inlineStr">
        <is>
          <t>VÄSTERVIK</t>
        </is>
      </c>
      <c r="G581" t="n">
        <v>1.7</v>
      </c>
      <c r="H581" t="n">
        <v>1</v>
      </c>
      <c r="I581" t="n">
        <v>0</v>
      </c>
      <c r="J581" t="n">
        <v>0</v>
      </c>
      <c r="K581" t="n">
        <v>1</v>
      </c>
      <c r="L581" t="n">
        <v>0</v>
      </c>
      <c r="M581" t="n">
        <v>0</v>
      </c>
      <c r="N581" t="n">
        <v>0</v>
      </c>
      <c r="O581" t="n">
        <v>1</v>
      </c>
      <c r="P581" t="n">
        <v>1</v>
      </c>
      <c r="Q581" t="n">
        <v>1</v>
      </c>
      <c r="R581" s="2" t="inlineStr">
        <is>
          <t>Läderbagge</t>
        </is>
      </c>
      <c r="S581">
        <f>HYPERLINK("https://klasma.github.io/Logging_VASTERVIK/artfynd/A 975-2023.xlsx", "A 975-2023")</f>
        <v/>
      </c>
      <c r="T581">
        <f>HYPERLINK("https://klasma.github.io/Logging_VASTERVIK/kartor/A 975-2023.png", "A 975-2023")</f>
        <v/>
      </c>
      <c r="V581">
        <f>HYPERLINK("https://klasma.github.io/Logging_VASTERVIK/klagomål/A 975-2023.docx", "A 975-2023")</f>
        <v/>
      </c>
      <c r="W581">
        <f>HYPERLINK("https://klasma.github.io/Logging_VASTERVIK/klagomålsmail/A 975-2023.docx", "A 975-2023")</f>
        <v/>
      </c>
      <c r="X581">
        <f>HYPERLINK("https://klasma.github.io/Logging_VASTERVIK/tillsyn/A 975-2023.docx", "A 975-2023")</f>
        <v/>
      </c>
      <c r="Y581">
        <f>HYPERLINK("https://klasma.github.io/Logging_VASTERVIK/tillsynsmail/A 975-2023.docx", "A 975-2023")</f>
        <v/>
      </c>
    </row>
    <row r="582" ht="15" customHeight="1">
      <c r="A582" t="inlineStr">
        <is>
          <t>A 1024-2023</t>
        </is>
      </c>
      <c r="B582" s="1" t="n">
        <v>44935</v>
      </c>
      <c r="C582" s="1" t="n">
        <v>45190</v>
      </c>
      <c r="D582" t="inlineStr">
        <is>
          <t>KALMAR LÄN</t>
        </is>
      </c>
      <c r="E582" t="inlineStr">
        <is>
          <t>VÄSTERVIK</t>
        </is>
      </c>
      <c r="F582" t="inlineStr">
        <is>
          <t>Holmen skog AB</t>
        </is>
      </c>
      <c r="G582" t="n">
        <v>1.9</v>
      </c>
      <c r="H582" t="n">
        <v>0</v>
      </c>
      <c r="I582" t="n">
        <v>0</v>
      </c>
      <c r="J582" t="n">
        <v>1</v>
      </c>
      <c r="K582" t="n">
        <v>0</v>
      </c>
      <c r="L582" t="n">
        <v>0</v>
      </c>
      <c r="M582" t="n">
        <v>0</v>
      </c>
      <c r="N582" t="n">
        <v>0</v>
      </c>
      <c r="O582" t="n">
        <v>1</v>
      </c>
      <c r="P582" t="n">
        <v>0</v>
      </c>
      <c r="Q582" t="n">
        <v>1</v>
      </c>
      <c r="R582" s="2" t="inlineStr">
        <is>
          <t>Ekticka</t>
        </is>
      </c>
      <c r="S582">
        <f>HYPERLINK("https://klasma.github.io/Logging_VASTERVIK/artfynd/A 1024-2023.xlsx", "A 1024-2023")</f>
        <v/>
      </c>
      <c r="T582">
        <f>HYPERLINK("https://klasma.github.io/Logging_VASTERVIK/kartor/A 1024-2023.png", "A 1024-2023")</f>
        <v/>
      </c>
      <c r="V582">
        <f>HYPERLINK("https://klasma.github.io/Logging_VASTERVIK/klagomål/A 1024-2023.docx", "A 1024-2023")</f>
        <v/>
      </c>
      <c r="W582">
        <f>HYPERLINK("https://klasma.github.io/Logging_VASTERVIK/klagomålsmail/A 1024-2023.docx", "A 1024-2023")</f>
        <v/>
      </c>
      <c r="X582">
        <f>HYPERLINK("https://klasma.github.io/Logging_VASTERVIK/tillsyn/A 1024-2023.docx", "A 1024-2023")</f>
        <v/>
      </c>
      <c r="Y582">
        <f>HYPERLINK("https://klasma.github.io/Logging_VASTERVIK/tillsynsmail/A 1024-2023.docx", "A 1024-2023")</f>
        <v/>
      </c>
    </row>
    <row r="583" ht="15" customHeight="1">
      <c r="A583" t="inlineStr">
        <is>
          <t>A 1943-2023</t>
        </is>
      </c>
      <c r="B583" s="1" t="n">
        <v>44939</v>
      </c>
      <c r="C583" s="1" t="n">
        <v>45190</v>
      </c>
      <c r="D583" t="inlineStr">
        <is>
          <t>KALMAR LÄN</t>
        </is>
      </c>
      <c r="E583" t="inlineStr">
        <is>
          <t>VIMMERBY</t>
        </is>
      </c>
      <c r="G583" t="n">
        <v>1.8</v>
      </c>
      <c r="H583" t="n">
        <v>1</v>
      </c>
      <c r="I583" t="n">
        <v>0</v>
      </c>
      <c r="J583" t="n">
        <v>0</v>
      </c>
      <c r="K583" t="n">
        <v>1</v>
      </c>
      <c r="L583" t="n">
        <v>0</v>
      </c>
      <c r="M583" t="n">
        <v>0</v>
      </c>
      <c r="N583" t="n">
        <v>0</v>
      </c>
      <c r="O583" t="n">
        <v>1</v>
      </c>
      <c r="P583" t="n">
        <v>1</v>
      </c>
      <c r="Q583" t="n">
        <v>1</v>
      </c>
      <c r="R583" s="2" t="inlineStr">
        <is>
          <t>Knärot</t>
        </is>
      </c>
      <c r="S583">
        <f>HYPERLINK("https://klasma.github.io/Logging_VIMMERBY/artfynd/A 1943-2023.xlsx", "A 1943-2023")</f>
        <v/>
      </c>
      <c r="T583">
        <f>HYPERLINK("https://klasma.github.io/Logging_VIMMERBY/kartor/A 1943-2023.png", "A 1943-2023")</f>
        <v/>
      </c>
      <c r="U583">
        <f>HYPERLINK("https://klasma.github.io/Logging_VIMMERBY/knärot/A 1943-2023.png", "A 1943-2023")</f>
        <v/>
      </c>
      <c r="V583">
        <f>HYPERLINK("https://klasma.github.io/Logging_VIMMERBY/klagomål/A 1943-2023.docx", "A 1943-2023")</f>
        <v/>
      </c>
      <c r="W583">
        <f>HYPERLINK("https://klasma.github.io/Logging_VIMMERBY/klagomålsmail/A 1943-2023.docx", "A 1943-2023")</f>
        <v/>
      </c>
      <c r="X583">
        <f>HYPERLINK("https://klasma.github.io/Logging_VIMMERBY/tillsyn/A 1943-2023.docx", "A 1943-2023")</f>
        <v/>
      </c>
      <c r="Y583">
        <f>HYPERLINK("https://klasma.github.io/Logging_VIMMERBY/tillsynsmail/A 1943-2023.docx", "A 1943-2023")</f>
        <v/>
      </c>
    </row>
    <row r="584" ht="15" customHeight="1">
      <c r="A584" t="inlineStr">
        <is>
          <t>A 3404-2023</t>
        </is>
      </c>
      <c r="B584" s="1" t="n">
        <v>44949</v>
      </c>
      <c r="C584" s="1" t="n">
        <v>45190</v>
      </c>
      <c r="D584" t="inlineStr">
        <is>
          <t>KALMAR LÄN</t>
        </is>
      </c>
      <c r="E584" t="inlineStr">
        <is>
          <t>KALMAR</t>
        </is>
      </c>
      <c r="G584" t="n">
        <v>2</v>
      </c>
      <c r="H584" t="n">
        <v>0</v>
      </c>
      <c r="I584" t="n">
        <v>1</v>
      </c>
      <c r="J584" t="n">
        <v>0</v>
      </c>
      <c r="K584" t="n">
        <v>0</v>
      </c>
      <c r="L584" t="n">
        <v>0</v>
      </c>
      <c r="M584" t="n">
        <v>0</v>
      </c>
      <c r="N584" t="n">
        <v>0</v>
      </c>
      <c r="O584" t="n">
        <v>0</v>
      </c>
      <c r="P584" t="n">
        <v>0</v>
      </c>
      <c r="Q584" t="n">
        <v>1</v>
      </c>
      <c r="R584" s="2" t="inlineStr">
        <is>
          <t>Murgröna</t>
        </is>
      </c>
      <c r="S584">
        <f>HYPERLINK("https://klasma.github.io/Logging_KALMAR/artfynd/A 3404-2023.xlsx", "A 3404-2023")</f>
        <v/>
      </c>
      <c r="T584">
        <f>HYPERLINK("https://klasma.github.io/Logging_KALMAR/kartor/A 3404-2023.png", "A 3404-2023")</f>
        <v/>
      </c>
      <c r="V584">
        <f>HYPERLINK("https://klasma.github.io/Logging_KALMAR/klagomål/A 3404-2023.docx", "A 3404-2023")</f>
        <v/>
      </c>
      <c r="W584">
        <f>HYPERLINK("https://klasma.github.io/Logging_KALMAR/klagomålsmail/A 3404-2023.docx", "A 3404-2023")</f>
        <v/>
      </c>
      <c r="X584">
        <f>HYPERLINK("https://klasma.github.io/Logging_KALMAR/tillsyn/A 3404-2023.docx", "A 3404-2023")</f>
        <v/>
      </c>
      <c r="Y584">
        <f>HYPERLINK("https://klasma.github.io/Logging_KALMAR/tillsynsmail/A 3404-2023.docx", "A 3404-2023")</f>
        <v/>
      </c>
    </row>
    <row r="585" ht="15" customHeight="1">
      <c r="A585" t="inlineStr">
        <is>
          <t>A 4371-2023</t>
        </is>
      </c>
      <c r="B585" s="1" t="n">
        <v>44955</v>
      </c>
      <c r="C585" s="1" t="n">
        <v>45190</v>
      </c>
      <c r="D585" t="inlineStr">
        <is>
          <t>KALMAR LÄN</t>
        </is>
      </c>
      <c r="E585" t="inlineStr">
        <is>
          <t>MÖNSTERÅS</t>
        </is>
      </c>
      <c r="G585" t="n">
        <v>2.3</v>
      </c>
      <c r="H585" t="n">
        <v>0</v>
      </c>
      <c r="I585" t="n">
        <v>0</v>
      </c>
      <c r="J585" t="n">
        <v>1</v>
      </c>
      <c r="K585" t="n">
        <v>0</v>
      </c>
      <c r="L585" t="n">
        <v>0</v>
      </c>
      <c r="M585" t="n">
        <v>0</v>
      </c>
      <c r="N585" t="n">
        <v>0</v>
      </c>
      <c r="O585" t="n">
        <v>1</v>
      </c>
      <c r="P585" t="n">
        <v>0</v>
      </c>
      <c r="Q585" t="n">
        <v>1</v>
      </c>
      <c r="R585" s="2" t="inlineStr">
        <is>
          <t>Svinrot</t>
        </is>
      </c>
      <c r="S585">
        <f>HYPERLINK("https://klasma.github.io/Logging_MONSTERAS/artfynd/A 4371-2023.xlsx", "A 4371-2023")</f>
        <v/>
      </c>
      <c r="T585">
        <f>HYPERLINK("https://klasma.github.io/Logging_MONSTERAS/kartor/A 4371-2023.png", "A 4371-2023")</f>
        <v/>
      </c>
      <c r="V585">
        <f>HYPERLINK("https://klasma.github.io/Logging_MONSTERAS/klagomål/A 4371-2023.docx", "A 4371-2023")</f>
        <v/>
      </c>
      <c r="W585">
        <f>HYPERLINK("https://klasma.github.io/Logging_MONSTERAS/klagomålsmail/A 4371-2023.docx", "A 4371-2023")</f>
        <v/>
      </c>
      <c r="X585">
        <f>HYPERLINK("https://klasma.github.io/Logging_MONSTERAS/tillsyn/A 4371-2023.docx", "A 4371-2023")</f>
        <v/>
      </c>
      <c r="Y585">
        <f>HYPERLINK("https://klasma.github.io/Logging_MONSTERAS/tillsynsmail/A 4371-2023.docx", "A 4371-2023")</f>
        <v/>
      </c>
    </row>
    <row r="586" ht="15" customHeight="1">
      <c r="A586" t="inlineStr">
        <is>
          <t>A 8886-2023</t>
        </is>
      </c>
      <c r="B586" s="1" t="n">
        <v>44979</v>
      </c>
      <c r="C586" s="1" t="n">
        <v>45190</v>
      </c>
      <c r="D586" t="inlineStr">
        <is>
          <t>KALMAR LÄN</t>
        </is>
      </c>
      <c r="E586" t="inlineStr">
        <is>
          <t>MÖNSTERÅS</t>
        </is>
      </c>
      <c r="G586" t="n">
        <v>3.4</v>
      </c>
      <c r="H586" t="n">
        <v>1</v>
      </c>
      <c r="I586" t="n">
        <v>0</v>
      </c>
      <c r="J586" t="n">
        <v>0</v>
      </c>
      <c r="K586" t="n">
        <v>1</v>
      </c>
      <c r="L586" t="n">
        <v>0</v>
      </c>
      <c r="M586" t="n">
        <v>0</v>
      </c>
      <c r="N586" t="n">
        <v>0</v>
      </c>
      <c r="O586" t="n">
        <v>1</v>
      </c>
      <c r="P586" t="n">
        <v>1</v>
      </c>
      <c r="Q586" t="n">
        <v>1</v>
      </c>
      <c r="R586" s="2" t="inlineStr">
        <is>
          <t>Knärot</t>
        </is>
      </c>
      <c r="S586">
        <f>HYPERLINK("https://klasma.github.io/Logging_MONSTERAS/artfynd/A 8886-2023.xlsx", "A 8886-2023")</f>
        <v/>
      </c>
      <c r="T586">
        <f>HYPERLINK("https://klasma.github.io/Logging_MONSTERAS/kartor/A 8886-2023.png", "A 8886-2023")</f>
        <v/>
      </c>
      <c r="U586">
        <f>HYPERLINK("https://klasma.github.io/Logging_MONSTERAS/knärot/A 8886-2023.png", "A 8886-2023")</f>
        <v/>
      </c>
      <c r="V586">
        <f>HYPERLINK("https://klasma.github.io/Logging_MONSTERAS/klagomål/A 8886-2023.docx", "A 8886-2023")</f>
        <v/>
      </c>
      <c r="W586">
        <f>HYPERLINK("https://klasma.github.io/Logging_MONSTERAS/klagomålsmail/A 8886-2023.docx", "A 8886-2023")</f>
        <v/>
      </c>
      <c r="X586">
        <f>HYPERLINK("https://klasma.github.io/Logging_MONSTERAS/tillsyn/A 8886-2023.docx", "A 8886-2023")</f>
        <v/>
      </c>
      <c r="Y586">
        <f>HYPERLINK("https://klasma.github.io/Logging_MONSTERAS/tillsynsmail/A 8886-2023.docx", "A 8886-2023")</f>
        <v/>
      </c>
    </row>
    <row r="587" ht="15" customHeight="1">
      <c r="A587" t="inlineStr">
        <is>
          <t>A 10333-2023</t>
        </is>
      </c>
      <c r="B587" s="1" t="n">
        <v>44980</v>
      </c>
      <c r="C587" s="1" t="n">
        <v>45190</v>
      </c>
      <c r="D587" t="inlineStr">
        <is>
          <t>KALMAR LÄN</t>
        </is>
      </c>
      <c r="E587" t="inlineStr">
        <is>
          <t>HULTSFRED</t>
        </is>
      </c>
      <c r="G587" t="n">
        <v>5</v>
      </c>
      <c r="H587" t="n">
        <v>1</v>
      </c>
      <c r="I587" t="n">
        <v>0</v>
      </c>
      <c r="J587" t="n">
        <v>0</v>
      </c>
      <c r="K587" t="n">
        <v>0</v>
      </c>
      <c r="L587" t="n">
        <v>0</v>
      </c>
      <c r="M587" t="n">
        <v>0</v>
      </c>
      <c r="N587" t="n">
        <v>0</v>
      </c>
      <c r="O587" t="n">
        <v>0</v>
      </c>
      <c r="P587" t="n">
        <v>0</v>
      </c>
      <c r="Q587" t="n">
        <v>1</v>
      </c>
      <c r="R587" s="2" t="inlineStr">
        <is>
          <t>Blåsippa</t>
        </is>
      </c>
      <c r="S587">
        <f>HYPERLINK("https://klasma.github.io/Logging_HULTSFRED/artfynd/A 10333-2023.xlsx", "A 10333-2023")</f>
        <v/>
      </c>
      <c r="T587">
        <f>HYPERLINK("https://klasma.github.io/Logging_HULTSFRED/kartor/A 10333-2023.png", "A 10333-2023")</f>
        <v/>
      </c>
      <c r="V587">
        <f>HYPERLINK("https://klasma.github.io/Logging_HULTSFRED/klagomål/A 10333-2023.docx", "A 10333-2023")</f>
        <v/>
      </c>
      <c r="W587">
        <f>HYPERLINK("https://klasma.github.io/Logging_HULTSFRED/klagomålsmail/A 10333-2023.docx", "A 10333-2023")</f>
        <v/>
      </c>
      <c r="X587">
        <f>HYPERLINK("https://klasma.github.io/Logging_HULTSFRED/tillsyn/A 10333-2023.docx", "A 10333-2023")</f>
        <v/>
      </c>
      <c r="Y587">
        <f>HYPERLINK("https://klasma.github.io/Logging_HULTSFRED/tillsynsmail/A 10333-2023.docx", "A 10333-2023")</f>
        <v/>
      </c>
    </row>
    <row r="588" ht="15" customHeight="1">
      <c r="A588" t="inlineStr">
        <is>
          <t>A 9745-2023</t>
        </is>
      </c>
      <c r="B588" s="1" t="n">
        <v>44984</v>
      </c>
      <c r="C588" s="1" t="n">
        <v>45190</v>
      </c>
      <c r="D588" t="inlineStr">
        <is>
          <t>KALMAR LÄN</t>
        </is>
      </c>
      <c r="E588" t="inlineStr">
        <is>
          <t>BORGHOLM</t>
        </is>
      </c>
      <c r="G588" t="n">
        <v>1.2</v>
      </c>
      <c r="H588" t="n">
        <v>1</v>
      </c>
      <c r="I588" t="n">
        <v>1</v>
      </c>
      <c r="J588" t="n">
        <v>0</v>
      </c>
      <c r="K588" t="n">
        <v>0</v>
      </c>
      <c r="L588" t="n">
        <v>0</v>
      </c>
      <c r="M588" t="n">
        <v>0</v>
      </c>
      <c r="N588" t="n">
        <v>0</v>
      </c>
      <c r="O588" t="n">
        <v>0</v>
      </c>
      <c r="P588" t="n">
        <v>0</v>
      </c>
      <c r="Q588" t="n">
        <v>1</v>
      </c>
      <c r="R588" s="2" t="inlineStr">
        <is>
          <t>Skogsknipprot</t>
        </is>
      </c>
      <c r="S588">
        <f>HYPERLINK("https://klasma.github.io/Logging_BORGHOLM/artfynd/A 9745-2023.xlsx", "A 9745-2023")</f>
        <v/>
      </c>
      <c r="T588">
        <f>HYPERLINK("https://klasma.github.io/Logging_BORGHOLM/kartor/A 9745-2023.png", "A 9745-2023")</f>
        <v/>
      </c>
      <c r="V588">
        <f>HYPERLINK("https://klasma.github.io/Logging_BORGHOLM/klagomål/A 9745-2023.docx", "A 9745-2023")</f>
        <v/>
      </c>
      <c r="W588">
        <f>HYPERLINK("https://klasma.github.io/Logging_BORGHOLM/klagomålsmail/A 9745-2023.docx", "A 9745-2023")</f>
        <v/>
      </c>
      <c r="X588">
        <f>HYPERLINK("https://klasma.github.io/Logging_BORGHOLM/tillsyn/A 9745-2023.docx", "A 9745-2023")</f>
        <v/>
      </c>
      <c r="Y588">
        <f>HYPERLINK("https://klasma.github.io/Logging_BORGHOLM/tillsynsmail/A 9745-2023.docx", "A 9745-2023")</f>
        <v/>
      </c>
    </row>
    <row r="589" ht="15" customHeight="1">
      <c r="A589" t="inlineStr">
        <is>
          <t>A 11729-2023</t>
        </is>
      </c>
      <c r="B589" s="1" t="n">
        <v>44994</v>
      </c>
      <c r="C589" s="1" t="n">
        <v>45190</v>
      </c>
      <c r="D589" t="inlineStr">
        <is>
          <t>KALMAR LÄN</t>
        </is>
      </c>
      <c r="E589" t="inlineStr">
        <is>
          <t>VÄSTERVIK</t>
        </is>
      </c>
      <c r="F589" t="inlineStr">
        <is>
          <t>Sveaskog</t>
        </is>
      </c>
      <c r="G589" t="n">
        <v>4.1</v>
      </c>
      <c r="H589" t="n">
        <v>0</v>
      </c>
      <c r="I589" t="n">
        <v>0</v>
      </c>
      <c r="J589" t="n">
        <v>1</v>
      </c>
      <c r="K589" t="n">
        <v>0</v>
      </c>
      <c r="L589" t="n">
        <v>0</v>
      </c>
      <c r="M589" t="n">
        <v>0</v>
      </c>
      <c r="N589" t="n">
        <v>0</v>
      </c>
      <c r="O589" t="n">
        <v>1</v>
      </c>
      <c r="P589" t="n">
        <v>0</v>
      </c>
      <c r="Q589" t="n">
        <v>1</v>
      </c>
      <c r="R589" s="2" t="inlineStr">
        <is>
          <t>Bredbrämad bastardsvärmare</t>
        </is>
      </c>
      <c r="S589">
        <f>HYPERLINK("https://klasma.github.io/Logging_VASTERVIK/artfynd/A 11729-2023.xlsx", "A 11729-2023")</f>
        <v/>
      </c>
      <c r="T589">
        <f>HYPERLINK("https://klasma.github.io/Logging_VASTERVIK/kartor/A 11729-2023.png", "A 11729-2023")</f>
        <v/>
      </c>
      <c r="V589">
        <f>HYPERLINK("https://klasma.github.io/Logging_VASTERVIK/klagomål/A 11729-2023.docx", "A 11729-2023")</f>
        <v/>
      </c>
      <c r="W589">
        <f>HYPERLINK("https://klasma.github.io/Logging_VASTERVIK/klagomålsmail/A 11729-2023.docx", "A 11729-2023")</f>
        <v/>
      </c>
      <c r="X589">
        <f>HYPERLINK("https://klasma.github.io/Logging_VASTERVIK/tillsyn/A 11729-2023.docx", "A 11729-2023")</f>
        <v/>
      </c>
      <c r="Y589">
        <f>HYPERLINK("https://klasma.github.io/Logging_VASTERVIK/tillsynsmail/A 11729-2023.docx", "A 11729-2023")</f>
        <v/>
      </c>
    </row>
    <row r="590" ht="15" customHeight="1">
      <c r="A590" t="inlineStr">
        <is>
          <t>A 13721-2023</t>
        </is>
      </c>
      <c r="B590" s="1" t="n">
        <v>45007</v>
      </c>
      <c r="C590" s="1" t="n">
        <v>45190</v>
      </c>
      <c r="D590" t="inlineStr">
        <is>
          <t>KALMAR LÄN</t>
        </is>
      </c>
      <c r="E590" t="inlineStr">
        <is>
          <t>KALMAR</t>
        </is>
      </c>
      <c r="G590" t="n">
        <v>5.2</v>
      </c>
      <c r="H590" t="n">
        <v>0</v>
      </c>
      <c r="I590" t="n">
        <v>1</v>
      </c>
      <c r="J590" t="n">
        <v>0</v>
      </c>
      <c r="K590" t="n">
        <v>0</v>
      </c>
      <c r="L590" t="n">
        <v>0</v>
      </c>
      <c r="M590" t="n">
        <v>0</v>
      </c>
      <c r="N590" t="n">
        <v>0</v>
      </c>
      <c r="O590" t="n">
        <v>0</v>
      </c>
      <c r="P590" t="n">
        <v>0</v>
      </c>
      <c r="Q590" t="n">
        <v>1</v>
      </c>
      <c r="R590" s="2" t="inlineStr">
        <is>
          <t>Ögonpyrola</t>
        </is>
      </c>
      <c r="S590">
        <f>HYPERLINK("https://klasma.github.io/Logging_KALMAR/artfynd/A 13721-2023.xlsx", "A 13721-2023")</f>
        <v/>
      </c>
      <c r="T590">
        <f>HYPERLINK("https://klasma.github.io/Logging_KALMAR/kartor/A 13721-2023.png", "A 13721-2023")</f>
        <v/>
      </c>
      <c r="V590">
        <f>HYPERLINK("https://klasma.github.io/Logging_KALMAR/klagomål/A 13721-2023.docx", "A 13721-2023")</f>
        <v/>
      </c>
      <c r="W590">
        <f>HYPERLINK("https://klasma.github.io/Logging_KALMAR/klagomålsmail/A 13721-2023.docx", "A 13721-2023")</f>
        <v/>
      </c>
      <c r="X590">
        <f>HYPERLINK("https://klasma.github.io/Logging_KALMAR/tillsyn/A 13721-2023.docx", "A 13721-2023")</f>
        <v/>
      </c>
      <c r="Y590">
        <f>HYPERLINK("https://klasma.github.io/Logging_KALMAR/tillsynsmail/A 13721-2023.docx", "A 13721-2023")</f>
        <v/>
      </c>
    </row>
    <row r="591" ht="15" customHeight="1">
      <c r="A591" t="inlineStr">
        <is>
          <t>A 14720-2023</t>
        </is>
      </c>
      <c r="B591" s="1" t="n">
        <v>45014</v>
      </c>
      <c r="C591" s="1" t="n">
        <v>45190</v>
      </c>
      <c r="D591" t="inlineStr">
        <is>
          <t>KALMAR LÄN</t>
        </is>
      </c>
      <c r="E591" t="inlineStr">
        <is>
          <t>VÄSTERVIK</t>
        </is>
      </c>
      <c r="G591" t="n">
        <v>3.5</v>
      </c>
      <c r="H591" t="n">
        <v>1</v>
      </c>
      <c r="I591" t="n">
        <v>0</v>
      </c>
      <c r="J591" t="n">
        <v>0</v>
      </c>
      <c r="K591" t="n">
        <v>1</v>
      </c>
      <c r="L591" t="n">
        <v>0</v>
      </c>
      <c r="M591" t="n">
        <v>0</v>
      </c>
      <c r="N591" t="n">
        <v>0</v>
      </c>
      <c r="O591" t="n">
        <v>1</v>
      </c>
      <c r="P591" t="n">
        <v>1</v>
      </c>
      <c r="Q591" t="n">
        <v>1</v>
      </c>
      <c r="R591" s="2" t="inlineStr">
        <is>
          <t>Knärot</t>
        </is>
      </c>
      <c r="S591">
        <f>HYPERLINK("https://klasma.github.io/Logging_VASTERVIK/artfynd/A 14720-2023.xlsx", "A 14720-2023")</f>
        <v/>
      </c>
      <c r="T591">
        <f>HYPERLINK("https://klasma.github.io/Logging_VASTERVIK/kartor/A 14720-2023.png", "A 14720-2023")</f>
        <v/>
      </c>
      <c r="U591">
        <f>HYPERLINK("https://klasma.github.io/Logging_VASTERVIK/knärot/A 14720-2023.png", "A 14720-2023")</f>
        <v/>
      </c>
      <c r="V591">
        <f>HYPERLINK("https://klasma.github.io/Logging_VASTERVIK/klagomål/A 14720-2023.docx", "A 14720-2023")</f>
        <v/>
      </c>
      <c r="W591">
        <f>HYPERLINK("https://klasma.github.io/Logging_VASTERVIK/klagomålsmail/A 14720-2023.docx", "A 14720-2023")</f>
        <v/>
      </c>
      <c r="X591">
        <f>HYPERLINK("https://klasma.github.io/Logging_VASTERVIK/tillsyn/A 14720-2023.docx", "A 14720-2023")</f>
        <v/>
      </c>
      <c r="Y591">
        <f>HYPERLINK("https://klasma.github.io/Logging_VASTERVIK/tillsynsmail/A 14720-2023.docx", "A 14720-2023")</f>
        <v/>
      </c>
    </row>
    <row r="592" ht="15" customHeight="1">
      <c r="A592" t="inlineStr">
        <is>
          <t>A 15440-2023</t>
        </is>
      </c>
      <c r="B592" s="1" t="n">
        <v>45016</v>
      </c>
      <c r="C592" s="1" t="n">
        <v>45190</v>
      </c>
      <c r="D592" t="inlineStr">
        <is>
          <t>KALMAR LÄN</t>
        </is>
      </c>
      <c r="E592" t="inlineStr">
        <is>
          <t>HULTSFRED</t>
        </is>
      </c>
      <c r="G592" t="n">
        <v>3.1</v>
      </c>
      <c r="H592" t="n">
        <v>1</v>
      </c>
      <c r="I592" t="n">
        <v>0</v>
      </c>
      <c r="J592" t="n">
        <v>1</v>
      </c>
      <c r="K592" t="n">
        <v>0</v>
      </c>
      <c r="L592" t="n">
        <v>0</v>
      </c>
      <c r="M592" t="n">
        <v>0</v>
      </c>
      <c r="N592" t="n">
        <v>0</v>
      </c>
      <c r="O592" t="n">
        <v>1</v>
      </c>
      <c r="P592" t="n">
        <v>0</v>
      </c>
      <c r="Q592" t="n">
        <v>1</v>
      </c>
      <c r="R592" s="2" t="inlineStr">
        <is>
          <t>Spillkråka</t>
        </is>
      </c>
      <c r="S592">
        <f>HYPERLINK("https://klasma.github.io/Logging_HULTSFRED/artfynd/A 15440-2023.xlsx", "A 15440-2023")</f>
        <v/>
      </c>
      <c r="T592">
        <f>HYPERLINK("https://klasma.github.io/Logging_HULTSFRED/kartor/A 15440-2023.png", "A 15440-2023")</f>
        <v/>
      </c>
      <c r="V592">
        <f>HYPERLINK("https://klasma.github.io/Logging_HULTSFRED/klagomål/A 15440-2023.docx", "A 15440-2023")</f>
        <v/>
      </c>
      <c r="W592">
        <f>HYPERLINK("https://klasma.github.io/Logging_HULTSFRED/klagomålsmail/A 15440-2023.docx", "A 15440-2023")</f>
        <v/>
      </c>
      <c r="X592">
        <f>HYPERLINK("https://klasma.github.io/Logging_HULTSFRED/tillsyn/A 15440-2023.docx", "A 15440-2023")</f>
        <v/>
      </c>
      <c r="Y592">
        <f>HYPERLINK("https://klasma.github.io/Logging_HULTSFRED/tillsynsmail/A 15440-2023.docx", "A 15440-2023")</f>
        <v/>
      </c>
    </row>
    <row r="593" ht="15" customHeight="1">
      <c r="A593" t="inlineStr">
        <is>
          <t>A 15376-2023</t>
        </is>
      </c>
      <c r="B593" s="1" t="n">
        <v>45019</v>
      </c>
      <c r="C593" s="1" t="n">
        <v>45190</v>
      </c>
      <c r="D593" t="inlineStr">
        <is>
          <t>KALMAR LÄN</t>
        </is>
      </c>
      <c r="E593" t="inlineStr">
        <is>
          <t>TORSÅS</t>
        </is>
      </c>
      <c r="G593" t="n">
        <v>1.8</v>
      </c>
      <c r="H593" t="n">
        <v>1</v>
      </c>
      <c r="I593" t="n">
        <v>0</v>
      </c>
      <c r="J593" t="n">
        <v>1</v>
      </c>
      <c r="K593" t="n">
        <v>0</v>
      </c>
      <c r="L593" t="n">
        <v>0</v>
      </c>
      <c r="M593" t="n">
        <v>0</v>
      </c>
      <c r="N593" t="n">
        <v>0</v>
      </c>
      <c r="O593" t="n">
        <v>1</v>
      </c>
      <c r="P593" t="n">
        <v>0</v>
      </c>
      <c r="Q593" t="n">
        <v>1</v>
      </c>
      <c r="R593" s="2" t="inlineStr">
        <is>
          <t>Långbensgroda</t>
        </is>
      </c>
      <c r="S593">
        <f>HYPERLINK("https://klasma.github.io/Logging_TORSAS/artfynd/A 15376-2023.xlsx", "A 15376-2023")</f>
        <v/>
      </c>
      <c r="T593">
        <f>HYPERLINK("https://klasma.github.io/Logging_TORSAS/kartor/A 15376-2023.png", "A 15376-2023")</f>
        <v/>
      </c>
      <c r="V593">
        <f>HYPERLINK("https://klasma.github.io/Logging_TORSAS/klagomål/A 15376-2023.docx", "A 15376-2023")</f>
        <v/>
      </c>
      <c r="W593">
        <f>HYPERLINK("https://klasma.github.io/Logging_TORSAS/klagomålsmail/A 15376-2023.docx", "A 15376-2023")</f>
        <v/>
      </c>
      <c r="X593">
        <f>HYPERLINK("https://klasma.github.io/Logging_TORSAS/tillsyn/A 15376-2023.docx", "A 15376-2023")</f>
        <v/>
      </c>
      <c r="Y593">
        <f>HYPERLINK("https://klasma.github.io/Logging_TORSAS/tillsynsmail/A 15376-2023.docx", "A 15376-2023")</f>
        <v/>
      </c>
    </row>
    <row r="594" ht="15" customHeight="1">
      <c r="A594" t="inlineStr">
        <is>
          <t>A 16173-2023</t>
        </is>
      </c>
      <c r="B594" s="1" t="n">
        <v>45027</v>
      </c>
      <c r="C594" s="1" t="n">
        <v>45190</v>
      </c>
      <c r="D594" t="inlineStr">
        <is>
          <t>KALMAR LÄN</t>
        </is>
      </c>
      <c r="E594" t="inlineStr">
        <is>
          <t>BORGHOLM</t>
        </is>
      </c>
      <c r="G594" t="n">
        <v>1.9</v>
      </c>
      <c r="H594" t="n">
        <v>0</v>
      </c>
      <c r="I594" t="n">
        <v>0</v>
      </c>
      <c r="J594" t="n">
        <v>0</v>
      </c>
      <c r="K594" t="n">
        <v>0</v>
      </c>
      <c r="L594" t="n">
        <v>1</v>
      </c>
      <c r="M594" t="n">
        <v>0</v>
      </c>
      <c r="N594" t="n">
        <v>0</v>
      </c>
      <c r="O594" t="n">
        <v>1</v>
      </c>
      <c r="P594" t="n">
        <v>1</v>
      </c>
      <c r="Q594" t="n">
        <v>1</v>
      </c>
      <c r="R594" s="2" t="inlineStr">
        <is>
          <t>Ädellav</t>
        </is>
      </c>
      <c r="S594">
        <f>HYPERLINK("https://klasma.github.io/Logging_BORGHOLM/artfynd/A 16173-2023.xlsx", "A 16173-2023")</f>
        <v/>
      </c>
      <c r="T594">
        <f>HYPERLINK("https://klasma.github.io/Logging_BORGHOLM/kartor/A 16173-2023.png", "A 16173-2023")</f>
        <v/>
      </c>
      <c r="V594">
        <f>HYPERLINK("https://klasma.github.io/Logging_BORGHOLM/klagomål/A 16173-2023.docx", "A 16173-2023")</f>
        <v/>
      </c>
      <c r="W594">
        <f>HYPERLINK("https://klasma.github.io/Logging_BORGHOLM/klagomålsmail/A 16173-2023.docx", "A 16173-2023")</f>
        <v/>
      </c>
      <c r="X594">
        <f>HYPERLINK("https://klasma.github.io/Logging_BORGHOLM/tillsyn/A 16173-2023.docx", "A 16173-2023")</f>
        <v/>
      </c>
      <c r="Y594">
        <f>HYPERLINK("https://klasma.github.io/Logging_BORGHOLM/tillsynsmail/A 16173-2023.docx", "A 16173-2023")</f>
        <v/>
      </c>
    </row>
    <row r="595" ht="15" customHeight="1">
      <c r="A595" t="inlineStr">
        <is>
          <t>A 16622-2023</t>
        </is>
      </c>
      <c r="B595" s="1" t="n">
        <v>45030</v>
      </c>
      <c r="C595" s="1" t="n">
        <v>45190</v>
      </c>
      <c r="D595" t="inlineStr">
        <is>
          <t>KALMAR LÄN</t>
        </is>
      </c>
      <c r="E595" t="inlineStr">
        <is>
          <t>VÄSTERVIK</t>
        </is>
      </c>
      <c r="G595" t="n">
        <v>1.9</v>
      </c>
      <c r="H595" t="n">
        <v>1</v>
      </c>
      <c r="I595" t="n">
        <v>0</v>
      </c>
      <c r="J595" t="n">
        <v>0</v>
      </c>
      <c r="K595" t="n">
        <v>1</v>
      </c>
      <c r="L595" t="n">
        <v>0</v>
      </c>
      <c r="M595" t="n">
        <v>0</v>
      </c>
      <c r="N595" t="n">
        <v>0</v>
      </c>
      <c r="O595" t="n">
        <v>1</v>
      </c>
      <c r="P595" t="n">
        <v>1</v>
      </c>
      <c r="Q595" t="n">
        <v>1</v>
      </c>
      <c r="R595" s="2" t="inlineStr">
        <is>
          <t>Knärot</t>
        </is>
      </c>
      <c r="S595">
        <f>HYPERLINK("https://klasma.github.io/Logging_VASTERVIK/artfynd/A 16622-2023.xlsx", "A 16622-2023")</f>
        <v/>
      </c>
      <c r="T595">
        <f>HYPERLINK("https://klasma.github.io/Logging_VASTERVIK/kartor/A 16622-2023.png", "A 16622-2023")</f>
        <v/>
      </c>
      <c r="U595">
        <f>HYPERLINK("https://klasma.github.io/Logging_VASTERVIK/knärot/A 16622-2023.png", "A 16622-2023")</f>
        <v/>
      </c>
      <c r="V595">
        <f>HYPERLINK("https://klasma.github.io/Logging_VASTERVIK/klagomål/A 16622-2023.docx", "A 16622-2023")</f>
        <v/>
      </c>
      <c r="W595">
        <f>HYPERLINK("https://klasma.github.io/Logging_VASTERVIK/klagomålsmail/A 16622-2023.docx", "A 16622-2023")</f>
        <v/>
      </c>
      <c r="X595">
        <f>HYPERLINK("https://klasma.github.io/Logging_VASTERVIK/tillsyn/A 16622-2023.docx", "A 16622-2023")</f>
        <v/>
      </c>
      <c r="Y595">
        <f>HYPERLINK("https://klasma.github.io/Logging_VASTERVIK/tillsynsmail/A 16622-2023.docx", "A 16622-2023")</f>
        <v/>
      </c>
    </row>
    <row r="596" ht="15" customHeight="1">
      <c r="A596" t="inlineStr">
        <is>
          <t>A 17193-2023</t>
        </is>
      </c>
      <c r="B596" s="1" t="n">
        <v>45034</v>
      </c>
      <c r="C596" s="1" t="n">
        <v>45190</v>
      </c>
      <c r="D596" t="inlineStr">
        <is>
          <t>KALMAR LÄN</t>
        </is>
      </c>
      <c r="E596" t="inlineStr">
        <is>
          <t>OSKARSHAMN</t>
        </is>
      </c>
      <c r="G596" t="n">
        <v>0.7</v>
      </c>
      <c r="H596" t="n">
        <v>0</v>
      </c>
      <c r="I596" t="n">
        <v>0</v>
      </c>
      <c r="J596" t="n">
        <v>0</v>
      </c>
      <c r="K596" t="n">
        <v>1</v>
      </c>
      <c r="L596" t="n">
        <v>0</v>
      </c>
      <c r="M596" t="n">
        <v>0</v>
      </c>
      <c r="N596" t="n">
        <v>0</v>
      </c>
      <c r="O596" t="n">
        <v>1</v>
      </c>
      <c r="P596" t="n">
        <v>1</v>
      </c>
      <c r="Q596" t="n">
        <v>1</v>
      </c>
      <c r="R596" s="2" t="inlineStr">
        <is>
          <t>Slåttergubbe</t>
        </is>
      </c>
      <c r="S596">
        <f>HYPERLINK("https://klasma.github.io/Logging_OSKARSHAMN/artfynd/A 17193-2023.xlsx", "A 17193-2023")</f>
        <v/>
      </c>
      <c r="T596">
        <f>HYPERLINK("https://klasma.github.io/Logging_OSKARSHAMN/kartor/A 17193-2023.png", "A 17193-2023")</f>
        <v/>
      </c>
      <c r="V596">
        <f>HYPERLINK("https://klasma.github.io/Logging_OSKARSHAMN/klagomål/A 17193-2023.docx", "A 17193-2023")</f>
        <v/>
      </c>
      <c r="W596">
        <f>HYPERLINK("https://klasma.github.io/Logging_OSKARSHAMN/klagomålsmail/A 17193-2023.docx", "A 17193-2023")</f>
        <v/>
      </c>
      <c r="X596">
        <f>HYPERLINK("https://klasma.github.io/Logging_OSKARSHAMN/tillsyn/A 17193-2023.docx", "A 17193-2023")</f>
        <v/>
      </c>
      <c r="Y596">
        <f>HYPERLINK("https://klasma.github.io/Logging_OSKARSHAMN/tillsynsmail/A 17193-2023.docx", "A 17193-2023")</f>
        <v/>
      </c>
    </row>
    <row r="597" ht="15" customHeight="1">
      <c r="A597" t="inlineStr">
        <is>
          <t>A 18475-2023</t>
        </is>
      </c>
      <c r="B597" s="1" t="n">
        <v>45042</v>
      </c>
      <c r="C597" s="1" t="n">
        <v>45190</v>
      </c>
      <c r="D597" t="inlineStr">
        <is>
          <t>KALMAR LÄN</t>
        </is>
      </c>
      <c r="E597" t="inlineStr">
        <is>
          <t>KALMAR</t>
        </is>
      </c>
      <c r="G597" t="n">
        <v>7.8</v>
      </c>
      <c r="H597" t="n">
        <v>0</v>
      </c>
      <c r="I597" t="n">
        <v>1</v>
      </c>
      <c r="J597" t="n">
        <v>0</v>
      </c>
      <c r="K597" t="n">
        <v>0</v>
      </c>
      <c r="L597" t="n">
        <v>0</v>
      </c>
      <c r="M597" t="n">
        <v>0</v>
      </c>
      <c r="N597" t="n">
        <v>0</v>
      </c>
      <c r="O597" t="n">
        <v>0</v>
      </c>
      <c r="P597" t="n">
        <v>0</v>
      </c>
      <c r="Q597" t="n">
        <v>1</v>
      </c>
      <c r="R597" s="2" t="inlineStr">
        <is>
          <t>Grönpyrola</t>
        </is>
      </c>
      <c r="S597">
        <f>HYPERLINK("https://klasma.github.io/Logging_KALMAR/artfynd/A 18475-2023.xlsx", "A 18475-2023")</f>
        <v/>
      </c>
      <c r="T597">
        <f>HYPERLINK("https://klasma.github.io/Logging_KALMAR/kartor/A 18475-2023.png", "A 18475-2023")</f>
        <v/>
      </c>
      <c r="V597">
        <f>HYPERLINK("https://klasma.github.io/Logging_KALMAR/klagomål/A 18475-2023.docx", "A 18475-2023")</f>
        <v/>
      </c>
      <c r="W597">
        <f>HYPERLINK("https://klasma.github.io/Logging_KALMAR/klagomålsmail/A 18475-2023.docx", "A 18475-2023")</f>
        <v/>
      </c>
      <c r="X597">
        <f>HYPERLINK("https://klasma.github.io/Logging_KALMAR/tillsyn/A 18475-2023.docx", "A 18475-2023")</f>
        <v/>
      </c>
      <c r="Y597">
        <f>HYPERLINK("https://klasma.github.io/Logging_KALMAR/tillsynsmail/A 18475-2023.docx", "A 18475-2023")</f>
        <v/>
      </c>
    </row>
    <row r="598" ht="15" customHeight="1">
      <c r="A598" t="inlineStr">
        <is>
          <t>A 18874-2023</t>
        </is>
      </c>
      <c r="B598" s="1" t="n">
        <v>45044</v>
      </c>
      <c r="C598" s="1" t="n">
        <v>45190</v>
      </c>
      <c r="D598" t="inlineStr">
        <is>
          <t>KALMAR LÄN</t>
        </is>
      </c>
      <c r="E598" t="inlineStr">
        <is>
          <t>KALMAR</t>
        </is>
      </c>
      <c r="G598" t="n">
        <v>0.7</v>
      </c>
      <c r="H598" t="n">
        <v>0</v>
      </c>
      <c r="I598" t="n">
        <v>0</v>
      </c>
      <c r="J598" t="n">
        <v>1</v>
      </c>
      <c r="K598" t="n">
        <v>0</v>
      </c>
      <c r="L598" t="n">
        <v>0</v>
      </c>
      <c r="M598" t="n">
        <v>0</v>
      </c>
      <c r="N598" t="n">
        <v>0</v>
      </c>
      <c r="O598" t="n">
        <v>1</v>
      </c>
      <c r="P598" t="n">
        <v>0</v>
      </c>
      <c r="Q598" t="n">
        <v>1</v>
      </c>
      <c r="R598" s="2" t="inlineStr">
        <is>
          <t>Bredbrämad bastardsvärmare</t>
        </is>
      </c>
      <c r="S598">
        <f>HYPERLINK("https://klasma.github.io/Logging_KALMAR/artfynd/A 18874-2023.xlsx", "A 18874-2023")</f>
        <v/>
      </c>
      <c r="T598">
        <f>HYPERLINK("https://klasma.github.io/Logging_KALMAR/kartor/A 18874-2023.png", "A 18874-2023")</f>
        <v/>
      </c>
      <c r="V598">
        <f>HYPERLINK("https://klasma.github.io/Logging_KALMAR/klagomål/A 18874-2023.docx", "A 18874-2023")</f>
        <v/>
      </c>
      <c r="W598">
        <f>HYPERLINK("https://klasma.github.io/Logging_KALMAR/klagomålsmail/A 18874-2023.docx", "A 18874-2023")</f>
        <v/>
      </c>
      <c r="X598">
        <f>HYPERLINK("https://klasma.github.io/Logging_KALMAR/tillsyn/A 18874-2023.docx", "A 18874-2023")</f>
        <v/>
      </c>
      <c r="Y598">
        <f>HYPERLINK("https://klasma.github.io/Logging_KALMAR/tillsynsmail/A 18874-2023.docx", "A 18874-2023")</f>
        <v/>
      </c>
    </row>
    <row r="599" ht="15" customHeight="1">
      <c r="A599" t="inlineStr">
        <is>
          <t>A 19459-2023</t>
        </is>
      </c>
      <c r="B599" s="1" t="n">
        <v>45049</v>
      </c>
      <c r="C599" s="1" t="n">
        <v>45190</v>
      </c>
      <c r="D599" t="inlineStr">
        <is>
          <t>KALMAR LÄN</t>
        </is>
      </c>
      <c r="E599" t="inlineStr">
        <is>
          <t>MÖRBYLÅNGA</t>
        </is>
      </c>
      <c r="G599" t="n">
        <v>1.6</v>
      </c>
      <c r="H599" t="n">
        <v>0</v>
      </c>
      <c r="I599" t="n">
        <v>0</v>
      </c>
      <c r="J599" t="n">
        <v>0</v>
      </c>
      <c r="K599" t="n">
        <v>1</v>
      </c>
      <c r="L599" t="n">
        <v>0</v>
      </c>
      <c r="M599" t="n">
        <v>0</v>
      </c>
      <c r="N599" t="n">
        <v>0</v>
      </c>
      <c r="O599" t="n">
        <v>1</v>
      </c>
      <c r="P599" t="n">
        <v>1</v>
      </c>
      <c r="Q599" t="n">
        <v>1</v>
      </c>
      <c r="R599" s="2" t="inlineStr">
        <is>
          <t>Luddvicker</t>
        </is>
      </c>
      <c r="S599">
        <f>HYPERLINK("https://klasma.github.io/Logging_MORBYLANGA/artfynd/A 19459-2023.xlsx", "A 19459-2023")</f>
        <v/>
      </c>
      <c r="T599">
        <f>HYPERLINK("https://klasma.github.io/Logging_MORBYLANGA/kartor/A 19459-2023.png", "A 19459-2023")</f>
        <v/>
      </c>
      <c r="V599">
        <f>HYPERLINK("https://klasma.github.io/Logging_MORBYLANGA/klagomål/A 19459-2023.docx", "A 19459-2023")</f>
        <v/>
      </c>
      <c r="W599">
        <f>HYPERLINK("https://klasma.github.io/Logging_MORBYLANGA/klagomålsmail/A 19459-2023.docx", "A 19459-2023")</f>
        <v/>
      </c>
      <c r="X599">
        <f>HYPERLINK("https://klasma.github.io/Logging_MORBYLANGA/tillsyn/A 19459-2023.docx", "A 19459-2023")</f>
        <v/>
      </c>
      <c r="Y599">
        <f>HYPERLINK("https://klasma.github.io/Logging_MORBYLANGA/tillsynsmail/A 19459-2023.docx", "A 19459-2023")</f>
        <v/>
      </c>
    </row>
    <row r="600" ht="15" customHeight="1">
      <c r="A600" t="inlineStr">
        <is>
          <t>A 20392-2023</t>
        </is>
      </c>
      <c r="B600" s="1" t="n">
        <v>45056</v>
      </c>
      <c r="C600" s="1" t="n">
        <v>45190</v>
      </c>
      <c r="D600" t="inlineStr">
        <is>
          <t>KALMAR LÄN</t>
        </is>
      </c>
      <c r="E600" t="inlineStr">
        <is>
          <t>NYBRO</t>
        </is>
      </c>
      <c r="G600" t="n">
        <v>7.2</v>
      </c>
      <c r="H600" t="n">
        <v>0</v>
      </c>
      <c r="I600" t="n">
        <v>1</v>
      </c>
      <c r="J600" t="n">
        <v>0</v>
      </c>
      <c r="K600" t="n">
        <v>0</v>
      </c>
      <c r="L600" t="n">
        <v>0</v>
      </c>
      <c r="M600" t="n">
        <v>0</v>
      </c>
      <c r="N600" t="n">
        <v>0</v>
      </c>
      <c r="O600" t="n">
        <v>0</v>
      </c>
      <c r="P600" t="n">
        <v>0</v>
      </c>
      <c r="Q600" t="n">
        <v>1</v>
      </c>
      <c r="R600" s="2" t="inlineStr">
        <is>
          <t>Brandticka</t>
        </is>
      </c>
      <c r="S600">
        <f>HYPERLINK("https://klasma.github.io/Logging_NYBRO/artfynd/A 20392-2023.xlsx", "A 20392-2023")</f>
        <v/>
      </c>
      <c r="T600">
        <f>HYPERLINK("https://klasma.github.io/Logging_NYBRO/kartor/A 20392-2023.png", "A 20392-2023")</f>
        <v/>
      </c>
      <c r="V600">
        <f>HYPERLINK("https://klasma.github.io/Logging_NYBRO/klagomål/A 20392-2023.docx", "A 20392-2023")</f>
        <v/>
      </c>
      <c r="W600">
        <f>HYPERLINK("https://klasma.github.io/Logging_NYBRO/klagomålsmail/A 20392-2023.docx", "A 20392-2023")</f>
        <v/>
      </c>
      <c r="X600">
        <f>HYPERLINK("https://klasma.github.io/Logging_NYBRO/tillsyn/A 20392-2023.docx", "A 20392-2023")</f>
        <v/>
      </c>
      <c r="Y600">
        <f>HYPERLINK("https://klasma.github.io/Logging_NYBRO/tillsynsmail/A 20392-2023.docx", "A 20392-2023")</f>
        <v/>
      </c>
    </row>
    <row r="601" ht="15" customHeight="1">
      <c r="A601" t="inlineStr">
        <is>
          <t>A 21518-2023</t>
        </is>
      </c>
      <c r="B601" s="1" t="n">
        <v>45063</v>
      </c>
      <c r="C601" s="1" t="n">
        <v>45190</v>
      </c>
      <c r="D601" t="inlineStr">
        <is>
          <t>KALMAR LÄN</t>
        </is>
      </c>
      <c r="E601" t="inlineStr">
        <is>
          <t>KALMAR</t>
        </is>
      </c>
      <c r="F601" t="inlineStr">
        <is>
          <t>Sveaskog</t>
        </is>
      </c>
      <c r="G601" t="n">
        <v>16.5</v>
      </c>
      <c r="H601" t="n">
        <v>1</v>
      </c>
      <c r="I601" t="n">
        <v>0</v>
      </c>
      <c r="J601" t="n">
        <v>1</v>
      </c>
      <c r="K601" t="n">
        <v>0</v>
      </c>
      <c r="L601" t="n">
        <v>0</v>
      </c>
      <c r="M601" t="n">
        <v>0</v>
      </c>
      <c r="N601" t="n">
        <v>0</v>
      </c>
      <c r="O601" t="n">
        <v>1</v>
      </c>
      <c r="P601" t="n">
        <v>0</v>
      </c>
      <c r="Q601" t="n">
        <v>1</v>
      </c>
      <c r="R601" s="2" t="inlineStr">
        <is>
          <t>Spillkråka</t>
        </is>
      </c>
      <c r="S601">
        <f>HYPERLINK("https://klasma.github.io/Logging_KALMAR/artfynd/A 21518-2023.xlsx", "A 21518-2023")</f>
        <v/>
      </c>
      <c r="T601">
        <f>HYPERLINK("https://klasma.github.io/Logging_KALMAR/kartor/A 21518-2023.png", "A 21518-2023")</f>
        <v/>
      </c>
      <c r="V601">
        <f>HYPERLINK("https://klasma.github.io/Logging_KALMAR/klagomål/A 21518-2023.docx", "A 21518-2023")</f>
        <v/>
      </c>
      <c r="W601">
        <f>HYPERLINK("https://klasma.github.io/Logging_KALMAR/klagomålsmail/A 21518-2023.docx", "A 21518-2023")</f>
        <v/>
      </c>
      <c r="X601">
        <f>HYPERLINK("https://klasma.github.io/Logging_KALMAR/tillsyn/A 21518-2023.docx", "A 21518-2023")</f>
        <v/>
      </c>
      <c r="Y601">
        <f>HYPERLINK("https://klasma.github.io/Logging_KALMAR/tillsynsmail/A 21518-2023.docx", "A 21518-2023")</f>
        <v/>
      </c>
    </row>
    <row r="602" ht="15" customHeight="1">
      <c r="A602" t="inlineStr">
        <is>
          <t>A 21828-2023</t>
        </is>
      </c>
      <c r="B602" s="1" t="n">
        <v>45068</v>
      </c>
      <c r="C602" s="1" t="n">
        <v>45190</v>
      </c>
      <c r="D602" t="inlineStr">
        <is>
          <t>KALMAR LÄN</t>
        </is>
      </c>
      <c r="E602" t="inlineStr">
        <is>
          <t>VÄSTERVIK</t>
        </is>
      </c>
      <c r="G602" t="n">
        <v>0.7</v>
      </c>
      <c r="H602" t="n">
        <v>0</v>
      </c>
      <c r="I602" t="n">
        <v>1</v>
      </c>
      <c r="J602" t="n">
        <v>0</v>
      </c>
      <c r="K602" t="n">
        <v>0</v>
      </c>
      <c r="L602" t="n">
        <v>0</v>
      </c>
      <c r="M602" t="n">
        <v>0</v>
      </c>
      <c r="N602" t="n">
        <v>0</v>
      </c>
      <c r="O602" t="n">
        <v>0</v>
      </c>
      <c r="P602" t="n">
        <v>0</v>
      </c>
      <c r="Q602" t="n">
        <v>1</v>
      </c>
      <c r="R602" s="2" t="inlineStr">
        <is>
          <t>Grönpyrola</t>
        </is>
      </c>
      <c r="S602">
        <f>HYPERLINK("https://klasma.github.io/Logging_VASTERVIK/artfynd/A 21828-2023.xlsx", "A 21828-2023")</f>
        <v/>
      </c>
      <c r="T602">
        <f>HYPERLINK("https://klasma.github.io/Logging_VASTERVIK/kartor/A 21828-2023.png", "A 21828-2023")</f>
        <v/>
      </c>
      <c r="V602">
        <f>HYPERLINK("https://klasma.github.io/Logging_VASTERVIK/klagomål/A 21828-2023.docx", "A 21828-2023")</f>
        <v/>
      </c>
      <c r="W602">
        <f>HYPERLINK("https://klasma.github.io/Logging_VASTERVIK/klagomålsmail/A 21828-2023.docx", "A 21828-2023")</f>
        <v/>
      </c>
      <c r="X602">
        <f>HYPERLINK("https://klasma.github.io/Logging_VASTERVIK/tillsyn/A 21828-2023.docx", "A 21828-2023")</f>
        <v/>
      </c>
      <c r="Y602">
        <f>HYPERLINK("https://klasma.github.io/Logging_VASTERVIK/tillsynsmail/A 21828-2023.docx", "A 21828-2023")</f>
        <v/>
      </c>
    </row>
    <row r="603" ht="15" customHeight="1">
      <c r="A603" t="inlineStr">
        <is>
          <t>A 22014-2023</t>
        </is>
      </c>
      <c r="B603" s="1" t="n">
        <v>45069</v>
      </c>
      <c r="C603" s="1" t="n">
        <v>45190</v>
      </c>
      <c r="D603" t="inlineStr">
        <is>
          <t>KALMAR LÄN</t>
        </is>
      </c>
      <c r="E603" t="inlineStr">
        <is>
          <t>KALMAR</t>
        </is>
      </c>
      <c r="G603" t="n">
        <v>1.6</v>
      </c>
      <c r="H603" t="n">
        <v>1</v>
      </c>
      <c r="I603" t="n">
        <v>0</v>
      </c>
      <c r="J603" t="n">
        <v>0</v>
      </c>
      <c r="K603" t="n">
        <v>0</v>
      </c>
      <c r="L603" t="n">
        <v>0</v>
      </c>
      <c r="M603" t="n">
        <v>0</v>
      </c>
      <c r="N603" t="n">
        <v>0</v>
      </c>
      <c r="O603" t="n">
        <v>0</v>
      </c>
      <c r="P603" t="n">
        <v>0</v>
      </c>
      <c r="Q603" t="n">
        <v>1</v>
      </c>
      <c r="R603" s="2" t="inlineStr">
        <is>
          <t>Lopplummer</t>
        </is>
      </c>
      <c r="S603">
        <f>HYPERLINK("https://klasma.github.io/Logging_KALMAR/artfynd/A 22014-2023.xlsx", "A 22014-2023")</f>
        <v/>
      </c>
      <c r="T603">
        <f>HYPERLINK("https://klasma.github.io/Logging_KALMAR/kartor/A 22014-2023.png", "A 22014-2023")</f>
        <v/>
      </c>
      <c r="V603">
        <f>HYPERLINK("https://klasma.github.io/Logging_KALMAR/klagomål/A 22014-2023.docx", "A 22014-2023")</f>
        <v/>
      </c>
      <c r="W603">
        <f>HYPERLINK("https://klasma.github.io/Logging_KALMAR/klagomålsmail/A 22014-2023.docx", "A 22014-2023")</f>
        <v/>
      </c>
      <c r="X603">
        <f>HYPERLINK("https://klasma.github.io/Logging_KALMAR/tillsyn/A 22014-2023.docx", "A 22014-2023")</f>
        <v/>
      </c>
      <c r="Y603">
        <f>HYPERLINK("https://klasma.github.io/Logging_KALMAR/tillsynsmail/A 22014-2023.docx", "A 22014-2023")</f>
        <v/>
      </c>
    </row>
    <row r="604" ht="15" customHeight="1">
      <c r="A604" t="inlineStr">
        <is>
          <t>A 23849-2023</t>
        </is>
      </c>
      <c r="B604" s="1" t="n">
        <v>45078</v>
      </c>
      <c r="C604" s="1" t="n">
        <v>45190</v>
      </c>
      <c r="D604" t="inlineStr">
        <is>
          <t>KALMAR LÄN</t>
        </is>
      </c>
      <c r="E604" t="inlineStr">
        <is>
          <t>HÖGSBY</t>
        </is>
      </c>
      <c r="G604" t="n">
        <v>1.5</v>
      </c>
      <c r="H604" t="n">
        <v>0</v>
      </c>
      <c r="I604" t="n">
        <v>0</v>
      </c>
      <c r="J604" t="n">
        <v>1</v>
      </c>
      <c r="K604" t="n">
        <v>0</v>
      </c>
      <c r="L604" t="n">
        <v>0</v>
      </c>
      <c r="M604" t="n">
        <v>0</v>
      </c>
      <c r="N604" t="n">
        <v>0</v>
      </c>
      <c r="O604" t="n">
        <v>1</v>
      </c>
      <c r="P604" t="n">
        <v>0</v>
      </c>
      <c r="Q604" t="n">
        <v>1</v>
      </c>
      <c r="R604" s="2" t="inlineStr">
        <is>
          <t>Vippärt</t>
        </is>
      </c>
      <c r="S604">
        <f>HYPERLINK("https://klasma.github.io/Logging_HOGSBY/artfynd/A 23849-2023.xlsx", "A 23849-2023")</f>
        <v/>
      </c>
      <c r="T604">
        <f>HYPERLINK("https://klasma.github.io/Logging_HOGSBY/kartor/A 23849-2023.png", "A 23849-2023")</f>
        <v/>
      </c>
      <c r="V604">
        <f>HYPERLINK("https://klasma.github.io/Logging_HOGSBY/klagomål/A 23849-2023.docx", "A 23849-2023")</f>
        <v/>
      </c>
      <c r="W604">
        <f>HYPERLINK("https://klasma.github.io/Logging_HOGSBY/klagomålsmail/A 23849-2023.docx", "A 23849-2023")</f>
        <v/>
      </c>
      <c r="X604">
        <f>HYPERLINK("https://klasma.github.io/Logging_HOGSBY/tillsyn/A 23849-2023.docx", "A 23849-2023")</f>
        <v/>
      </c>
      <c r="Y604">
        <f>HYPERLINK("https://klasma.github.io/Logging_HOGSBY/tillsynsmail/A 23849-2023.docx", "A 23849-2023")</f>
        <v/>
      </c>
    </row>
    <row r="605" ht="15" customHeight="1">
      <c r="A605" t="inlineStr">
        <is>
          <t>A 24157-2023</t>
        </is>
      </c>
      <c r="B605" s="1" t="n">
        <v>45079</v>
      </c>
      <c r="C605" s="1" t="n">
        <v>45190</v>
      </c>
      <c r="D605" t="inlineStr">
        <is>
          <t>KALMAR LÄN</t>
        </is>
      </c>
      <c r="E605" t="inlineStr">
        <is>
          <t>TORSÅS</t>
        </is>
      </c>
      <c r="G605" t="n">
        <v>7</v>
      </c>
      <c r="H605" t="n">
        <v>0</v>
      </c>
      <c r="I605" t="n">
        <v>1</v>
      </c>
      <c r="J605" t="n">
        <v>0</v>
      </c>
      <c r="K605" t="n">
        <v>0</v>
      </c>
      <c r="L605" t="n">
        <v>0</v>
      </c>
      <c r="M605" t="n">
        <v>0</v>
      </c>
      <c r="N605" t="n">
        <v>0</v>
      </c>
      <c r="O605" t="n">
        <v>0</v>
      </c>
      <c r="P605" t="n">
        <v>0</v>
      </c>
      <c r="Q605" t="n">
        <v>1</v>
      </c>
      <c r="R605" s="2" t="inlineStr">
        <is>
          <t>Grovticka</t>
        </is>
      </c>
      <c r="S605">
        <f>HYPERLINK("https://klasma.github.io/Logging_TORSAS/artfynd/A 24157-2023.xlsx", "A 24157-2023")</f>
        <v/>
      </c>
      <c r="T605">
        <f>HYPERLINK("https://klasma.github.io/Logging_TORSAS/kartor/A 24157-2023.png", "A 24157-2023")</f>
        <v/>
      </c>
      <c r="V605">
        <f>HYPERLINK("https://klasma.github.io/Logging_TORSAS/klagomål/A 24157-2023.docx", "A 24157-2023")</f>
        <v/>
      </c>
      <c r="W605">
        <f>HYPERLINK("https://klasma.github.io/Logging_TORSAS/klagomålsmail/A 24157-2023.docx", "A 24157-2023")</f>
        <v/>
      </c>
      <c r="X605">
        <f>HYPERLINK("https://klasma.github.io/Logging_TORSAS/tillsyn/A 24157-2023.docx", "A 24157-2023")</f>
        <v/>
      </c>
      <c r="Y605">
        <f>HYPERLINK("https://klasma.github.io/Logging_TORSAS/tillsynsmail/A 24157-2023.docx", "A 24157-2023")</f>
        <v/>
      </c>
    </row>
    <row r="606" ht="15" customHeight="1">
      <c r="A606" t="inlineStr">
        <is>
          <t>A 24698-2023</t>
        </is>
      </c>
      <c r="B606" s="1" t="n">
        <v>45084</v>
      </c>
      <c r="C606" s="1" t="n">
        <v>45190</v>
      </c>
      <c r="D606" t="inlineStr">
        <is>
          <t>KALMAR LÄN</t>
        </is>
      </c>
      <c r="E606" t="inlineStr">
        <is>
          <t>MÖRBYLÅNGA</t>
        </is>
      </c>
      <c r="G606" t="n">
        <v>5.5</v>
      </c>
      <c r="H606" t="n">
        <v>0</v>
      </c>
      <c r="I606" t="n">
        <v>1</v>
      </c>
      <c r="J606" t="n">
        <v>0</v>
      </c>
      <c r="K606" t="n">
        <v>0</v>
      </c>
      <c r="L606" t="n">
        <v>0</v>
      </c>
      <c r="M606" t="n">
        <v>0</v>
      </c>
      <c r="N606" t="n">
        <v>0</v>
      </c>
      <c r="O606" t="n">
        <v>0</v>
      </c>
      <c r="P606" t="n">
        <v>0</v>
      </c>
      <c r="Q606" t="n">
        <v>1</v>
      </c>
      <c r="R606" s="2" t="inlineStr">
        <is>
          <t>Sårläka</t>
        </is>
      </c>
      <c r="S606">
        <f>HYPERLINK("https://klasma.github.io/Logging_MORBYLANGA/artfynd/A 24698-2023.xlsx", "A 24698-2023")</f>
        <v/>
      </c>
      <c r="T606">
        <f>HYPERLINK("https://klasma.github.io/Logging_MORBYLANGA/kartor/A 24698-2023.png", "A 24698-2023")</f>
        <v/>
      </c>
      <c r="V606">
        <f>HYPERLINK("https://klasma.github.io/Logging_MORBYLANGA/klagomål/A 24698-2023.docx", "A 24698-2023")</f>
        <v/>
      </c>
      <c r="W606">
        <f>HYPERLINK("https://klasma.github.io/Logging_MORBYLANGA/klagomålsmail/A 24698-2023.docx", "A 24698-2023")</f>
        <v/>
      </c>
      <c r="X606">
        <f>HYPERLINK("https://klasma.github.io/Logging_MORBYLANGA/tillsyn/A 24698-2023.docx", "A 24698-2023")</f>
        <v/>
      </c>
      <c r="Y606">
        <f>HYPERLINK("https://klasma.github.io/Logging_MORBYLANGA/tillsynsmail/A 24698-2023.docx", "A 24698-2023")</f>
        <v/>
      </c>
    </row>
    <row r="607" ht="15" customHeight="1">
      <c r="A607" t="inlineStr">
        <is>
          <t>A 24704-2023</t>
        </is>
      </c>
      <c r="B607" s="1" t="n">
        <v>45084</v>
      </c>
      <c r="C607" s="1" t="n">
        <v>45190</v>
      </c>
      <c r="D607" t="inlineStr">
        <is>
          <t>KALMAR LÄN</t>
        </is>
      </c>
      <c r="E607" t="inlineStr">
        <is>
          <t>BORGHOLM</t>
        </is>
      </c>
      <c r="G607" t="n">
        <v>3.5</v>
      </c>
      <c r="H607" t="n">
        <v>0</v>
      </c>
      <c r="I607" t="n">
        <v>0</v>
      </c>
      <c r="J607" t="n">
        <v>0</v>
      </c>
      <c r="K607" t="n">
        <v>0</v>
      </c>
      <c r="L607" t="n">
        <v>1</v>
      </c>
      <c r="M607" t="n">
        <v>0</v>
      </c>
      <c r="N607" t="n">
        <v>0</v>
      </c>
      <c r="O607" t="n">
        <v>1</v>
      </c>
      <c r="P607" t="n">
        <v>1</v>
      </c>
      <c r="Q607" t="n">
        <v>1</v>
      </c>
      <c r="R607" s="2" t="inlineStr">
        <is>
          <t>Ask</t>
        </is>
      </c>
      <c r="S607">
        <f>HYPERLINK("https://klasma.github.io/Logging_BORGHOLM/artfynd/A 24704-2023.xlsx", "A 24704-2023")</f>
        <v/>
      </c>
      <c r="T607">
        <f>HYPERLINK("https://klasma.github.io/Logging_BORGHOLM/kartor/A 24704-2023.png", "A 24704-2023")</f>
        <v/>
      </c>
      <c r="V607">
        <f>HYPERLINK("https://klasma.github.io/Logging_BORGHOLM/klagomål/A 24704-2023.docx", "A 24704-2023")</f>
        <v/>
      </c>
      <c r="W607">
        <f>HYPERLINK("https://klasma.github.io/Logging_BORGHOLM/klagomålsmail/A 24704-2023.docx", "A 24704-2023")</f>
        <v/>
      </c>
      <c r="X607">
        <f>HYPERLINK("https://klasma.github.io/Logging_BORGHOLM/tillsyn/A 24704-2023.docx", "A 24704-2023")</f>
        <v/>
      </c>
      <c r="Y607">
        <f>HYPERLINK("https://klasma.github.io/Logging_BORGHOLM/tillsynsmail/A 24704-2023.docx", "A 24704-2023")</f>
        <v/>
      </c>
    </row>
    <row r="608" ht="15" customHeight="1">
      <c r="A608" t="inlineStr">
        <is>
          <t>A 24695-2023</t>
        </is>
      </c>
      <c r="B608" s="1" t="n">
        <v>45084</v>
      </c>
      <c r="C608" s="1" t="n">
        <v>45190</v>
      </c>
      <c r="D608" t="inlineStr">
        <is>
          <t>KALMAR LÄN</t>
        </is>
      </c>
      <c r="E608" t="inlineStr">
        <is>
          <t>MÖRBYLÅNGA</t>
        </is>
      </c>
      <c r="G608" t="n">
        <v>8.5</v>
      </c>
      <c r="H608" t="n">
        <v>0</v>
      </c>
      <c r="I608" t="n">
        <v>0</v>
      </c>
      <c r="J608" t="n">
        <v>0</v>
      </c>
      <c r="K608" t="n">
        <v>0</v>
      </c>
      <c r="L608" t="n">
        <v>1</v>
      </c>
      <c r="M608" t="n">
        <v>0</v>
      </c>
      <c r="N608" t="n">
        <v>0</v>
      </c>
      <c r="O608" t="n">
        <v>1</v>
      </c>
      <c r="P608" t="n">
        <v>1</v>
      </c>
      <c r="Q608" t="n">
        <v>1</v>
      </c>
      <c r="R608" s="2" t="inlineStr">
        <is>
          <t>Ask</t>
        </is>
      </c>
      <c r="S608">
        <f>HYPERLINK("https://klasma.github.io/Logging_MORBYLANGA/artfynd/A 24695-2023.xlsx", "A 24695-2023")</f>
        <v/>
      </c>
      <c r="T608">
        <f>HYPERLINK("https://klasma.github.io/Logging_MORBYLANGA/kartor/A 24695-2023.png", "A 24695-2023")</f>
        <v/>
      </c>
      <c r="V608">
        <f>HYPERLINK("https://klasma.github.io/Logging_MORBYLANGA/klagomål/A 24695-2023.docx", "A 24695-2023")</f>
        <v/>
      </c>
      <c r="W608">
        <f>HYPERLINK("https://klasma.github.io/Logging_MORBYLANGA/klagomålsmail/A 24695-2023.docx", "A 24695-2023")</f>
        <v/>
      </c>
      <c r="X608">
        <f>HYPERLINK("https://klasma.github.io/Logging_MORBYLANGA/tillsyn/A 24695-2023.docx", "A 24695-2023")</f>
        <v/>
      </c>
      <c r="Y608">
        <f>HYPERLINK("https://klasma.github.io/Logging_MORBYLANGA/tillsynsmail/A 24695-2023.docx", "A 24695-2023")</f>
        <v/>
      </c>
    </row>
    <row r="609" ht="15" customHeight="1">
      <c r="A609" t="inlineStr">
        <is>
          <t>A 24700-2023</t>
        </is>
      </c>
      <c r="B609" s="1" t="n">
        <v>45084</v>
      </c>
      <c r="C609" s="1" t="n">
        <v>45190</v>
      </c>
      <c r="D609" t="inlineStr">
        <is>
          <t>KALMAR LÄN</t>
        </is>
      </c>
      <c r="E609" t="inlineStr">
        <is>
          <t>MÖRBYLÅNGA</t>
        </is>
      </c>
      <c r="G609" t="n">
        <v>3</v>
      </c>
      <c r="H609" t="n">
        <v>0</v>
      </c>
      <c r="I609" t="n">
        <v>1</v>
      </c>
      <c r="J609" t="n">
        <v>0</v>
      </c>
      <c r="K609" t="n">
        <v>0</v>
      </c>
      <c r="L609" t="n">
        <v>0</v>
      </c>
      <c r="M609" t="n">
        <v>0</v>
      </c>
      <c r="N609" t="n">
        <v>0</v>
      </c>
      <c r="O609" t="n">
        <v>0</v>
      </c>
      <c r="P609" t="n">
        <v>0</v>
      </c>
      <c r="Q609" t="n">
        <v>1</v>
      </c>
      <c r="R609" s="2" t="inlineStr">
        <is>
          <t>Sårläka</t>
        </is>
      </c>
      <c r="S609">
        <f>HYPERLINK("https://klasma.github.io/Logging_MORBYLANGA/artfynd/A 24700-2023.xlsx", "A 24700-2023")</f>
        <v/>
      </c>
      <c r="T609">
        <f>HYPERLINK("https://klasma.github.io/Logging_MORBYLANGA/kartor/A 24700-2023.png", "A 24700-2023")</f>
        <v/>
      </c>
      <c r="V609">
        <f>HYPERLINK("https://klasma.github.io/Logging_MORBYLANGA/klagomål/A 24700-2023.docx", "A 24700-2023")</f>
        <v/>
      </c>
      <c r="W609">
        <f>HYPERLINK("https://klasma.github.io/Logging_MORBYLANGA/klagomålsmail/A 24700-2023.docx", "A 24700-2023")</f>
        <v/>
      </c>
      <c r="X609">
        <f>HYPERLINK("https://klasma.github.io/Logging_MORBYLANGA/tillsyn/A 24700-2023.docx", "A 24700-2023")</f>
        <v/>
      </c>
      <c r="Y609">
        <f>HYPERLINK("https://klasma.github.io/Logging_MORBYLANGA/tillsynsmail/A 24700-2023.docx", "A 24700-2023")</f>
        <v/>
      </c>
    </row>
    <row r="610" ht="15" customHeight="1">
      <c r="A610" t="inlineStr">
        <is>
          <t>A 24701-2023</t>
        </is>
      </c>
      <c r="B610" s="1" t="n">
        <v>45084</v>
      </c>
      <c r="C610" s="1" t="n">
        <v>45190</v>
      </c>
      <c r="D610" t="inlineStr">
        <is>
          <t>KALMAR LÄN</t>
        </is>
      </c>
      <c r="E610" t="inlineStr">
        <is>
          <t>BORGHOLM</t>
        </is>
      </c>
      <c r="G610" t="n">
        <v>3</v>
      </c>
      <c r="H610" t="n">
        <v>0</v>
      </c>
      <c r="I610" t="n">
        <v>0</v>
      </c>
      <c r="J610" t="n">
        <v>0</v>
      </c>
      <c r="K610" t="n">
        <v>0</v>
      </c>
      <c r="L610" t="n">
        <v>1</v>
      </c>
      <c r="M610" t="n">
        <v>0</v>
      </c>
      <c r="N610" t="n">
        <v>0</v>
      </c>
      <c r="O610" t="n">
        <v>1</v>
      </c>
      <c r="P610" t="n">
        <v>1</v>
      </c>
      <c r="Q610" t="n">
        <v>1</v>
      </c>
      <c r="R610" s="2" t="inlineStr">
        <is>
          <t>Ask</t>
        </is>
      </c>
      <c r="S610">
        <f>HYPERLINK("https://klasma.github.io/Logging_BORGHOLM/artfynd/A 24701-2023.xlsx", "A 24701-2023")</f>
        <v/>
      </c>
      <c r="T610">
        <f>HYPERLINK("https://klasma.github.io/Logging_BORGHOLM/kartor/A 24701-2023.png", "A 24701-2023")</f>
        <v/>
      </c>
      <c r="V610">
        <f>HYPERLINK("https://klasma.github.io/Logging_BORGHOLM/klagomål/A 24701-2023.docx", "A 24701-2023")</f>
        <v/>
      </c>
      <c r="W610">
        <f>HYPERLINK("https://klasma.github.io/Logging_BORGHOLM/klagomålsmail/A 24701-2023.docx", "A 24701-2023")</f>
        <v/>
      </c>
      <c r="X610">
        <f>HYPERLINK("https://klasma.github.io/Logging_BORGHOLM/tillsyn/A 24701-2023.docx", "A 24701-2023")</f>
        <v/>
      </c>
      <c r="Y610">
        <f>HYPERLINK("https://klasma.github.io/Logging_BORGHOLM/tillsynsmail/A 24701-2023.docx", "A 24701-2023")</f>
        <v/>
      </c>
    </row>
    <row r="611" ht="15" customHeight="1">
      <c r="A611" t="inlineStr">
        <is>
          <t>A 25218-2023</t>
        </is>
      </c>
      <c r="B611" s="1" t="n">
        <v>45086</v>
      </c>
      <c r="C611" s="1" t="n">
        <v>45190</v>
      </c>
      <c r="D611" t="inlineStr">
        <is>
          <t>KALMAR LÄN</t>
        </is>
      </c>
      <c r="E611" t="inlineStr">
        <is>
          <t>MÖNSTERÅS</t>
        </is>
      </c>
      <c r="G611" t="n">
        <v>1.5</v>
      </c>
      <c r="H611" t="n">
        <v>1</v>
      </c>
      <c r="I611" t="n">
        <v>0</v>
      </c>
      <c r="J611" t="n">
        <v>0</v>
      </c>
      <c r="K611" t="n">
        <v>0</v>
      </c>
      <c r="L611" t="n">
        <v>0</v>
      </c>
      <c r="M611" t="n">
        <v>0</v>
      </c>
      <c r="N611" t="n">
        <v>0</v>
      </c>
      <c r="O611" t="n">
        <v>0</v>
      </c>
      <c r="P611" t="n">
        <v>0</v>
      </c>
      <c r="Q611" t="n">
        <v>1</v>
      </c>
      <c r="R611" s="2" t="inlineStr">
        <is>
          <t>Hasselmus</t>
        </is>
      </c>
      <c r="S611">
        <f>HYPERLINK("https://klasma.github.io/Logging_MONSTERAS/artfynd/A 25218-2023.xlsx", "A 25218-2023")</f>
        <v/>
      </c>
      <c r="T611">
        <f>HYPERLINK("https://klasma.github.io/Logging_MONSTERAS/kartor/A 25218-2023.png", "A 25218-2023")</f>
        <v/>
      </c>
      <c r="V611">
        <f>HYPERLINK("https://klasma.github.io/Logging_MONSTERAS/klagomål/A 25218-2023.docx", "A 25218-2023")</f>
        <v/>
      </c>
      <c r="W611">
        <f>HYPERLINK("https://klasma.github.io/Logging_MONSTERAS/klagomålsmail/A 25218-2023.docx", "A 25218-2023")</f>
        <v/>
      </c>
      <c r="X611">
        <f>HYPERLINK("https://klasma.github.io/Logging_MONSTERAS/tillsyn/A 25218-2023.docx", "A 25218-2023")</f>
        <v/>
      </c>
      <c r="Y611">
        <f>HYPERLINK("https://klasma.github.io/Logging_MONSTERAS/tillsynsmail/A 25218-2023.docx", "A 25218-2023")</f>
        <v/>
      </c>
    </row>
    <row r="612" ht="15" customHeight="1">
      <c r="A612" t="inlineStr">
        <is>
          <t>A 25231-2023</t>
        </is>
      </c>
      <c r="B612" s="1" t="n">
        <v>45086</v>
      </c>
      <c r="C612" s="1" t="n">
        <v>45190</v>
      </c>
      <c r="D612" t="inlineStr">
        <is>
          <t>KALMAR LÄN</t>
        </is>
      </c>
      <c r="E612" t="inlineStr">
        <is>
          <t>MÖNSTERÅS</t>
        </is>
      </c>
      <c r="G612" t="n">
        <v>6.4</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25231-2023.xlsx", "A 25231-2023")</f>
        <v/>
      </c>
      <c r="T612">
        <f>HYPERLINK("https://klasma.github.io/Logging_MONSTERAS/kartor/A 25231-2023.png", "A 25231-2023")</f>
        <v/>
      </c>
      <c r="V612">
        <f>HYPERLINK("https://klasma.github.io/Logging_MONSTERAS/klagomål/A 25231-2023.docx", "A 25231-2023")</f>
        <v/>
      </c>
      <c r="W612">
        <f>HYPERLINK("https://klasma.github.io/Logging_MONSTERAS/klagomålsmail/A 25231-2023.docx", "A 25231-2023")</f>
        <v/>
      </c>
      <c r="X612">
        <f>HYPERLINK("https://klasma.github.io/Logging_MONSTERAS/tillsyn/A 25231-2023.docx", "A 25231-2023")</f>
        <v/>
      </c>
      <c r="Y612">
        <f>HYPERLINK("https://klasma.github.io/Logging_MONSTERAS/tillsynsmail/A 25231-2023.docx", "A 25231-2023")</f>
        <v/>
      </c>
    </row>
    <row r="613" ht="15" customHeight="1">
      <c r="A613" t="inlineStr">
        <is>
          <t>A 25433-2023</t>
        </is>
      </c>
      <c r="B613" s="1" t="n">
        <v>45089</v>
      </c>
      <c r="C613" s="1" t="n">
        <v>45190</v>
      </c>
      <c r="D613" t="inlineStr">
        <is>
          <t>KALMAR LÄN</t>
        </is>
      </c>
      <c r="E613" t="inlineStr">
        <is>
          <t>VÄSTERVIK</t>
        </is>
      </c>
      <c r="G613" t="n">
        <v>2.3</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25433-2023.xlsx", "A 25433-2023")</f>
        <v/>
      </c>
      <c r="T613">
        <f>HYPERLINK("https://klasma.github.io/Logging_VASTERVIK/kartor/A 25433-2023.png", "A 25433-2023")</f>
        <v/>
      </c>
      <c r="U613">
        <f>HYPERLINK("https://klasma.github.io/Logging_VASTERVIK/knärot/A 25433-2023.png", "A 25433-2023")</f>
        <v/>
      </c>
      <c r="V613">
        <f>HYPERLINK("https://klasma.github.io/Logging_VASTERVIK/klagomål/A 25433-2023.docx", "A 25433-2023")</f>
        <v/>
      </c>
      <c r="W613">
        <f>HYPERLINK("https://klasma.github.io/Logging_VASTERVIK/klagomålsmail/A 25433-2023.docx", "A 25433-2023")</f>
        <v/>
      </c>
      <c r="X613">
        <f>HYPERLINK("https://klasma.github.io/Logging_VASTERVIK/tillsyn/A 25433-2023.docx", "A 25433-2023")</f>
        <v/>
      </c>
      <c r="Y613">
        <f>HYPERLINK("https://klasma.github.io/Logging_VASTERVIK/tillsynsmail/A 25433-2023.docx", "A 25433-2023")</f>
        <v/>
      </c>
    </row>
    <row r="614" ht="15" customHeight="1">
      <c r="A614" t="inlineStr">
        <is>
          <t>A 25436-2023</t>
        </is>
      </c>
      <c r="B614" s="1" t="n">
        <v>45089</v>
      </c>
      <c r="C614" s="1" t="n">
        <v>45190</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25436-2023.xlsx", "A 25436-2023")</f>
        <v/>
      </c>
      <c r="T614">
        <f>HYPERLINK("https://klasma.github.io/Logging_VASTERVIK/kartor/A 25436-2023.png", "A 25436-2023")</f>
        <v/>
      </c>
      <c r="U614">
        <f>HYPERLINK("https://klasma.github.io/Logging_VASTERVIK/knärot/A 25436-2023.png", "A 25436-2023")</f>
        <v/>
      </c>
      <c r="V614">
        <f>HYPERLINK("https://klasma.github.io/Logging_VASTERVIK/klagomål/A 25436-2023.docx", "A 25436-2023")</f>
        <v/>
      </c>
      <c r="W614">
        <f>HYPERLINK("https://klasma.github.io/Logging_VASTERVIK/klagomålsmail/A 25436-2023.docx", "A 25436-2023")</f>
        <v/>
      </c>
      <c r="X614">
        <f>HYPERLINK("https://klasma.github.io/Logging_VASTERVIK/tillsyn/A 25436-2023.docx", "A 25436-2023")</f>
        <v/>
      </c>
      <c r="Y614">
        <f>HYPERLINK("https://klasma.github.io/Logging_VASTERVIK/tillsynsmail/A 25436-2023.docx", "A 25436-2023")</f>
        <v/>
      </c>
    </row>
    <row r="615" ht="15" customHeight="1">
      <c r="A615" t="inlineStr">
        <is>
          <t>A 25435-2023</t>
        </is>
      </c>
      <c r="B615" s="1" t="n">
        <v>45089</v>
      </c>
      <c r="C615" s="1" t="n">
        <v>45190</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25435-2023.xlsx", "A 25435-2023")</f>
        <v/>
      </c>
      <c r="T615">
        <f>HYPERLINK("https://klasma.github.io/Logging_VASTERVIK/kartor/A 25435-2023.png", "A 25435-2023")</f>
        <v/>
      </c>
      <c r="U615">
        <f>HYPERLINK("https://klasma.github.io/Logging_VASTERVIK/knärot/A 25435-2023.png", "A 25435-2023")</f>
        <v/>
      </c>
      <c r="V615">
        <f>HYPERLINK("https://klasma.github.io/Logging_VASTERVIK/klagomål/A 25435-2023.docx", "A 25435-2023")</f>
        <v/>
      </c>
      <c r="W615">
        <f>HYPERLINK("https://klasma.github.io/Logging_VASTERVIK/klagomålsmail/A 25435-2023.docx", "A 25435-2023")</f>
        <v/>
      </c>
      <c r="X615">
        <f>HYPERLINK("https://klasma.github.io/Logging_VASTERVIK/tillsyn/A 25435-2023.docx", "A 25435-2023")</f>
        <v/>
      </c>
      <c r="Y615">
        <f>HYPERLINK("https://klasma.github.io/Logging_VASTERVIK/tillsynsmail/A 25435-2023.docx", "A 25435-2023")</f>
        <v/>
      </c>
    </row>
    <row r="616" ht="15" customHeight="1">
      <c r="A616" t="inlineStr">
        <is>
          <t>A 25563-2023</t>
        </is>
      </c>
      <c r="B616" s="1" t="n">
        <v>45089</v>
      </c>
      <c r="C616" s="1" t="n">
        <v>45190</v>
      </c>
      <c r="D616" t="inlineStr">
        <is>
          <t>KALMAR LÄN</t>
        </is>
      </c>
      <c r="E616" t="inlineStr">
        <is>
          <t>VÄSTERVIK</t>
        </is>
      </c>
      <c r="G616" t="n">
        <v>1.6</v>
      </c>
      <c r="H616" t="n">
        <v>1</v>
      </c>
      <c r="I616" t="n">
        <v>0</v>
      </c>
      <c r="J616" t="n">
        <v>1</v>
      </c>
      <c r="K616" t="n">
        <v>0</v>
      </c>
      <c r="L616" t="n">
        <v>0</v>
      </c>
      <c r="M616" t="n">
        <v>0</v>
      </c>
      <c r="N616" t="n">
        <v>0</v>
      </c>
      <c r="O616" t="n">
        <v>1</v>
      </c>
      <c r="P616" t="n">
        <v>0</v>
      </c>
      <c r="Q616" t="n">
        <v>1</v>
      </c>
      <c r="R616" s="2" t="inlineStr">
        <is>
          <t>Talltita</t>
        </is>
      </c>
      <c r="S616">
        <f>HYPERLINK("https://klasma.github.io/Logging_VASTERVIK/artfynd/A 25563-2023.xlsx", "A 25563-2023")</f>
        <v/>
      </c>
      <c r="T616">
        <f>HYPERLINK("https://klasma.github.io/Logging_VASTERVIK/kartor/A 25563-2023.png", "A 25563-2023")</f>
        <v/>
      </c>
      <c r="V616">
        <f>HYPERLINK("https://klasma.github.io/Logging_VASTERVIK/klagomål/A 25563-2023.docx", "A 25563-2023")</f>
        <v/>
      </c>
      <c r="W616">
        <f>HYPERLINK("https://klasma.github.io/Logging_VASTERVIK/klagomålsmail/A 25563-2023.docx", "A 25563-2023")</f>
        <v/>
      </c>
      <c r="X616">
        <f>HYPERLINK("https://klasma.github.io/Logging_VASTERVIK/tillsyn/A 25563-2023.docx", "A 25563-2023")</f>
        <v/>
      </c>
      <c r="Y616">
        <f>HYPERLINK("https://klasma.github.io/Logging_VASTERVIK/tillsynsmail/A 25563-2023.docx", "A 25563-2023")</f>
        <v/>
      </c>
    </row>
    <row r="617" ht="15" customHeight="1">
      <c r="A617" t="inlineStr">
        <is>
          <t>A 26278-2023</t>
        </is>
      </c>
      <c r="B617" s="1" t="n">
        <v>45091</v>
      </c>
      <c r="C617" s="1" t="n">
        <v>45190</v>
      </c>
      <c r="D617" t="inlineStr">
        <is>
          <t>KALMAR LÄN</t>
        </is>
      </c>
      <c r="E617" t="inlineStr">
        <is>
          <t>VÄSTERVIK</t>
        </is>
      </c>
      <c r="G617" t="n">
        <v>3.1</v>
      </c>
      <c r="H617" t="n">
        <v>1</v>
      </c>
      <c r="I617" t="n">
        <v>0</v>
      </c>
      <c r="J617" t="n">
        <v>0</v>
      </c>
      <c r="K617" t="n">
        <v>1</v>
      </c>
      <c r="L617" t="n">
        <v>0</v>
      </c>
      <c r="M617" t="n">
        <v>0</v>
      </c>
      <c r="N617" t="n">
        <v>0</v>
      </c>
      <c r="O617" t="n">
        <v>1</v>
      </c>
      <c r="P617" t="n">
        <v>1</v>
      </c>
      <c r="Q617" t="n">
        <v>1</v>
      </c>
      <c r="R617" s="2" t="inlineStr">
        <is>
          <t>Knärot</t>
        </is>
      </c>
      <c r="S617">
        <f>HYPERLINK("https://klasma.github.io/Logging_VASTERVIK/artfynd/A 26278-2023.xlsx", "A 26278-2023")</f>
        <v/>
      </c>
      <c r="T617">
        <f>HYPERLINK("https://klasma.github.io/Logging_VASTERVIK/kartor/A 26278-2023.png", "A 26278-2023")</f>
        <v/>
      </c>
      <c r="U617">
        <f>HYPERLINK("https://klasma.github.io/Logging_VASTERVIK/knärot/A 26278-2023.png", "A 26278-2023")</f>
        <v/>
      </c>
      <c r="V617">
        <f>HYPERLINK("https://klasma.github.io/Logging_VASTERVIK/klagomål/A 26278-2023.docx", "A 26278-2023")</f>
        <v/>
      </c>
      <c r="W617">
        <f>HYPERLINK("https://klasma.github.io/Logging_VASTERVIK/klagomålsmail/A 26278-2023.docx", "A 26278-2023")</f>
        <v/>
      </c>
      <c r="X617">
        <f>HYPERLINK("https://klasma.github.io/Logging_VASTERVIK/tillsyn/A 26278-2023.docx", "A 26278-2023")</f>
        <v/>
      </c>
      <c r="Y617">
        <f>HYPERLINK("https://klasma.github.io/Logging_VASTERVIK/tillsynsmail/A 26278-2023.docx", "A 26278-2023")</f>
        <v/>
      </c>
    </row>
    <row r="618" ht="15" customHeight="1">
      <c r="A618" t="inlineStr">
        <is>
          <t>A 26685-2023</t>
        </is>
      </c>
      <c r="B618" s="1" t="n">
        <v>45093</v>
      </c>
      <c r="C618" s="1" t="n">
        <v>45190</v>
      </c>
      <c r="D618" t="inlineStr">
        <is>
          <t>KALMAR LÄN</t>
        </is>
      </c>
      <c r="E618" t="inlineStr">
        <is>
          <t>HULTSFRED</t>
        </is>
      </c>
      <c r="G618" t="n">
        <v>2.3</v>
      </c>
      <c r="H618" t="n">
        <v>1</v>
      </c>
      <c r="I618" t="n">
        <v>0</v>
      </c>
      <c r="J618" t="n">
        <v>0</v>
      </c>
      <c r="K618" t="n">
        <v>0</v>
      </c>
      <c r="L618" t="n">
        <v>0</v>
      </c>
      <c r="M618" t="n">
        <v>0</v>
      </c>
      <c r="N618" t="n">
        <v>0</v>
      </c>
      <c r="O618" t="n">
        <v>0</v>
      </c>
      <c r="P618" t="n">
        <v>0</v>
      </c>
      <c r="Q618" t="n">
        <v>1</v>
      </c>
      <c r="R618" s="2" t="inlineStr">
        <is>
          <t>Blåsippa</t>
        </is>
      </c>
      <c r="S618">
        <f>HYPERLINK("https://klasma.github.io/Logging_HULTSFRED/artfynd/A 26685-2023.xlsx", "A 26685-2023")</f>
        <v/>
      </c>
      <c r="T618">
        <f>HYPERLINK("https://klasma.github.io/Logging_HULTSFRED/kartor/A 26685-2023.png", "A 26685-2023")</f>
        <v/>
      </c>
      <c r="V618">
        <f>HYPERLINK("https://klasma.github.io/Logging_HULTSFRED/klagomål/A 26685-2023.docx", "A 26685-2023")</f>
        <v/>
      </c>
      <c r="W618">
        <f>HYPERLINK("https://klasma.github.io/Logging_HULTSFRED/klagomålsmail/A 26685-2023.docx", "A 26685-2023")</f>
        <v/>
      </c>
      <c r="X618">
        <f>HYPERLINK("https://klasma.github.io/Logging_HULTSFRED/tillsyn/A 26685-2023.docx", "A 26685-2023")</f>
        <v/>
      </c>
      <c r="Y618">
        <f>HYPERLINK("https://klasma.github.io/Logging_HULTSFRED/tillsynsmail/A 26685-2023.docx", "A 26685-2023")</f>
        <v/>
      </c>
    </row>
    <row r="619" ht="15" customHeight="1">
      <c r="A619" t="inlineStr">
        <is>
          <t>A 27346-2023</t>
        </is>
      </c>
      <c r="B619" s="1" t="n">
        <v>45096</v>
      </c>
      <c r="C619" s="1" t="n">
        <v>45190</v>
      </c>
      <c r="D619" t="inlineStr">
        <is>
          <t>KALMAR LÄN</t>
        </is>
      </c>
      <c r="E619" t="inlineStr">
        <is>
          <t>NYBRO</t>
        </is>
      </c>
      <c r="G619" t="n">
        <v>1.2</v>
      </c>
      <c r="H619" t="n">
        <v>0</v>
      </c>
      <c r="I619" t="n">
        <v>1</v>
      </c>
      <c r="J619" t="n">
        <v>0</v>
      </c>
      <c r="K619" t="n">
        <v>0</v>
      </c>
      <c r="L619" t="n">
        <v>0</v>
      </c>
      <c r="M619" t="n">
        <v>0</v>
      </c>
      <c r="N619" t="n">
        <v>0</v>
      </c>
      <c r="O619" t="n">
        <v>0</v>
      </c>
      <c r="P619" t="n">
        <v>0</v>
      </c>
      <c r="Q619" t="n">
        <v>1</v>
      </c>
      <c r="R619" s="2" t="inlineStr">
        <is>
          <t>Blanksvart trämyra</t>
        </is>
      </c>
      <c r="S619">
        <f>HYPERLINK("https://klasma.github.io/Logging_NYBRO/artfynd/A 27346-2023.xlsx", "A 27346-2023")</f>
        <v/>
      </c>
      <c r="T619">
        <f>HYPERLINK("https://klasma.github.io/Logging_NYBRO/kartor/A 27346-2023.png", "A 27346-2023")</f>
        <v/>
      </c>
      <c r="V619">
        <f>HYPERLINK("https://klasma.github.io/Logging_NYBRO/klagomål/A 27346-2023.docx", "A 27346-2023")</f>
        <v/>
      </c>
      <c r="W619">
        <f>HYPERLINK("https://klasma.github.io/Logging_NYBRO/klagomålsmail/A 27346-2023.docx", "A 27346-2023")</f>
        <v/>
      </c>
      <c r="X619">
        <f>HYPERLINK("https://klasma.github.io/Logging_NYBRO/tillsyn/A 27346-2023.docx", "A 27346-2023")</f>
        <v/>
      </c>
      <c r="Y619">
        <f>HYPERLINK("https://klasma.github.io/Logging_NYBRO/tillsynsmail/A 27346-2023.docx", "A 27346-2023")</f>
        <v/>
      </c>
    </row>
    <row r="620" ht="15" customHeight="1">
      <c r="A620" t="inlineStr">
        <is>
          <t>A 27546-2023</t>
        </is>
      </c>
      <c r="B620" s="1" t="n">
        <v>45097</v>
      </c>
      <c r="C620" s="1" t="n">
        <v>45190</v>
      </c>
      <c r="D620" t="inlineStr">
        <is>
          <t>KALMAR LÄN</t>
        </is>
      </c>
      <c r="E620" t="inlineStr">
        <is>
          <t>MÖNSTERÅS</t>
        </is>
      </c>
      <c r="G620" t="n">
        <v>1.1</v>
      </c>
      <c r="H620" t="n">
        <v>0</v>
      </c>
      <c r="I620" t="n">
        <v>1</v>
      </c>
      <c r="J620" t="n">
        <v>0</v>
      </c>
      <c r="K620" t="n">
        <v>0</v>
      </c>
      <c r="L620" t="n">
        <v>0</v>
      </c>
      <c r="M620" t="n">
        <v>0</v>
      </c>
      <c r="N620" t="n">
        <v>0</v>
      </c>
      <c r="O620" t="n">
        <v>0</v>
      </c>
      <c r="P620" t="n">
        <v>0</v>
      </c>
      <c r="Q620" t="n">
        <v>1</v>
      </c>
      <c r="R620" s="2" t="inlineStr">
        <is>
          <t>Grovticka</t>
        </is>
      </c>
      <c r="S620">
        <f>HYPERLINK("https://klasma.github.io/Logging_MONSTERAS/artfynd/A 27546-2023.xlsx", "A 27546-2023")</f>
        <v/>
      </c>
      <c r="T620">
        <f>HYPERLINK("https://klasma.github.io/Logging_MONSTERAS/kartor/A 27546-2023.png", "A 27546-2023")</f>
        <v/>
      </c>
      <c r="V620">
        <f>HYPERLINK("https://klasma.github.io/Logging_MONSTERAS/klagomål/A 27546-2023.docx", "A 27546-2023")</f>
        <v/>
      </c>
      <c r="W620">
        <f>HYPERLINK("https://klasma.github.io/Logging_MONSTERAS/klagomålsmail/A 27546-2023.docx", "A 27546-2023")</f>
        <v/>
      </c>
      <c r="X620">
        <f>HYPERLINK("https://klasma.github.io/Logging_MONSTERAS/tillsyn/A 27546-2023.docx", "A 27546-2023")</f>
        <v/>
      </c>
      <c r="Y620">
        <f>HYPERLINK("https://klasma.github.io/Logging_MONSTERAS/tillsynsmail/A 27546-2023.docx", "A 27546-2023")</f>
        <v/>
      </c>
    </row>
    <row r="621" ht="15" customHeight="1">
      <c r="A621" t="inlineStr">
        <is>
          <t>A 28678-2023</t>
        </is>
      </c>
      <c r="B621" s="1" t="n">
        <v>45103</v>
      </c>
      <c r="C621" s="1" t="n">
        <v>45190</v>
      </c>
      <c r="D621" t="inlineStr">
        <is>
          <t>KALMAR LÄN</t>
        </is>
      </c>
      <c r="E621" t="inlineStr">
        <is>
          <t>NYBRO</t>
        </is>
      </c>
      <c r="G621" t="n">
        <v>10.3</v>
      </c>
      <c r="H621" t="n">
        <v>0</v>
      </c>
      <c r="I621" t="n">
        <v>1</v>
      </c>
      <c r="J621" t="n">
        <v>0</v>
      </c>
      <c r="K621" t="n">
        <v>0</v>
      </c>
      <c r="L621" t="n">
        <v>0</v>
      </c>
      <c r="M621" t="n">
        <v>0</v>
      </c>
      <c r="N621" t="n">
        <v>0</v>
      </c>
      <c r="O621" t="n">
        <v>0</v>
      </c>
      <c r="P621" t="n">
        <v>0</v>
      </c>
      <c r="Q621" t="n">
        <v>1</v>
      </c>
      <c r="R621" s="2" t="inlineStr">
        <is>
          <t>Åttafläckig praktbagge</t>
        </is>
      </c>
      <c r="S621">
        <f>HYPERLINK("https://klasma.github.io/Logging_NYBRO/artfynd/A 28678-2023.xlsx", "A 28678-2023")</f>
        <v/>
      </c>
      <c r="T621">
        <f>HYPERLINK("https://klasma.github.io/Logging_NYBRO/kartor/A 28678-2023.png", "A 28678-2023")</f>
        <v/>
      </c>
      <c r="V621">
        <f>HYPERLINK("https://klasma.github.io/Logging_NYBRO/klagomål/A 28678-2023.docx", "A 28678-2023")</f>
        <v/>
      </c>
      <c r="W621">
        <f>HYPERLINK("https://klasma.github.io/Logging_NYBRO/klagomålsmail/A 28678-2023.docx", "A 28678-2023")</f>
        <v/>
      </c>
      <c r="X621">
        <f>HYPERLINK("https://klasma.github.io/Logging_NYBRO/tillsyn/A 28678-2023.docx", "A 28678-2023")</f>
        <v/>
      </c>
      <c r="Y621">
        <f>HYPERLINK("https://klasma.github.io/Logging_NYBRO/tillsynsmail/A 28678-2023.docx", "A 28678-2023")</f>
        <v/>
      </c>
    </row>
    <row r="622" ht="15" customHeight="1">
      <c r="A622" t="inlineStr">
        <is>
          <t>A 28647-2023</t>
        </is>
      </c>
      <c r="B622" s="1" t="n">
        <v>45103</v>
      </c>
      <c r="C622" s="1" t="n">
        <v>45190</v>
      </c>
      <c r="D622" t="inlineStr">
        <is>
          <t>KALMAR LÄN</t>
        </is>
      </c>
      <c r="E622" t="inlineStr">
        <is>
          <t>NYBRO</t>
        </is>
      </c>
      <c r="G622" t="n">
        <v>5.6</v>
      </c>
      <c r="H622" t="n">
        <v>0</v>
      </c>
      <c r="I622" t="n">
        <v>0</v>
      </c>
      <c r="J622" t="n">
        <v>0</v>
      </c>
      <c r="K622" t="n">
        <v>1</v>
      </c>
      <c r="L622" t="n">
        <v>0</v>
      </c>
      <c r="M622" t="n">
        <v>0</v>
      </c>
      <c r="N622" t="n">
        <v>0</v>
      </c>
      <c r="O622" t="n">
        <v>1</v>
      </c>
      <c r="P622" t="n">
        <v>1</v>
      </c>
      <c r="Q622" t="n">
        <v>1</v>
      </c>
      <c r="R622" s="2" t="inlineStr">
        <is>
          <t>Gulfläckig praktbagge</t>
        </is>
      </c>
      <c r="S622">
        <f>HYPERLINK("https://klasma.github.io/Logging_NYBRO/artfynd/A 28647-2023.xlsx", "A 28647-2023")</f>
        <v/>
      </c>
      <c r="T622">
        <f>HYPERLINK("https://klasma.github.io/Logging_NYBRO/kartor/A 28647-2023.png", "A 28647-2023")</f>
        <v/>
      </c>
      <c r="V622">
        <f>HYPERLINK("https://klasma.github.io/Logging_NYBRO/klagomål/A 28647-2023.docx", "A 28647-2023")</f>
        <v/>
      </c>
      <c r="W622">
        <f>HYPERLINK("https://klasma.github.io/Logging_NYBRO/klagomålsmail/A 28647-2023.docx", "A 28647-2023")</f>
        <v/>
      </c>
      <c r="X622">
        <f>HYPERLINK("https://klasma.github.io/Logging_NYBRO/tillsyn/A 28647-2023.docx", "A 28647-2023")</f>
        <v/>
      </c>
      <c r="Y622">
        <f>HYPERLINK("https://klasma.github.io/Logging_NYBRO/tillsynsmail/A 28647-2023.docx", "A 28647-2023")</f>
        <v/>
      </c>
    </row>
    <row r="623" ht="15" customHeight="1">
      <c r="A623" t="inlineStr">
        <is>
          <t>A 28852-2023</t>
        </is>
      </c>
      <c r="B623" s="1" t="n">
        <v>45104</v>
      </c>
      <c r="C623" s="1" t="n">
        <v>45190</v>
      </c>
      <c r="D623" t="inlineStr">
        <is>
          <t>KALMAR LÄN</t>
        </is>
      </c>
      <c r="E623" t="inlineStr">
        <is>
          <t>VIMMERBY</t>
        </is>
      </c>
      <c r="G623" t="n">
        <v>0.7</v>
      </c>
      <c r="H623" t="n">
        <v>0</v>
      </c>
      <c r="I623" t="n">
        <v>1</v>
      </c>
      <c r="J623" t="n">
        <v>0</v>
      </c>
      <c r="K623" t="n">
        <v>0</v>
      </c>
      <c r="L623" t="n">
        <v>0</v>
      </c>
      <c r="M623" t="n">
        <v>0</v>
      </c>
      <c r="N623" t="n">
        <v>0</v>
      </c>
      <c r="O623" t="n">
        <v>0</v>
      </c>
      <c r="P623" t="n">
        <v>0</v>
      </c>
      <c r="Q623" t="n">
        <v>1</v>
      </c>
      <c r="R623" s="2" t="inlineStr">
        <is>
          <t>Tibast</t>
        </is>
      </c>
      <c r="S623">
        <f>HYPERLINK("https://klasma.github.io/Logging_VIMMERBY/artfynd/A 28852-2023.xlsx", "A 28852-2023")</f>
        <v/>
      </c>
      <c r="T623">
        <f>HYPERLINK("https://klasma.github.io/Logging_VIMMERBY/kartor/A 28852-2023.png", "A 28852-2023")</f>
        <v/>
      </c>
      <c r="V623">
        <f>HYPERLINK("https://klasma.github.io/Logging_VIMMERBY/klagomål/A 28852-2023.docx", "A 28852-2023")</f>
        <v/>
      </c>
      <c r="W623">
        <f>HYPERLINK("https://klasma.github.io/Logging_VIMMERBY/klagomålsmail/A 28852-2023.docx", "A 28852-2023")</f>
        <v/>
      </c>
      <c r="X623">
        <f>HYPERLINK("https://klasma.github.io/Logging_VIMMERBY/tillsyn/A 28852-2023.docx", "A 28852-2023")</f>
        <v/>
      </c>
      <c r="Y623">
        <f>HYPERLINK("https://klasma.github.io/Logging_VIMMERBY/tillsynsmail/A 28852-2023.docx", "A 28852-2023")</f>
        <v/>
      </c>
    </row>
    <row r="624" ht="15" customHeight="1">
      <c r="A624" t="inlineStr">
        <is>
          <t>A 30121-2023</t>
        </is>
      </c>
      <c r="B624" s="1" t="n">
        <v>45110</v>
      </c>
      <c r="C624" s="1" t="n">
        <v>45190</v>
      </c>
      <c r="D624" t="inlineStr">
        <is>
          <t>KALMAR LÄN</t>
        </is>
      </c>
      <c r="E624" t="inlineStr">
        <is>
          <t>NYBRO</t>
        </is>
      </c>
      <c r="F624" t="inlineStr">
        <is>
          <t>Kommuner</t>
        </is>
      </c>
      <c r="G624" t="n">
        <v>4.9</v>
      </c>
      <c r="H624" t="n">
        <v>0</v>
      </c>
      <c r="I624" t="n">
        <v>1</v>
      </c>
      <c r="J624" t="n">
        <v>0</v>
      </c>
      <c r="K624" t="n">
        <v>0</v>
      </c>
      <c r="L624" t="n">
        <v>0</v>
      </c>
      <c r="M624" t="n">
        <v>0</v>
      </c>
      <c r="N624" t="n">
        <v>0</v>
      </c>
      <c r="O624" t="n">
        <v>0</v>
      </c>
      <c r="P624" t="n">
        <v>0</v>
      </c>
      <c r="Q624" t="n">
        <v>1</v>
      </c>
      <c r="R624" s="2" t="inlineStr">
        <is>
          <t>Vanlig flatbagge</t>
        </is>
      </c>
      <c r="S624">
        <f>HYPERLINK("https://klasma.github.io/Logging_NYBRO/artfynd/A 30121-2023.xlsx", "A 30121-2023")</f>
        <v/>
      </c>
      <c r="T624">
        <f>HYPERLINK("https://klasma.github.io/Logging_NYBRO/kartor/A 30121-2023.png", "A 30121-2023")</f>
        <v/>
      </c>
      <c r="V624">
        <f>HYPERLINK("https://klasma.github.io/Logging_NYBRO/klagomål/A 30121-2023.docx", "A 30121-2023")</f>
        <v/>
      </c>
      <c r="W624">
        <f>HYPERLINK("https://klasma.github.io/Logging_NYBRO/klagomålsmail/A 30121-2023.docx", "A 30121-2023")</f>
        <v/>
      </c>
      <c r="X624">
        <f>HYPERLINK("https://klasma.github.io/Logging_NYBRO/tillsyn/A 30121-2023.docx", "A 30121-2023")</f>
        <v/>
      </c>
      <c r="Y624">
        <f>HYPERLINK("https://klasma.github.io/Logging_NYBRO/tillsynsmail/A 30121-2023.docx", "A 30121-2023")</f>
        <v/>
      </c>
    </row>
    <row r="625" ht="15" customHeight="1">
      <c r="A625" t="inlineStr">
        <is>
          <t>A 30532-2023</t>
        </is>
      </c>
      <c r="B625" s="1" t="n">
        <v>45111</v>
      </c>
      <c r="C625" s="1" t="n">
        <v>45190</v>
      </c>
      <c r="D625" t="inlineStr">
        <is>
          <t>KALMAR LÄN</t>
        </is>
      </c>
      <c r="E625" t="inlineStr">
        <is>
          <t>NYBRO</t>
        </is>
      </c>
      <c r="G625" t="n">
        <v>13.1</v>
      </c>
      <c r="H625" t="n">
        <v>0</v>
      </c>
      <c r="I625" t="n">
        <v>0</v>
      </c>
      <c r="J625" t="n">
        <v>0</v>
      </c>
      <c r="K625" t="n">
        <v>1</v>
      </c>
      <c r="L625" t="n">
        <v>0</v>
      </c>
      <c r="M625" t="n">
        <v>0</v>
      </c>
      <c r="N625" t="n">
        <v>0</v>
      </c>
      <c r="O625" t="n">
        <v>1</v>
      </c>
      <c r="P625" t="n">
        <v>1</v>
      </c>
      <c r="Q625" t="n">
        <v>1</v>
      </c>
      <c r="R625" s="2" t="inlineStr">
        <is>
          <t>Raggbock</t>
        </is>
      </c>
      <c r="S625">
        <f>HYPERLINK("https://klasma.github.io/Logging_NYBRO/artfynd/A 30532-2023.xlsx", "A 30532-2023")</f>
        <v/>
      </c>
      <c r="T625">
        <f>HYPERLINK("https://klasma.github.io/Logging_NYBRO/kartor/A 30532-2023.png", "A 30532-2023")</f>
        <v/>
      </c>
      <c r="V625">
        <f>HYPERLINK("https://klasma.github.io/Logging_NYBRO/klagomål/A 30532-2023.docx", "A 30532-2023")</f>
        <v/>
      </c>
      <c r="W625">
        <f>HYPERLINK("https://klasma.github.io/Logging_NYBRO/klagomålsmail/A 30532-2023.docx", "A 30532-2023")</f>
        <v/>
      </c>
      <c r="X625">
        <f>HYPERLINK("https://klasma.github.io/Logging_NYBRO/tillsyn/A 30532-2023.docx", "A 30532-2023")</f>
        <v/>
      </c>
      <c r="Y625">
        <f>HYPERLINK("https://klasma.github.io/Logging_NYBRO/tillsynsmail/A 30532-2023.docx", "A 30532-2023")</f>
        <v/>
      </c>
    </row>
    <row r="626" ht="15" customHeight="1">
      <c r="A626" t="inlineStr">
        <is>
          <t>A 32653-2023</t>
        </is>
      </c>
      <c r="B626" s="1" t="n">
        <v>45121</v>
      </c>
      <c r="C626" s="1" t="n">
        <v>45190</v>
      </c>
      <c r="D626" t="inlineStr">
        <is>
          <t>KALMAR LÄN</t>
        </is>
      </c>
      <c r="E626" t="inlineStr">
        <is>
          <t>VÄSTERVIK</t>
        </is>
      </c>
      <c r="G626" t="n">
        <v>1.4</v>
      </c>
      <c r="H626" t="n">
        <v>1</v>
      </c>
      <c r="I626" t="n">
        <v>0</v>
      </c>
      <c r="J626" t="n">
        <v>0</v>
      </c>
      <c r="K626" t="n">
        <v>1</v>
      </c>
      <c r="L626" t="n">
        <v>0</v>
      </c>
      <c r="M626" t="n">
        <v>0</v>
      </c>
      <c r="N626" t="n">
        <v>0</v>
      </c>
      <c r="O626" t="n">
        <v>1</v>
      </c>
      <c r="P626" t="n">
        <v>1</v>
      </c>
      <c r="Q626" t="n">
        <v>1</v>
      </c>
      <c r="R626" s="2" t="inlineStr">
        <is>
          <t>Knärot</t>
        </is>
      </c>
      <c r="S626">
        <f>HYPERLINK("https://klasma.github.io/Logging_VASTERVIK/artfynd/A 32653-2023.xlsx", "A 32653-2023")</f>
        <v/>
      </c>
      <c r="T626">
        <f>HYPERLINK("https://klasma.github.io/Logging_VASTERVIK/kartor/A 32653-2023.png", "A 32653-2023")</f>
        <v/>
      </c>
      <c r="U626">
        <f>HYPERLINK("https://klasma.github.io/Logging_VASTERVIK/knärot/A 32653-2023.png", "A 32653-2023")</f>
        <v/>
      </c>
      <c r="V626">
        <f>HYPERLINK("https://klasma.github.io/Logging_VASTERVIK/klagomål/A 32653-2023.docx", "A 32653-2023")</f>
        <v/>
      </c>
      <c r="W626">
        <f>HYPERLINK("https://klasma.github.io/Logging_VASTERVIK/klagomålsmail/A 32653-2023.docx", "A 32653-2023")</f>
        <v/>
      </c>
      <c r="X626">
        <f>HYPERLINK("https://klasma.github.io/Logging_VASTERVIK/tillsyn/A 32653-2023.docx", "A 32653-2023")</f>
        <v/>
      </c>
      <c r="Y626">
        <f>HYPERLINK("https://klasma.github.io/Logging_VASTERVIK/tillsynsmail/A 32653-2023.docx", "A 32653-2023")</f>
        <v/>
      </c>
    </row>
    <row r="627" ht="15" customHeight="1">
      <c r="A627" t="inlineStr">
        <is>
          <t>A 32985-2023</t>
        </is>
      </c>
      <c r="B627" s="1" t="n">
        <v>45125</v>
      </c>
      <c r="C627" s="1" t="n">
        <v>45190</v>
      </c>
      <c r="D627" t="inlineStr">
        <is>
          <t>KALMAR LÄN</t>
        </is>
      </c>
      <c r="E627" t="inlineStr">
        <is>
          <t>VIMMERBY</t>
        </is>
      </c>
      <c r="G627" t="n">
        <v>1.9</v>
      </c>
      <c r="H627" t="n">
        <v>0</v>
      </c>
      <c r="I627" t="n">
        <v>0</v>
      </c>
      <c r="J627" t="n">
        <v>0</v>
      </c>
      <c r="K627" t="n">
        <v>0</v>
      </c>
      <c r="L627" t="n">
        <v>1</v>
      </c>
      <c r="M627" t="n">
        <v>0</v>
      </c>
      <c r="N627" t="n">
        <v>0</v>
      </c>
      <c r="O627" t="n">
        <v>1</v>
      </c>
      <c r="P627" t="n">
        <v>1</v>
      </c>
      <c r="Q627" t="n">
        <v>1</v>
      </c>
      <c r="R627" s="2" t="inlineStr">
        <is>
          <t>Ryl</t>
        </is>
      </c>
      <c r="S627">
        <f>HYPERLINK("https://klasma.github.io/Logging_VIMMERBY/artfynd/A 32985-2023.xlsx", "A 32985-2023")</f>
        <v/>
      </c>
      <c r="T627">
        <f>HYPERLINK("https://klasma.github.io/Logging_VIMMERBY/kartor/A 32985-2023.png", "A 32985-2023")</f>
        <v/>
      </c>
      <c r="V627">
        <f>HYPERLINK("https://klasma.github.io/Logging_VIMMERBY/klagomål/A 32985-2023.docx", "A 32985-2023")</f>
        <v/>
      </c>
      <c r="W627">
        <f>HYPERLINK("https://klasma.github.io/Logging_VIMMERBY/klagomålsmail/A 32985-2023.docx", "A 32985-2023")</f>
        <v/>
      </c>
      <c r="X627">
        <f>HYPERLINK("https://klasma.github.io/Logging_VIMMERBY/tillsyn/A 32985-2023.docx", "A 32985-2023")</f>
        <v/>
      </c>
      <c r="Y627">
        <f>HYPERLINK("https://klasma.github.io/Logging_VIMMERBY/tillsynsmail/A 32985-2023.docx", "A 32985-2023")</f>
        <v/>
      </c>
    </row>
    <row r="628" ht="15" customHeight="1">
      <c r="A628" t="inlineStr">
        <is>
          <t>A 39745-2023</t>
        </is>
      </c>
      <c r="B628" s="1" t="n">
        <v>45167</v>
      </c>
      <c r="C628" s="1" t="n">
        <v>45190</v>
      </c>
      <c r="D628" t="inlineStr">
        <is>
          <t>KALMAR LÄN</t>
        </is>
      </c>
      <c r="E628" t="inlineStr">
        <is>
          <t>KALMAR</t>
        </is>
      </c>
      <c r="G628" t="n">
        <v>1.3</v>
      </c>
      <c r="H628" t="n">
        <v>0</v>
      </c>
      <c r="I628" t="n">
        <v>1</v>
      </c>
      <c r="J628" t="n">
        <v>0</v>
      </c>
      <c r="K628" t="n">
        <v>0</v>
      </c>
      <c r="L628" t="n">
        <v>0</v>
      </c>
      <c r="M628" t="n">
        <v>0</v>
      </c>
      <c r="N628" t="n">
        <v>0</v>
      </c>
      <c r="O628" t="n">
        <v>0</v>
      </c>
      <c r="P628" t="n">
        <v>0</v>
      </c>
      <c r="Q628" t="n">
        <v>1</v>
      </c>
      <c r="R628" s="2" t="inlineStr">
        <is>
          <t>Murgröna</t>
        </is>
      </c>
      <c r="S628">
        <f>HYPERLINK("https://klasma.github.io/Logging_KALMAR/artfynd/A 39745-2023.xlsx", "A 39745-2023")</f>
        <v/>
      </c>
      <c r="T628">
        <f>HYPERLINK("https://klasma.github.io/Logging_KALMAR/kartor/A 39745-2023.png", "A 39745-2023")</f>
        <v/>
      </c>
      <c r="V628">
        <f>HYPERLINK("https://klasma.github.io/Logging_KALMAR/klagomål/A 39745-2023.docx", "A 39745-2023")</f>
        <v/>
      </c>
      <c r="W628">
        <f>HYPERLINK("https://klasma.github.io/Logging_KALMAR/klagomålsmail/A 39745-2023.docx", "A 39745-2023")</f>
        <v/>
      </c>
      <c r="X628">
        <f>HYPERLINK("https://klasma.github.io/Logging_KALMAR/tillsyn/A 39745-2023.docx", "A 39745-2023")</f>
        <v/>
      </c>
      <c r="Y628">
        <f>HYPERLINK("https://klasma.github.io/Logging_KALMAR/tillsynsmail/A 39745-2023.docx", "A 39745-2023")</f>
        <v/>
      </c>
    </row>
    <row r="629" ht="15" customHeight="1">
      <c r="A629" t="inlineStr">
        <is>
          <t>A 34043-2018</t>
        </is>
      </c>
      <c r="B629" s="1" t="n">
        <v>43315</v>
      </c>
      <c r="C629" s="1" t="n">
        <v>45190</v>
      </c>
      <c r="D629" t="inlineStr">
        <is>
          <t>KALMAR LÄN</t>
        </is>
      </c>
      <c r="E629" t="inlineStr">
        <is>
          <t>VÄSTERVIK</t>
        </is>
      </c>
      <c r="G629" t="n">
        <v>6.4</v>
      </c>
      <c r="H629" t="n">
        <v>0</v>
      </c>
      <c r="I629" t="n">
        <v>0</v>
      </c>
      <c r="J629" t="n">
        <v>0</v>
      </c>
      <c r="K629" t="n">
        <v>0</v>
      </c>
      <c r="L629" t="n">
        <v>0</v>
      </c>
      <c r="M629" t="n">
        <v>0</v>
      </c>
      <c r="N629" t="n">
        <v>0</v>
      </c>
      <c r="O629" t="n">
        <v>0</v>
      </c>
      <c r="P629" t="n">
        <v>0</v>
      </c>
      <c r="Q629" t="n">
        <v>0</v>
      </c>
      <c r="R629" s="2" t="inlineStr"/>
    </row>
    <row r="630" ht="15" customHeight="1">
      <c r="A630" t="inlineStr">
        <is>
          <t>A 34030-2018</t>
        </is>
      </c>
      <c r="B630" s="1" t="n">
        <v>43315</v>
      </c>
      <c r="C630" s="1" t="n">
        <v>45190</v>
      </c>
      <c r="D630" t="inlineStr">
        <is>
          <t>KALMAR LÄN</t>
        </is>
      </c>
      <c r="E630" t="inlineStr">
        <is>
          <t>KALMAR</t>
        </is>
      </c>
      <c r="G630" t="n">
        <v>1</v>
      </c>
      <c r="H630" t="n">
        <v>0</v>
      </c>
      <c r="I630" t="n">
        <v>0</v>
      </c>
      <c r="J630" t="n">
        <v>0</v>
      </c>
      <c r="K630" t="n">
        <v>0</v>
      </c>
      <c r="L630" t="n">
        <v>0</v>
      </c>
      <c r="M630" t="n">
        <v>0</v>
      </c>
      <c r="N630" t="n">
        <v>0</v>
      </c>
      <c r="O630" t="n">
        <v>0</v>
      </c>
      <c r="P630" t="n">
        <v>0</v>
      </c>
      <c r="Q630" t="n">
        <v>0</v>
      </c>
      <c r="R630" s="2" t="inlineStr"/>
      <c r="U630">
        <f>HYPERLINK("https://klasma.github.io/Logging_KALMAR/knärot/A 34030-2018.png", "A 34030-2018")</f>
        <v/>
      </c>
      <c r="V630">
        <f>HYPERLINK("https://klasma.github.io/Logging_KALMAR/klagomål/A 34030-2018.docx", "A 34030-2018")</f>
        <v/>
      </c>
      <c r="W630">
        <f>HYPERLINK("https://klasma.github.io/Logging_KALMAR/klagomålsmail/A 34030-2018.docx", "A 34030-2018")</f>
        <v/>
      </c>
      <c r="X630">
        <f>HYPERLINK("https://klasma.github.io/Logging_KALMAR/tillsyn/A 34030-2018.docx", "A 34030-2018")</f>
        <v/>
      </c>
      <c r="Y630">
        <f>HYPERLINK("https://klasma.github.io/Logging_KALMAR/tillsynsmail/A 34030-2018.docx", "A 34030-2018")</f>
        <v/>
      </c>
    </row>
    <row r="631" ht="15" customHeight="1">
      <c r="A631" t="inlineStr">
        <is>
          <t>A 34783-2018</t>
        </is>
      </c>
      <c r="B631" s="1" t="n">
        <v>43321</v>
      </c>
      <c r="C631" s="1" t="n">
        <v>45190</v>
      </c>
      <c r="D631" t="inlineStr">
        <is>
          <t>KALMAR LÄN</t>
        </is>
      </c>
      <c r="E631" t="inlineStr">
        <is>
          <t>KALMAR</t>
        </is>
      </c>
      <c r="G631" t="n">
        <v>3</v>
      </c>
      <c r="H631" t="n">
        <v>0</v>
      </c>
      <c r="I631" t="n">
        <v>0</v>
      </c>
      <c r="J631" t="n">
        <v>0</v>
      </c>
      <c r="K631" t="n">
        <v>0</v>
      </c>
      <c r="L631" t="n">
        <v>0</v>
      </c>
      <c r="M631" t="n">
        <v>0</v>
      </c>
      <c r="N631" t="n">
        <v>0</v>
      </c>
      <c r="O631" t="n">
        <v>0</v>
      </c>
      <c r="P631" t="n">
        <v>0</v>
      </c>
      <c r="Q631" t="n">
        <v>0</v>
      </c>
      <c r="R631" s="2" t="inlineStr"/>
    </row>
    <row r="632" ht="15" customHeight="1">
      <c r="A632" t="inlineStr">
        <is>
          <t>A 34799-2018</t>
        </is>
      </c>
      <c r="B632" s="1" t="n">
        <v>43321</v>
      </c>
      <c r="C632" s="1" t="n">
        <v>45190</v>
      </c>
      <c r="D632" t="inlineStr">
        <is>
          <t>KALMAR LÄN</t>
        </is>
      </c>
      <c r="E632" t="inlineStr">
        <is>
          <t>KALMAR</t>
        </is>
      </c>
      <c r="G632" t="n">
        <v>4.4</v>
      </c>
      <c r="H632" t="n">
        <v>0</v>
      </c>
      <c r="I632" t="n">
        <v>0</v>
      </c>
      <c r="J632" t="n">
        <v>0</v>
      </c>
      <c r="K632" t="n">
        <v>0</v>
      </c>
      <c r="L632" t="n">
        <v>0</v>
      </c>
      <c r="M632" t="n">
        <v>0</v>
      </c>
      <c r="N632" t="n">
        <v>0</v>
      </c>
      <c r="O632" t="n">
        <v>0</v>
      </c>
      <c r="P632" t="n">
        <v>0</v>
      </c>
      <c r="Q632" t="n">
        <v>0</v>
      </c>
      <c r="R632" s="2" t="inlineStr"/>
    </row>
    <row r="633" ht="15" customHeight="1">
      <c r="A633" t="inlineStr">
        <is>
          <t>A 34858-2018</t>
        </is>
      </c>
      <c r="B633" s="1" t="n">
        <v>43321</v>
      </c>
      <c r="C633" s="1" t="n">
        <v>45190</v>
      </c>
      <c r="D633" t="inlineStr">
        <is>
          <t>KALMAR LÄN</t>
        </is>
      </c>
      <c r="E633" t="inlineStr">
        <is>
          <t>KALMAR</t>
        </is>
      </c>
      <c r="G633" t="n">
        <v>3.8</v>
      </c>
      <c r="H633" t="n">
        <v>0</v>
      </c>
      <c r="I633" t="n">
        <v>0</v>
      </c>
      <c r="J633" t="n">
        <v>0</v>
      </c>
      <c r="K633" t="n">
        <v>0</v>
      </c>
      <c r="L633" t="n">
        <v>0</v>
      </c>
      <c r="M633" t="n">
        <v>0</v>
      </c>
      <c r="N633" t="n">
        <v>0</v>
      </c>
      <c r="O633" t="n">
        <v>0</v>
      </c>
      <c r="P633" t="n">
        <v>0</v>
      </c>
      <c r="Q633" t="n">
        <v>0</v>
      </c>
      <c r="R633" s="2" t="inlineStr"/>
    </row>
    <row r="634" ht="15" customHeight="1">
      <c r="A634" t="inlineStr">
        <is>
          <t>A 34930-2018</t>
        </is>
      </c>
      <c r="B634" s="1" t="n">
        <v>43321</v>
      </c>
      <c r="C634" s="1" t="n">
        <v>45190</v>
      </c>
      <c r="D634" t="inlineStr">
        <is>
          <t>KALMAR LÄN</t>
        </is>
      </c>
      <c r="E634" t="inlineStr">
        <is>
          <t>KALMAR</t>
        </is>
      </c>
      <c r="G634" t="n">
        <v>1.1</v>
      </c>
      <c r="H634" t="n">
        <v>0</v>
      </c>
      <c r="I634" t="n">
        <v>0</v>
      </c>
      <c r="J634" t="n">
        <v>0</v>
      </c>
      <c r="K634" t="n">
        <v>0</v>
      </c>
      <c r="L634" t="n">
        <v>0</v>
      </c>
      <c r="M634" t="n">
        <v>0</v>
      </c>
      <c r="N634" t="n">
        <v>0</v>
      </c>
      <c r="O634" t="n">
        <v>0</v>
      </c>
      <c r="P634" t="n">
        <v>0</v>
      </c>
      <c r="Q634" t="n">
        <v>0</v>
      </c>
      <c r="R634" s="2" t="inlineStr"/>
    </row>
    <row r="635" ht="15" customHeight="1">
      <c r="A635" t="inlineStr">
        <is>
          <t>A 35008-2018</t>
        </is>
      </c>
      <c r="B635" s="1" t="n">
        <v>43321</v>
      </c>
      <c r="C635" s="1" t="n">
        <v>45190</v>
      </c>
      <c r="D635" t="inlineStr">
        <is>
          <t>KALMAR LÄN</t>
        </is>
      </c>
      <c r="E635" t="inlineStr">
        <is>
          <t>NYBRO</t>
        </is>
      </c>
      <c r="G635" t="n">
        <v>1.1</v>
      </c>
      <c r="H635" t="n">
        <v>0</v>
      </c>
      <c r="I635" t="n">
        <v>0</v>
      </c>
      <c r="J635" t="n">
        <v>0</v>
      </c>
      <c r="K635" t="n">
        <v>0</v>
      </c>
      <c r="L635" t="n">
        <v>0</v>
      </c>
      <c r="M635" t="n">
        <v>0</v>
      </c>
      <c r="N635" t="n">
        <v>0</v>
      </c>
      <c r="O635" t="n">
        <v>0</v>
      </c>
      <c r="P635" t="n">
        <v>0</v>
      </c>
      <c r="Q635" t="n">
        <v>0</v>
      </c>
      <c r="R635" s="2" t="inlineStr"/>
    </row>
    <row r="636" ht="15" customHeight="1">
      <c r="A636" t="inlineStr">
        <is>
          <t>A 34781-2018</t>
        </is>
      </c>
      <c r="B636" s="1" t="n">
        <v>43321</v>
      </c>
      <c r="C636" s="1" t="n">
        <v>45190</v>
      </c>
      <c r="D636" t="inlineStr">
        <is>
          <t>KALMAR LÄN</t>
        </is>
      </c>
      <c r="E636" t="inlineStr">
        <is>
          <t>KALMAR</t>
        </is>
      </c>
      <c r="G636" t="n">
        <v>3</v>
      </c>
      <c r="H636" t="n">
        <v>0</v>
      </c>
      <c r="I636" t="n">
        <v>0</v>
      </c>
      <c r="J636" t="n">
        <v>0</v>
      </c>
      <c r="K636" t="n">
        <v>0</v>
      </c>
      <c r="L636" t="n">
        <v>0</v>
      </c>
      <c r="M636" t="n">
        <v>0</v>
      </c>
      <c r="N636" t="n">
        <v>0</v>
      </c>
      <c r="O636" t="n">
        <v>0</v>
      </c>
      <c r="P636" t="n">
        <v>0</v>
      </c>
      <c r="Q636" t="n">
        <v>0</v>
      </c>
      <c r="R636" s="2" t="inlineStr"/>
    </row>
    <row r="637" ht="15" customHeight="1">
      <c r="A637" t="inlineStr">
        <is>
          <t>A 34791-2018</t>
        </is>
      </c>
      <c r="B637" s="1" t="n">
        <v>43321</v>
      </c>
      <c r="C637" s="1" t="n">
        <v>45190</v>
      </c>
      <c r="D637" t="inlineStr">
        <is>
          <t>KALMAR LÄN</t>
        </is>
      </c>
      <c r="E637" t="inlineStr">
        <is>
          <t>KALMAR</t>
        </is>
      </c>
      <c r="G637" t="n">
        <v>2.6</v>
      </c>
      <c r="H637" t="n">
        <v>0</v>
      </c>
      <c r="I637" t="n">
        <v>0</v>
      </c>
      <c r="J637" t="n">
        <v>0</v>
      </c>
      <c r="K637" t="n">
        <v>0</v>
      </c>
      <c r="L637" t="n">
        <v>0</v>
      </c>
      <c r="M637" t="n">
        <v>0</v>
      </c>
      <c r="N637" t="n">
        <v>0</v>
      </c>
      <c r="O637" t="n">
        <v>0</v>
      </c>
      <c r="P637" t="n">
        <v>0</v>
      </c>
      <c r="Q637" t="n">
        <v>0</v>
      </c>
      <c r="R637" s="2" t="inlineStr"/>
    </row>
    <row r="638" ht="15" customHeight="1">
      <c r="A638" t="inlineStr">
        <is>
          <t>A 34787-2018</t>
        </is>
      </c>
      <c r="B638" s="1" t="n">
        <v>43321</v>
      </c>
      <c r="C638" s="1" t="n">
        <v>45190</v>
      </c>
      <c r="D638" t="inlineStr">
        <is>
          <t>KALMAR LÄN</t>
        </is>
      </c>
      <c r="E638" t="inlineStr">
        <is>
          <t>KALMAR</t>
        </is>
      </c>
      <c r="G638" t="n">
        <v>4.7</v>
      </c>
      <c r="H638" t="n">
        <v>0</v>
      </c>
      <c r="I638" t="n">
        <v>0</v>
      </c>
      <c r="J638" t="n">
        <v>0</v>
      </c>
      <c r="K638" t="n">
        <v>0</v>
      </c>
      <c r="L638" t="n">
        <v>0</v>
      </c>
      <c r="M638" t="n">
        <v>0</v>
      </c>
      <c r="N638" t="n">
        <v>0</v>
      </c>
      <c r="O638" t="n">
        <v>0</v>
      </c>
      <c r="P638" t="n">
        <v>0</v>
      </c>
      <c r="Q638" t="n">
        <v>0</v>
      </c>
      <c r="R638" s="2" t="inlineStr"/>
    </row>
    <row r="639" ht="15" customHeight="1">
      <c r="A639" t="inlineStr">
        <is>
          <t>A 34845-2018</t>
        </is>
      </c>
      <c r="B639" s="1" t="n">
        <v>43321</v>
      </c>
      <c r="C639" s="1" t="n">
        <v>45190</v>
      </c>
      <c r="D639" t="inlineStr">
        <is>
          <t>KALMAR LÄN</t>
        </is>
      </c>
      <c r="E639" t="inlineStr">
        <is>
          <t>NYBRO</t>
        </is>
      </c>
      <c r="G639" t="n">
        <v>22.1</v>
      </c>
      <c r="H639" t="n">
        <v>0</v>
      </c>
      <c r="I639" t="n">
        <v>0</v>
      </c>
      <c r="J639" t="n">
        <v>0</v>
      </c>
      <c r="K639" t="n">
        <v>0</v>
      </c>
      <c r="L639" t="n">
        <v>0</v>
      </c>
      <c r="M639" t="n">
        <v>0</v>
      </c>
      <c r="N639" t="n">
        <v>0</v>
      </c>
      <c r="O639" t="n">
        <v>0</v>
      </c>
      <c r="P639" t="n">
        <v>0</v>
      </c>
      <c r="Q639" t="n">
        <v>0</v>
      </c>
      <c r="R639" s="2" t="inlineStr"/>
    </row>
    <row r="640" ht="15" customHeight="1">
      <c r="A640" t="inlineStr">
        <is>
          <t>A 34863-2018</t>
        </is>
      </c>
      <c r="B640" s="1" t="n">
        <v>43321</v>
      </c>
      <c r="C640" s="1" t="n">
        <v>45190</v>
      </c>
      <c r="D640" t="inlineStr">
        <is>
          <t>KALMAR LÄN</t>
        </is>
      </c>
      <c r="E640" t="inlineStr">
        <is>
          <t>NYBRO</t>
        </is>
      </c>
      <c r="G640" t="n">
        <v>24.4</v>
      </c>
      <c r="H640" t="n">
        <v>0</v>
      </c>
      <c r="I640" t="n">
        <v>0</v>
      </c>
      <c r="J640" t="n">
        <v>0</v>
      </c>
      <c r="K640" t="n">
        <v>0</v>
      </c>
      <c r="L640" t="n">
        <v>0</v>
      </c>
      <c r="M640" t="n">
        <v>0</v>
      </c>
      <c r="N640" t="n">
        <v>0</v>
      </c>
      <c r="O640" t="n">
        <v>0</v>
      </c>
      <c r="P640" t="n">
        <v>0</v>
      </c>
      <c r="Q640" t="n">
        <v>0</v>
      </c>
      <c r="R640" s="2" t="inlineStr"/>
    </row>
    <row r="641" ht="15" customHeight="1">
      <c r="A641" t="inlineStr">
        <is>
          <t>A 35016-2018</t>
        </is>
      </c>
      <c r="B641" s="1" t="n">
        <v>43321</v>
      </c>
      <c r="C641" s="1" t="n">
        <v>45190</v>
      </c>
      <c r="D641" t="inlineStr">
        <is>
          <t>KALMAR LÄN</t>
        </is>
      </c>
      <c r="E641" t="inlineStr">
        <is>
          <t>NYBRO</t>
        </is>
      </c>
      <c r="G641" t="n">
        <v>1</v>
      </c>
      <c r="H641" t="n">
        <v>0</v>
      </c>
      <c r="I641" t="n">
        <v>0</v>
      </c>
      <c r="J641" t="n">
        <v>0</v>
      </c>
      <c r="K641" t="n">
        <v>0</v>
      </c>
      <c r="L641" t="n">
        <v>0</v>
      </c>
      <c r="M641" t="n">
        <v>0</v>
      </c>
      <c r="N641" t="n">
        <v>0</v>
      </c>
      <c r="O641" t="n">
        <v>0</v>
      </c>
      <c r="P641" t="n">
        <v>0</v>
      </c>
      <c r="Q641" t="n">
        <v>0</v>
      </c>
      <c r="R641" s="2" t="inlineStr"/>
    </row>
    <row r="642" ht="15" customHeight="1">
      <c r="A642" t="inlineStr">
        <is>
          <t>A 34782-2018</t>
        </is>
      </c>
      <c r="B642" s="1" t="n">
        <v>43321</v>
      </c>
      <c r="C642" s="1" t="n">
        <v>45190</v>
      </c>
      <c r="D642" t="inlineStr">
        <is>
          <t>KALMAR LÄN</t>
        </is>
      </c>
      <c r="E642" t="inlineStr">
        <is>
          <t>KALMAR</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34798-2018</t>
        </is>
      </c>
      <c r="B643" s="1" t="n">
        <v>43321</v>
      </c>
      <c r="C643" s="1" t="n">
        <v>45190</v>
      </c>
      <c r="D643" t="inlineStr">
        <is>
          <t>KALMAR LÄN</t>
        </is>
      </c>
      <c r="E643" t="inlineStr">
        <is>
          <t>KALMAR</t>
        </is>
      </c>
      <c r="G643" t="n">
        <v>2.1</v>
      </c>
      <c r="H643" t="n">
        <v>0</v>
      </c>
      <c r="I643" t="n">
        <v>0</v>
      </c>
      <c r="J643" t="n">
        <v>0</v>
      </c>
      <c r="K643" t="n">
        <v>0</v>
      </c>
      <c r="L643" t="n">
        <v>0</v>
      </c>
      <c r="M643" t="n">
        <v>0</v>
      </c>
      <c r="N643" t="n">
        <v>0</v>
      </c>
      <c r="O643" t="n">
        <v>0</v>
      </c>
      <c r="P643" t="n">
        <v>0</v>
      </c>
      <c r="Q643" t="n">
        <v>0</v>
      </c>
      <c r="R643" s="2" t="inlineStr"/>
    </row>
    <row r="644" ht="15" customHeight="1">
      <c r="A644" t="inlineStr">
        <is>
          <t>A 34837-2018</t>
        </is>
      </c>
      <c r="B644" s="1" t="n">
        <v>43321</v>
      </c>
      <c r="C644" s="1" t="n">
        <v>45190</v>
      </c>
      <c r="D644" t="inlineStr">
        <is>
          <t>KALMAR LÄN</t>
        </is>
      </c>
      <c r="E644" t="inlineStr">
        <is>
          <t>NYBRO</t>
        </is>
      </c>
      <c r="G644" t="n">
        <v>18.4</v>
      </c>
      <c r="H644" t="n">
        <v>0</v>
      </c>
      <c r="I644" t="n">
        <v>0</v>
      </c>
      <c r="J644" t="n">
        <v>0</v>
      </c>
      <c r="K644" t="n">
        <v>0</v>
      </c>
      <c r="L644" t="n">
        <v>0</v>
      </c>
      <c r="M644" t="n">
        <v>0</v>
      </c>
      <c r="N644" t="n">
        <v>0</v>
      </c>
      <c r="O644" t="n">
        <v>0</v>
      </c>
      <c r="P644" t="n">
        <v>0</v>
      </c>
      <c r="Q644" t="n">
        <v>0</v>
      </c>
      <c r="R644" s="2" t="inlineStr"/>
    </row>
    <row r="645" ht="15" customHeight="1">
      <c r="A645" t="inlineStr">
        <is>
          <t>A 34852-2018</t>
        </is>
      </c>
      <c r="B645" s="1" t="n">
        <v>43321</v>
      </c>
      <c r="C645" s="1" t="n">
        <v>45190</v>
      </c>
      <c r="D645" t="inlineStr">
        <is>
          <t>KALMAR LÄN</t>
        </is>
      </c>
      <c r="E645" t="inlineStr">
        <is>
          <t>KALMAR</t>
        </is>
      </c>
      <c r="G645" t="n">
        <v>1</v>
      </c>
      <c r="H645" t="n">
        <v>0</v>
      </c>
      <c r="I645" t="n">
        <v>0</v>
      </c>
      <c r="J645" t="n">
        <v>0</v>
      </c>
      <c r="K645" t="n">
        <v>0</v>
      </c>
      <c r="L645" t="n">
        <v>0</v>
      </c>
      <c r="M645" t="n">
        <v>0</v>
      </c>
      <c r="N645" t="n">
        <v>0</v>
      </c>
      <c r="O645" t="n">
        <v>0</v>
      </c>
      <c r="P645" t="n">
        <v>0</v>
      </c>
      <c r="Q645" t="n">
        <v>0</v>
      </c>
      <c r="R645" s="2" t="inlineStr"/>
    </row>
    <row r="646" ht="15" customHeight="1">
      <c r="A646" t="inlineStr">
        <is>
          <t>A 35049-2018</t>
        </is>
      </c>
      <c r="B646" s="1" t="n">
        <v>43322</v>
      </c>
      <c r="C646" s="1" t="n">
        <v>45190</v>
      </c>
      <c r="D646" t="inlineStr">
        <is>
          <t>KALMAR LÄN</t>
        </is>
      </c>
      <c r="E646" t="inlineStr">
        <is>
          <t>KALMAR</t>
        </is>
      </c>
      <c r="G646" t="n">
        <v>11.8</v>
      </c>
      <c r="H646" t="n">
        <v>0</v>
      </c>
      <c r="I646" t="n">
        <v>0</v>
      </c>
      <c r="J646" t="n">
        <v>0</v>
      </c>
      <c r="K646" t="n">
        <v>0</v>
      </c>
      <c r="L646" t="n">
        <v>0</v>
      </c>
      <c r="M646" t="n">
        <v>0</v>
      </c>
      <c r="N646" t="n">
        <v>0</v>
      </c>
      <c r="O646" t="n">
        <v>0</v>
      </c>
      <c r="P646" t="n">
        <v>0</v>
      </c>
      <c r="Q646" t="n">
        <v>0</v>
      </c>
      <c r="R646" s="2" t="inlineStr"/>
    </row>
    <row r="647" ht="15" customHeight="1">
      <c r="A647" t="inlineStr">
        <is>
          <t>A 35058-2018</t>
        </is>
      </c>
      <c r="B647" s="1" t="n">
        <v>43322</v>
      </c>
      <c r="C647" s="1" t="n">
        <v>45190</v>
      </c>
      <c r="D647" t="inlineStr">
        <is>
          <t>KALMAR LÄN</t>
        </is>
      </c>
      <c r="E647" t="inlineStr">
        <is>
          <t>EMMABODA</t>
        </is>
      </c>
      <c r="G647" t="n">
        <v>1.2</v>
      </c>
      <c r="H647" t="n">
        <v>0</v>
      </c>
      <c r="I647" t="n">
        <v>0</v>
      </c>
      <c r="J647" t="n">
        <v>0</v>
      </c>
      <c r="K647" t="n">
        <v>0</v>
      </c>
      <c r="L647" t="n">
        <v>0</v>
      </c>
      <c r="M647" t="n">
        <v>0</v>
      </c>
      <c r="N647" t="n">
        <v>0</v>
      </c>
      <c r="O647" t="n">
        <v>0</v>
      </c>
      <c r="P647" t="n">
        <v>0</v>
      </c>
      <c r="Q647" t="n">
        <v>0</v>
      </c>
      <c r="R647" s="2" t="inlineStr"/>
    </row>
    <row r="648" ht="15" customHeight="1">
      <c r="A648" t="inlineStr">
        <is>
          <t>A 35075-2018</t>
        </is>
      </c>
      <c r="B648" s="1" t="n">
        <v>43322</v>
      </c>
      <c r="C648" s="1" t="n">
        <v>45190</v>
      </c>
      <c r="D648" t="inlineStr">
        <is>
          <t>KALMAR LÄN</t>
        </is>
      </c>
      <c r="E648" t="inlineStr">
        <is>
          <t>NYBRO</t>
        </is>
      </c>
      <c r="G648" t="n">
        <v>31.2</v>
      </c>
      <c r="H648" t="n">
        <v>0</v>
      </c>
      <c r="I648" t="n">
        <v>0</v>
      </c>
      <c r="J648" t="n">
        <v>0</v>
      </c>
      <c r="K648" t="n">
        <v>0</v>
      </c>
      <c r="L648" t="n">
        <v>0</v>
      </c>
      <c r="M648" t="n">
        <v>0</v>
      </c>
      <c r="N648" t="n">
        <v>0</v>
      </c>
      <c r="O648" t="n">
        <v>0</v>
      </c>
      <c r="P648" t="n">
        <v>0</v>
      </c>
      <c r="Q648" t="n">
        <v>0</v>
      </c>
      <c r="R648" s="2" t="inlineStr"/>
    </row>
    <row r="649" ht="15" customHeight="1">
      <c r="A649" t="inlineStr">
        <is>
          <t>A 35128-2018</t>
        </is>
      </c>
      <c r="B649" s="1" t="n">
        <v>43322</v>
      </c>
      <c r="C649" s="1" t="n">
        <v>45190</v>
      </c>
      <c r="D649" t="inlineStr">
        <is>
          <t>KALMAR LÄN</t>
        </is>
      </c>
      <c r="E649" t="inlineStr">
        <is>
          <t>TORSÅS</t>
        </is>
      </c>
      <c r="G649" t="n">
        <v>6.4</v>
      </c>
      <c r="H649" t="n">
        <v>0</v>
      </c>
      <c r="I649" t="n">
        <v>0</v>
      </c>
      <c r="J649" t="n">
        <v>0</v>
      </c>
      <c r="K649" t="n">
        <v>0</v>
      </c>
      <c r="L649" t="n">
        <v>0</v>
      </c>
      <c r="M649" t="n">
        <v>0</v>
      </c>
      <c r="N649" t="n">
        <v>0</v>
      </c>
      <c r="O649" t="n">
        <v>0</v>
      </c>
      <c r="P649" t="n">
        <v>0</v>
      </c>
      <c r="Q649" t="n">
        <v>0</v>
      </c>
      <c r="R649" s="2" t="inlineStr"/>
    </row>
    <row r="650" ht="15" customHeight="1">
      <c r="A650" t="inlineStr">
        <is>
          <t>A 35295-2018</t>
        </is>
      </c>
      <c r="B650" s="1" t="n">
        <v>43322</v>
      </c>
      <c r="C650" s="1" t="n">
        <v>45190</v>
      </c>
      <c r="D650" t="inlineStr">
        <is>
          <t>KALMAR LÄN</t>
        </is>
      </c>
      <c r="E650" t="inlineStr">
        <is>
          <t>HÖGSBY</t>
        </is>
      </c>
      <c r="G650" t="n">
        <v>5.4</v>
      </c>
      <c r="H650" t="n">
        <v>0</v>
      </c>
      <c r="I650" t="n">
        <v>0</v>
      </c>
      <c r="J650" t="n">
        <v>0</v>
      </c>
      <c r="K650" t="n">
        <v>0</v>
      </c>
      <c r="L650" t="n">
        <v>0</v>
      </c>
      <c r="M650" t="n">
        <v>0</v>
      </c>
      <c r="N650" t="n">
        <v>0</v>
      </c>
      <c r="O650" t="n">
        <v>0</v>
      </c>
      <c r="P650" t="n">
        <v>0</v>
      </c>
      <c r="Q650" t="n">
        <v>0</v>
      </c>
      <c r="R650" s="2" t="inlineStr"/>
    </row>
    <row r="651" ht="15" customHeight="1">
      <c r="A651" t="inlineStr">
        <is>
          <t>A 35038-2018</t>
        </is>
      </c>
      <c r="B651" s="1" t="n">
        <v>43322</v>
      </c>
      <c r="C651" s="1" t="n">
        <v>45190</v>
      </c>
      <c r="D651" t="inlineStr">
        <is>
          <t>KALMAR LÄN</t>
        </is>
      </c>
      <c r="E651" t="inlineStr">
        <is>
          <t>NYBRO</t>
        </is>
      </c>
      <c r="G651" t="n">
        <v>1.5</v>
      </c>
      <c r="H651" t="n">
        <v>0</v>
      </c>
      <c r="I651" t="n">
        <v>0</v>
      </c>
      <c r="J651" t="n">
        <v>0</v>
      </c>
      <c r="K651" t="n">
        <v>0</v>
      </c>
      <c r="L651" t="n">
        <v>0</v>
      </c>
      <c r="M651" t="n">
        <v>0</v>
      </c>
      <c r="N651" t="n">
        <v>0</v>
      </c>
      <c r="O651" t="n">
        <v>0</v>
      </c>
      <c r="P651" t="n">
        <v>0</v>
      </c>
      <c r="Q651" t="n">
        <v>0</v>
      </c>
      <c r="R651" s="2" t="inlineStr"/>
    </row>
    <row r="652" ht="15" customHeight="1">
      <c r="A652" t="inlineStr">
        <is>
          <t>A 35052-2018</t>
        </is>
      </c>
      <c r="B652" s="1" t="n">
        <v>43322</v>
      </c>
      <c r="C652" s="1" t="n">
        <v>45190</v>
      </c>
      <c r="D652" t="inlineStr">
        <is>
          <t>KALMAR LÄN</t>
        </is>
      </c>
      <c r="E652" t="inlineStr">
        <is>
          <t>KALMAR</t>
        </is>
      </c>
      <c r="G652" t="n">
        <v>14.3</v>
      </c>
      <c r="H652" t="n">
        <v>0</v>
      </c>
      <c r="I652" t="n">
        <v>0</v>
      </c>
      <c r="J652" t="n">
        <v>0</v>
      </c>
      <c r="K652" t="n">
        <v>0</v>
      </c>
      <c r="L652" t="n">
        <v>0</v>
      </c>
      <c r="M652" t="n">
        <v>0</v>
      </c>
      <c r="N652" t="n">
        <v>0</v>
      </c>
      <c r="O652" t="n">
        <v>0</v>
      </c>
      <c r="P652" t="n">
        <v>0</v>
      </c>
      <c r="Q652" t="n">
        <v>0</v>
      </c>
      <c r="R652" s="2" t="inlineStr"/>
    </row>
    <row r="653" ht="15" customHeight="1">
      <c r="A653" t="inlineStr">
        <is>
          <t>A 35087-2018</t>
        </is>
      </c>
      <c r="B653" s="1" t="n">
        <v>43322</v>
      </c>
      <c r="C653" s="1" t="n">
        <v>45190</v>
      </c>
      <c r="D653" t="inlineStr">
        <is>
          <t>KALMAR LÄN</t>
        </is>
      </c>
      <c r="E653" t="inlineStr">
        <is>
          <t>KALMAR</t>
        </is>
      </c>
      <c r="G653" t="n">
        <v>1.5</v>
      </c>
      <c r="H653" t="n">
        <v>0</v>
      </c>
      <c r="I653" t="n">
        <v>0</v>
      </c>
      <c r="J653" t="n">
        <v>0</v>
      </c>
      <c r="K653" t="n">
        <v>0</v>
      </c>
      <c r="L653" t="n">
        <v>0</v>
      </c>
      <c r="M653" t="n">
        <v>0</v>
      </c>
      <c r="N653" t="n">
        <v>0</v>
      </c>
      <c r="O653" t="n">
        <v>0</v>
      </c>
      <c r="P653" t="n">
        <v>0</v>
      </c>
      <c r="Q653" t="n">
        <v>0</v>
      </c>
      <c r="R653" s="2" t="inlineStr"/>
    </row>
    <row r="654" ht="15" customHeight="1">
      <c r="A654" t="inlineStr">
        <is>
          <t>A 35140-2018</t>
        </is>
      </c>
      <c r="B654" s="1" t="n">
        <v>43322</v>
      </c>
      <c r="C654" s="1" t="n">
        <v>45190</v>
      </c>
      <c r="D654" t="inlineStr">
        <is>
          <t>KALMAR LÄN</t>
        </is>
      </c>
      <c r="E654" t="inlineStr">
        <is>
          <t>VÄSTERVIK</t>
        </is>
      </c>
      <c r="G654" t="n">
        <v>1.7</v>
      </c>
      <c r="H654" t="n">
        <v>0</v>
      </c>
      <c r="I654" t="n">
        <v>0</v>
      </c>
      <c r="J654" t="n">
        <v>0</v>
      </c>
      <c r="K654" t="n">
        <v>0</v>
      </c>
      <c r="L654" t="n">
        <v>0</v>
      </c>
      <c r="M654" t="n">
        <v>0</v>
      </c>
      <c r="N654" t="n">
        <v>0</v>
      </c>
      <c r="O654" t="n">
        <v>0</v>
      </c>
      <c r="P654" t="n">
        <v>0</v>
      </c>
      <c r="Q654" t="n">
        <v>0</v>
      </c>
      <c r="R654" s="2" t="inlineStr"/>
    </row>
    <row r="655" ht="15" customHeight="1">
      <c r="A655" t="inlineStr">
        <is>
          <t>A 35045-2018</t>
        </is>
      </c>
      <c r="B655" s="1" t="n">
        <v>43322</v>
      </c>
      <c r="C655" s="1" t="n">
        <v>45190</v>
      </c>
      <c r="D655" t="inlineStr">
        <is>
          <t>KALMAR LÄN</t>
        </is>
      </c>
      <c r="E655" t="inlineStr">
        <is>
          <t>KALMAR</t>
        </is>
      </c>
      <c r="G655" t="n">
        <v>13.6</v>
      </c>
      <c r="H655" t="n">
        <v>0</v>
      </c>
      <c r="I655" t="n">
        <v>0</v>
      </c>
      <c r="J655" t="n">
        <v>0</v>
      </c>
      <c r="K655" t="n">
        <v>0</v>
      </c>
      <c r="L655" t="n">
        <v>0</v>
      </c>
      <c r="M655" t="n">
        <v>0</v>
      </c>
      <c r="N655" t="n">
        <v>0</v>
      </c>
      <c r="O655" t="n">
        <v>0</v>
      </c>
      <c r="P655" t="n">
        <v>0</v>
      </c>
      <c r="Q655" t="n">
        <v>0</v>
      </c>
      <c r="R655" s="2" t="inlineStr"/>
    </row>
    <row r="656" ht="15" customHeight="1">
      <c r="A656" t="inlineStr">
        <is>
          <t>A 35056-2018</t>
        </is>
      </c>
      <c r="B656" s="1" t="n">
        <v>43322</v>
      </c>
      <c r="C656" s="1" t="n">
        <v>45190</v>
      </c>
      <c r="D656" t="inlineStr">
        <is>
          <t>KALMAR LÄN</t>
        </is>
      </c>
      <c r="E656" t="inlineStr">
        <is>
          <t>KALMAR</t>
        </is>
      </c>
      <c r="G656" t="n">
        <v>2.2</v>
      </c>
      <c r="H656" t="n">
        <v>0</v>
      </c>
      <c r="I656" t="n">
        <v>0</v>
      </c>
      <c r="J656" t="n">
        <v>0</v>
      </c>
      <c r="K656" t="n">
        <v>0</v>
      </c>
      <c r="L656" t="n">
        <v>0</v>
      </c>
      <c r="M656" t="n">
        <v>0</v>
      </c>
      <c r="N656" t="n">
        <v>0</v>
      </c>
      <c r="O656" t="n">
        <v>0</v>
      </c>
      <c r="P656" t="n">
        <v>0</v>
      </c>
      <c r="Q656" t="n">
        <v>0</v>
      </c>
      <c r="R656" s="2" t="inlineStr"/>
    </row>
    <row r="657" ht="15" customHeight="1">
      <c r="A657" t="inlineStr">
        <is>
          <t>A 35068-2018</t>
        </is>
      </c>
      <c r="B657" s="1" t="n">
        <v>43322</v>
      </c>
      <c r="C657" s="1" t="n">
        <v>45190</v>
      </c>
      <c r="D657" t="inlineStr">
        <is>
          <t>KALMAR LÄN</t>
        </is>
      </c>
      <c r="E657" t="inlineStr">
        <is>
          <t>NYBRO</t>
        </is>
      </c>
      <c r="G657" t="n">
        <v>1</v>
      </c>
      <c r="H657" t="n">
        <v>0</v>
      </c>
      <c r="I657" t="n">
        <v>0</v>
      </c>
      <c r="J657" t="n">
        <v>0</v>
      </c>
      <c r="K657" t="n">
        <v>0</v>
      </c>
      <c r="L657" t="n">
        <v>0</v>
      </c>
      <c r="M657" t="n">
        <v>0</v>
      </c>
      <c r="N657" t="n">
        <v>0</v>
      </c>
      <c r="O657" t="n">
        <v>0</v>
      </c>
      <c r="P657" t="n">
        <v>0</v>
      </c>
      <c r="Q657" t="n">
        <v>0</v>
      </c>
      <c r="R657" s="2" t="inlineStr"/>
    </row>
    <row r="658" ht="15" customHeight="1">
      <c r="A658" t="inlineStr">
        <is>
          <t>A 35050-2018</t>
        </is>
      </c>
      <c r="B658" s="1" t="n">
        <v>43322</v>
      </c>
      <c r="C658" s="1" t="n">
        <v>45190</v>
      </c>
      <c r="D658" t="inlineStr">
        <is>
          <t>KALMAR LÄN</t>
        </is>
      </c>
      <c r="E658" t="inlineStr">
        <is>
          <t>HÖGSBY</t>
        </is>
      </c>
      <c r="G658" t="n">
        <v>3.3</v>
      </c>
      <c r="H658" t="n">
        <v>0</v>
      </c>
      <c r="I658" t="n">
        <v>0</v>
      </c>
      <c r="J658" t="n">
        <v>0</v>
      </c>
      <c r="K658" t="n">
        <v>0</v>
      </c>
      <c r="L658" t="n">
        <v>0</v>
      </c>
      <c r="M658" t="n">
        <v>0</v>
      </c>
      <c r="N658" t="n">
        <v>0</v>
      </c>
      <c r="O658" t="n">
        <v>0</v>
      </c>
      <c r="P658" t="n">
        <v>0</v>
      </c>
      <c r="Q658" t="n">
        <v>0</v>
      </c>
      <c r="R658" s="2" t="inlineStr"/>
    </row>
    <row r="659" ht="15" customHeight="1">
      <c r="A659" t="inlineStr">
        <is>
          <t>A 35061-2018</t>
        </is>
      </c>
      <c r="B659" s="1" t="n">
        <v>43322</v>
      </c>
      <c r="C659" s="1" t="n">
        <v>45190</v>
      </c>
      <c r="D659" t="inlineStr">
        <is>
          <t>KALMAR LÄN</t>
        </is>
      </c>
      <c r="E659" t="inlineStr">
        <is>
          <t>EMMABODA</t>
        </is>
      </c>
      <c r="G659" t="n">
        <v>1.9</v>
      </c>
      <c r="H659" t="n">
        <v>0</v>
      </c>
      <c r="I659" t="n">
        <v>0</v>
      </c>
      <c r="J659" t="n">
        <v>0</v>
      </c>
      <c r="K659" t="n">
        <v>0</v>
      </c>
      <c r="L659" t="n">
        <v>0</v>
      </c>
      <c r="M659" t="n">
        <v>0</v>
      </c>
      <c r="N659" t="n">
        <v>0</v>
      </c>
      <c r="O659" t="n">
        <v>0</v>
      </c>
      <c r="P659" t="n">
        <v>0</v>
      </c>
      <c r="Q659" t="n">
        <v>0</v>
      </c>
      <c r="R659" s="2" t="inlineStr"/>
    </row>
    <row r="660" ht="15" customHeight="1">
      <c r="A660" t="inlineStr">
        <is>
          <t>A 35078-2018</t>
        </is>
      </c>
      <c r="B660" s="1" t="n">
        <v>43322</v>
      </c>
      <c r="C660" s="1" t="n">
        <v>45190</v>
      </c>
      <c r="D660" t="inlineStr">
        <is>
          <t>KALMAR LÄN</t>
        </is>
      </c>
      <c r="E660" t="inlineStr">
        <is>
          <t>NYBRO</t>
        </is>
      </c>
      <c r="G660" t="n">
        <v>10.6</v>
      </c>
      <c r="H660" t="n">
        <v>0</v>
      </c>
      <c r="I660" t="n">
        <v>0</v>
      </c>
      <c r="J660" t="n">
        <v>0</v>
      </c>
      <c r="K660" t="n">
        <v>0</v>
      </c>
      <c r="L660" t="n">
        <v>0</v>
      </c>
      <c r="M660" t="n">
        <v>0</v>
      </c>
      <c r="N660" t="n">
        <v>0</v>
      </c>
      <c r="O660" t="n">
        <v>0</v>
      </c>
      <c r="P660" t="n">
        <v>0</v>
      </c>
      <c r="Q660" t="n">
        <v>0</v>
      </c>
      <c r="R660" s="2" t="inlineStr"/>
    </row>
    <row r="661" ht="15" customHeight="1">
      <c r="A661" t="inlineStr">
        <is>
          <t>A 35115-2018</t>
        </is>
      </c>
      <c r="B661" s="1" t="n">
        <v>43322</v>
      </c>
      <c r="C661" s="1" t="n">
        <v>45190</v>
      </c>
      <c r="D661" t="inlineStr">
        <is>
          <t>KALMAR LÄN</t>
        </is>
      </c>
      <c r="E661" t="inlineStr">
        <is>
          <t>NYBRO</t>
        </is>
      </c>
      <c r="G661" t="n">
        <v>9.6</v>
      </c>
      <c r="H661" t="n">
        <v>0</v>
      </c>
      <c r="I661" t="n">
        <v>0</v>
      </c>
      <c r="J661" t="n">
        <v>0</v>
      </c>
      <c r="K661" t="n">
        <v>0</v>
      </c>
      <c r="L661" t="n">
        <v>0</v>
      </c>
      <c r="M661" t="n">
        <v>0</v>
      </c>
      <c r="N661" t="n">
        <v>0</v>
      </c>
      <c r="O661" t="n">
        <v>0</v>
      </c>
      <c r="P661" t="n">
        <v>0</v>
      </c>
      <c r="Q661" t="n">
        <v>0</v>
      </c>
      <c r="R661" s="2" t="inlineStr"/>
    </row>
    <row r="662" ht="15" customHeight="1">
      <c r="A662" t="inlineStr">
        <is>
          <t>A 35425-2018</t>
        </is>
      </c>
      <c r="B662" s="1" t="n">
        <v>43325</v>
      </c>
      <c r="C662" s="1" t="n">
        <v>45190</v>
      </c>
      <c r="D662" t="inlineStr">
        <is>
          <t>KALMAR LÄN</t>
        </is>
      </c>
      <c r="E662" t="inlineStr">
        <is>
          <t>KALMAR</t>
        </is>
      </c>
      <c r="G662" t="n">
        <v>5</v>
      </c>
      <c r="H662" t="n">
        <v>0</v>
      </c>
      <c r="I662" t="n">
        <v>0</v>
      </c>
      <c r="J662" t="n">
        <v>0</v>
      </c>
      <c r="K662" t="n">
        <v>0</v>
      </c>
      <c r="L662" t="n">
        <v>0</v>
      </c>
      <c r="M662" t="n">
        <v>0</v>
      </c>
      <c r="N662" t="n">
        <v>0</v>
      </c>
      <c r="O662" t="n">
        <v>0</v>
      </c>
      <c r="P662" t="n">
        <v>0</v>
      </c>
      <c r="Q662" t="n">
        <v>0</v>
      </c>
      <c r="R662" s="2" t="inlineStr"/>
    </row>
    <row r="663" ht="15" customHeight="1">
      <c r="A663" t="inlineStr">
        <is>
          <t>A 35454-2018</t>
        </is>
      </c>
      <c r="B663" s="1" t="n">
        <v>43325</v>
      </c>
      <c r="C663" s="1" t="n">
        <v>45190</v>
      </c>
      <c r="D663" t="inlineStr">
        <is>
          <t>KALMAR LÄN</t>
        </is>
      </c>
      <c r="E663" t="inlineStr">
        <is>
          <t>KALMAR</t>
        </is>
      </c>
      <c r="G663" t="n">
        <v>3.9</v>
      </c>
      <c r="H663" t="n">
        <v>0</v>
      </c>
      <c r="I663" t="n">
        <v>0</v>
      </c>
      <c r="J663" t="n">
        <v>0</v>
      </c>
      <c r="K663" t="n">
        <v>0</v>
      </c>
      <c r="L663" t="n">
        <v>0</v>
      </c>
      <c r="M663" t="n">
        <v>0</v>
      </c>
      <c r="N663" t="n">
        <v>0</v>
      </c>
      <c r="O663" t="n">
        <v>0</v>
      </c>
      <c r="P663" t="n">
        <v>0</v>
      </c>
      <c r="Q663" t="n">
        <v>0</v>
      </c>
      <c r="R663" s="2" t="inlineStr"/>
    </row>
    <row r="664" ht="15" customHeight="1">
      <c r="A664" t="inlineStr">
        <is>
          <t>A 35478-2018</t>
        </is>
      </c>
      <c r="B664" s="1" t="n">
        <v>43325</v>
      </c>
      <c r="C664" s="1" t="n">
        <v>45190</v>
      </c>
      <c r="D664" t="inlineStr">
        <is>
          <t>KALMAR LÄN</t>
        </is>
      </c>
      <c r="E664" t="inlineStr">
        <is>
          <t>KALMAR</t>
        </is>
      </c>
      <c r="G664" t="n">
        <v>12.9</v>
      </c>
      <c r="H664" t="n">
        <v>0</v>
      </c>
      <c r="I664" t="n">
        <v>0</v>
      </c>
      <c r="J664" t="n">
        <v>0</v>
      </c>
      <c r="K664" t="n">
        <v>0</v>
      </c>
      <c r="L664" t="n">
        <v>0</v>
      </c>
      <c r="M664" t="n">
        <v>0</v>
      </c>
      <c r="N664" t="n">
        <v>0</v>
      </c>
      <c r="O664" t="n">
        <v>0</v>
      </c>
      <c r="P664" t="n">
        <v>0</v>
      </c>
      <c r="Q664" t="n">
        <v>0</v>
      </c>
      <c r="R664" s="2" t="inlineStr"/>
    </row>
    <row r="665" ht="15" customHeight="1">
      <c r="A665" t="inlineStr">
        <is>
          <t>A 35483-2018</t>
        </is>
      </c>
      <c r="B665" s="1" t="n">
        <v>43325</v>
      </c>
      <c r="C665" s="1" t="n">
        <v>45190</v>
      </c>
      <c r="D665" t="inlineStr">
        <is>
          <t>KALMAR LÄN</t>
        </is>
      </c>
      <c r="E665" t="inlineStr">
        <is>
          <t>KALMAR</t>
        </is>
      </c>
      <c r="G665" t="n">
        <v>1.9</v>
      </c>
      <c r="H665" t="n">
        <v>0</v>
      </c>
      <c r="I665" t="n">
        <v>0</v>
      </c>
      <c r="J665" t="n">
        <v>0</v>
      </c>
      <c r="K665" t="n">
        <v>0</v>
      </c>
      <c r="L665" t="n">
        <v>0</v>
      </c>
      <c r="M665" t="n">
        <v>0</v>
      </c>
      <c r="N665" t="n">
        <v>0</v>
      </c>
      <c r="O665" t="n">
        <v>0</v>
      </c>
      <c r="P665" t="n">
        <v>0</v>
      </c>
      <c r="Q665" t="n">
        <v>0</v>
      </c>
      <c r="R665" s="2" t="inlineStr"/>
    </row>
    <row r="666" ht="15" customHeight="1">
      <c r="A666" t="inlineStr">
        <is>
          <t>A 35624-2018</t>
        </is>
      </c>
      <c r="B666" s="1" t="n">
        <v>43325</v>
      </c>
      <c r="C666" s="1" t="n">
        <v>45190</v>
      </c>
      <c r="D666" t="inlineStr">
        <is>
          <t>KALMAR LÄN</t>
        </is>
      </c>
      <c r="E666" t="inlineStr">
        <is>
          <t>KALMAR</t>
        </is>
      </c>
      <c r="G666" t="n">
        <v>1.1</v>
      </c>
      <c r="H666" t="n">
        <v>0</v>
      </c>
      <c r="I666" t="n">
        <v>0</v>
      </c>
      <c r="J666" t="n">
        <v>0</v>
      </c>
      <c r="K666" t="n">
        <v>0</v>
      </c>
      <c r="L666" t="n">
        <v>0</v>
      </c>
      <c r="M666" t="n">
        <v>0</v>
      </c>
      <c r="N666" t="n">
        <v>0</v>
      </c>
      <c r="O666" t="n">
        <v>0</v>
      </c>
      <c r="P666" t="n">
        <v>0</v>
      </c>
      <c r="Q666" t="n">
        <v>0</v>
      </c>
      <c r="R666" s="2" t="inlineStr"/>
    </row>
    <row r="667" ht="15" customHeight="1">
      <c r="A667" t="inlineStr">
        <is>
          <t>A 35585-2018</t>
        </is>
      </c>
      <c r="B667" s="1" t="n">
        <v>43325</v>
      </c>
      <c r="C667" s="1" t="n">
        <v>45190</v>
      </c>
      <c r="D667" t="inlineStr">
        <is>
          <t>KALMAR LÄN</t>
        </is>
      </c>
      <c r="E667" t="inlineStr">
        <is>
          <t>KALMAR</t>
        </is>
      </c>
      <c r="G667" t="n">
        <v>4.6</v>
      </c>
      <c r="H667" t="n">
        <v>0</v>
      </c>
      <c r="I667" t="n">
        <v>0</v>
      </c>
      <c r="J667" t="n">
        <v>0</v>
      </c>
      <c r="K667" t="n">
        <v>0</v>
      </c>
      <c r="L667" t="n">
        <v>0</v>
      </c>
      <c r="M667" t="n">
        <v>0</v>
      </c>
      <c r="N667" t="n">
        <v>0</v>
      </c>
      <c r="O667" t="n">
        <v>0</v>
      </c>
      <c r="P667" t="n">
        <v>0</v>
      </c>
      <c r="Q667" t="n">
        <v>0</v>
      </c>
      <c r="R667" s="2" t="inlineStr"/>
    </row>
    <row r="668" ht="15" customHeight="1">
      <c r="A668" t="inlineStr">
        <is>
          <t>A 35616-2018</t>
        </is>
      </c>
      <c r="B668" s="1" t="n">
        <v>43325</v>
      </c>
      <c r="C668" s="1" t="n">
        <v>45190</v>
      </c>
      <c r="D668" t="inlineStr">
        <is>
          <t>KALMAR LÄN</t>
        </is>
      </c>
      <c r="E668" t="inlineStr">
        <is>
          <t>KALMAR</t>
        </is>
      </c>
      <c r="G668" t="n">
        <v>2.3</v>
      </c>
      <c r="H668" t="n">
        <v>0</v>
      </c>
      <c r="I668" t="n">
        <v>0</v>
      </c>
      <c r="J668" t="n">
        <v>0</v>
      </c>
      <c r="K668" t="n">
        <v>0</v>
      </c>
      <c r="L668" t="n">
        <v>0</v>
      </c>
      <c r="M668" t="n">
        <v>0</v>
      </c>
      <c r="N668" t="n">
        <v>0</v>
      </c>
      <c r="O668" t="n">
        <v>0</v>
      </c>
      <c r="P668" t="n">
        <v>0</v>
      </c>
      <c r="Q668" t="n">
        <v>0</v>
      </c>
      <c r="R668" s="2" t="inlineStr"/>
    </row>
    <row r="669" ht="15" customHeight="1">
      <c r="A669" t="inlineStr">
        <is>
          <t>A 35435-2018</t>
        </is>
      </c>
      <c r="B669" s="1" t="n">
        <v>43325</v>
      </c>
      <c r="C669" s="1" t="n">
        <v>45190</v>
      </c>
      <c r="D669" t="inlineStr">
        <is>
          <t>KALMAR LÄN</t>
        </is>
      </c>
      <c r="E669" t="inlineStr">
        <is>
          <t>KALMAR</t>
        </is>
      </c>
      <c r="G669" t="n">
        <v>1.6</v>
      </c>
      <c r="H669" t="n">
        <v>0</v>
      </c>
      <c r="I669" t="n">
        <v>0</v>
      </c>
      <c r="J669" t="n">
        <v>0</v>
      </c>
      <c r="K669" t="n">
        <v>0</v>
      </c>
      <c r="L669" t="n">
        <v>0</v>
      </c>
      <c r="M669" t="n">
        <v>0</v>
      </c>
      <c r="N669" t="n">
        <v>0</v>
      </c>
      <c r="O669" t="n">
        <v>0</v>
      </c>
      <c r="P669" t="n">
        <v>0</v>
      </c>
      <c r="Q669" t="n">
        <v>0</v>
      </c>
      <c r="R669" s="2" t="inlineStr"/>
    </row>
    <row r="670" ht="15" customHeight="1">
      <c r="A670" t="inlineStr">
        <is>
          <t>A 35474-2018</t>
        </is>
      </c>
      <c r="B670" s="1" t="n">
        <v>43325</v>
      </c>
      <c r="C670" s="1" t="n">
        <v>45190</v>
      </c>
      <c r="D670" t="inlineStr">
        <is>
          <t>KALMAR LÄN</t>
        </is>
      </c>
      <c r="E670" t="inlineStr">
        <is>
          <t>KALMAR</t>
        </is>
      </c>
      <c r="G670" t="n">
        <v>0.8</v>
      </c>
      <c r="H670" t="n">
        <v>0</v>
      </c>
      <c r="I670" t="n">
        <v>0</v>
      </c>
      <c r="J670" t="n">
        <v>0</v>
      </c>
      <c r="K670" t="n">
        <v>0</v>
      </c>
      <c r="L670" t="n">
        <v>0</v>
      </c>
      <c r="M670" t="n">
        <v>0</v>
      </c>
      <c r="N670" t="n">
        <v>0</v>
      </c>
      <c r="O670" t="n">
        <v>0</v>
      </c>
      <c r="P670" t="n">
        <v>0</v>
      </c>
      <c r="Q670" t="n">
        <v>0</v>
      </c>
      <c r="R670" s="2" t="inlineStr"/>
    </row>
    <row r="671" ht="15" customHeight="1">
      <c r="A671" t="inlineStr">
        <is>
          <t>A 35481-2018</t>
        </is>
      </c>
      <c r="B671" s="1" t="n">
        <v>43325</v>
      </c>
      <c r="C671" s="1" t="n">
        <v>45190</v>
      </c>
      <c r="D671" t="inlineStr">
        <is>
          <t>KALMAR LÄN</t>
        </is>
      </c>
      <c r="E671" t="inlineStr">
        <is>
          <t>KALMAR</t>
        </is>
      </c>
      <c r="G671" t="n">
        <v>5.5</v>
      </c>
      <c r="H671" t="n">
        <v>0</v>
      </c>
      <c r="I671" t="n">
        <v>0</v>
      </c>
      <c r="J671" t="n">
        <v>0</v>
      </c>
      <c r="K671" t="n">
        <v>0</v>
      </c>
      <c r="L671" t="n">
        <v>0</v>
      </c>
      <c r="M671" t="n">
        <v>0</v>
      </c>
      <c r="N671" t="n">
        <v>0</v>
      </c>
      <c r="O671" t="n">
        <v>0</v>
      </c>
      <c r="P671" t="n">
        <v>0</v>
      </c>
      <c r="Q671" t="n">
        <v>0</v>
      </c>
      <c r="R671" s="2" t="inlineStr"/>
    </row>
    <row r="672" ht="15" customHeight="1">
      <c r="A672" t="inlineStr">
        <is>
          <t>A 35590-2018</t>
        </is>
      </c>
      <c r="B672" s="1" t="n">
        <v>43325</v>
      </c>
      <c r="C672" s="1" t="n">
        <v>45190</v>
      </c>
      <c r="D672" t="inlineStr">
        <is>
          <t>KALMAR LÄN</t>
        </is>
      </c>
      <c r="E672" t="inlineStr">
        <is>
          <t>KALMAR</t>
        </is>
      </c>
      <c r="G672" t="n">
        <v>3.6</v>
      </c>
      <c r="H672" t="n">
        <v>0</v>
      </c>
      <c r="I672" t="n">
        <v>0</v>
      </c>
      <c r="J672" t="n">
        <v>0</v>
      </c>
      <c r="K672" t="n">
        <v>0</v>
      </c>
      <c r="L672" t="n">
        <v>0</v>
      </c>
      <c r="M672" t="n">
        <v>0</v>
      </c>
      <c r="N672" t="n">
        <v>0</v>
      </c>
      <c r="O672" t="n">
        <v>0</v>
      </c>
      <c r="P672" t="n">
        <v>0</v>
      </c>
      <c r="Q672" t="n">
        <v>0</v>
      </c>
      <c r="R672" s="2" t="inlineStr"/>
    </row>
    <row r="673" ht="15" customHeight="1">
      <c r="A673" t="inlineStr">
        <is>
          <t>A 35464-2018</t>
        </is>
      </c>
      <c r="B673" s="1" t="n">
        <v>43325</v>
      </c>
      <c r="C673" s="1" t="n">
        <v>45190</v>
      </c>
      <c r="D673" t="inlineStr">
        <is>
          <t>KALMAR LÄN</t>
        </is>
      </c>
      <c r="E673" t="inlineStr">
        <is>
          <t>KALMAR</t>
        </is>
      </c>
      <c r="G673" t="n">
        <v>4.4</v>
      </c>
      <c r="H673" t="n">
        <v>0</v>
      </c>
      <c r="I673" t="n">
        <v>0</v>
      </c>
      <c r="J673" t="n">
        <v>0</v>
      </c>
      <c r="K673" t="n">
        <v>0</v>
      </c>
      <c r="L673" t="n">
        <v>0</v>
      </c>
      <c r="M673" t="n">
        <v>0</v>
      </c>
      <c r="N673" t="n">
        <v>0</v>
      </c>
      <c r="O673" t="n">
        <v>0</v>
      </c>
      <c r="P673" t="n">
        <v>0</v>
      </c>
      <c r="Q673" t="n">
        <v>0</v>
      </c>
      <c r="R673" s="2" t="inlineStr"/>
    </row>
    <row r="674" ht="15" customHeight="1">
      <c r="A674" t="inlineStr">
        <is>
          <t>A 35612-2018</t>
        </is>
      </c>
      <c r="B674" s="1" t="n">
        <v>43325</v>
      </c>
      <c r="C674" s="1" t="n">
        <v>45190</v>
      </c>
      <c r="D674" t="inlineStr">
        <is>
          <t>KALMAR LÄN</t>
        </is>
      </c>
      <c r="E674" t="inlineStr">
        <is>
          <t>KALMAR</t>
        </is>
      </c>
      <c r="G674" t="n">
        <v>2.2</v>
      </c>
      <c r="H674" t="n">
        <v>0</v>
      </c>
      <c r="I674" t="n">
        <v>0</v>
      </c>
      <c r="J674" t="n">
        <v>0</v>
      </c>
      <c r="K674" t="n">
        <v>0</v>
      </c>
      <c r="L674" t="n">
        <v>0</v>
      </c>
      <c r="M674" t="n">
        <v>0</v>
      </c>
      <c r="N674" t="n">
        <v>0</v>
      </c>
      <c r="O674" t="n">
        <v>0</v>
      </c>
      <c r="P674" t="n">
        <v>0</v>
      </c>
      <c r="Q674" t="n">
        <v>0</v>
      </c>
      <c r="R674" s="2" t="inlineStr"/>
    </row>
    <row r="675" ht="15" customHeight="1">
      <c r="A675" t="inlineStr">
        <is>
          <t>A 35625-2018</t>
        </is>
      </c>
      <c r="B675" s="1" t="n">
        <v>43325</v>
      </c>
      <c r="C675" s="1" t="n">
        <v>45190</v>
      </c>
      <c r="D675" t="inlineStr">
        <is>
          <t>KALMAR LÄN</t>
        </is>
      </c>
      <c r="E675" t="inlineStr">
        <is>
          <t>KALMAR</t>
        </is>
      </c>
      <c r="G675" t="n">
        <v>4.1</v>
      </c>
      <c r="H675" t="n">
        <v>0</v>
      </c>
      <c r="I675" t="n">
        <v>0</v>
      </c>
      <c r="J675" t="n">
        <v>0</v>
      </c>
      <c r="K675" t="n">
        <v>0</v>
      </c>
      <c r="L675" t="n">
        <v>0</v>
      </c>
      <c r="M675" t="n">
        <v>0</v>
      </c>
      <c r="N675" t="n">
        <v>0</v>
      </c>
      <c r="O675" t="n">
        <v>0</v>
      </c>
      <c r="P675" t="n">
        <v>0</v>
      </c>
      <c r="Q675" t="n">
        <v>0</v>
      </c>
      <c r="R675" s="2" t="inlineStr"/>
    </row>
    <row r="676" ht="15" customHeight="1">
      <c r="A676" t="inlineStr">
        <is>
          <t>A 35734-2018</t>
        </is>
      </c>
      <c r="B676" s="1" t="n">
        <v>43326</v>
      </c>
      <c r="C676" s="1" t="n">
        <v>45190</v>
      </c>
      <c r="D676" t="inlineStr">
        <is>
          <t>KALMAR LÄN</t>
        </is>
      </c>
      <c r="E676" t="inlineStr">
        <is>
          <t>KALMAR</t>
        </is>
      </c>
      <c r="G676" t="n">
        <v>3.5</v>
      </c>
      <c r="H676" t="n">
        <v>0</v>
      </c>
      <c r="I676" t="n">
        <v>0</v>
      </c>
      <c r="J676" t="n">
        <v>0</v>
      </c>
      <c r="K676" t="n">
        <v>0</v>
      </c>
      <c r="L676" t="n">
        <v>0</v>
      </c>
      <c r="M676" t="n">
        <v>0</v>
      </c>
      <c r="N676" t="n">
        <v>0</v>
      </c>
      <c r="O676" t="n">
        <v>0</v>
      </c>
      <c r="P676" t="n">
        <v>0</v>
      </c>
      <c r="Q676" t="n">
        <v>0</v>
      </c>
      <c r="R676" s="2" t="inlineStr"/>
    </row>
    <row r="677" ht="15" customHeight="1">
      <c r="A677" t="inlineStr">
        <is>
          <t>A 35906-2018</t>
        </is>
      </c>
      <c r="B677" s="1" t="n">
        <v>43326</v>
      </c>
      <c r="C677" s="1" t="n">
        <v>45190</v>
      </c>
      <c r="D677" t="inlineStr">
        <is>
          <t>KALMAR LÄN</t>
        </is>
      </c>
      <c r="E677" t="inlineStr">
        <is>
          <t>NYBRO</t>
        </is>
      </c>
      <c r="G677" t="n">
        <v>1.4</v>
      </c>
      <c r="H677" t="n">
        <v>0</v>
      </c>
      <c r="I677" t="n">
        <v>0</v>
      </c>
      <c r="J677" t="n">
        <v>0</v>
      </c>
      <c r="K677" t="n">
        <v>0</v>
      </c>
      <c r="L677" t="n">
        <v>0</v>
      </c>
      <c r="M677" t="n">
        <v>0</v>
      </c>
      <c r="N677" t="n">
        <v>0</v>
      </c>
      <c r="O677" t="n">
        <v>0</v>
      </c>
      <c r="P677" t="n">
        <v>0</v>
      </c>
      <c r="Q677" t="n">
        <v>0</v>
      </c>
      <c r="R677" s="2" t="inlineStr"/>
    </row>
    <row r="678" ht="15" customHeight="1">
      <c r="A678" t="inlineStr">
        <is>
          <t>A 35970-2018</t>
        </is>
      </c>
      <c r="B678" s="1" t="n">
        <v>43326</v>
      </c>
      <c r="C678" s="1" t="n">
        <v>45190</v>
      </c>
      <c r="D678" t="inlineStr">
        <is>
          <t>KALMAR LÄN</t>
        </is>
      </c>
      <c r="E678" t="inlineStr">
        <is>
          <t>NYBRO</t>
        </is>
      </c>
      <c r="G678" t="n">
        <v>6.4</v>
      </c>
      <c r="H678" t="n">
        <v>0</v>
      </c>
      <c r="I678" t="n">
        <v>0</v>
      </c>
      <c r="J678" t="n">
        <v>0</v>
      </c>
      <c r="K678" t="n">
        <v>0</v>
      </c>
      <c r="L678" t="n">
        <v>0</v>
      </c>
      <c r="M678" t="n">
        <v>0</v>
      </c>
      <c r="N678" t="n">
        <v>0</v>
      </c>
      <c r="O678" t="n">
        <v>0</v>
      </c>
      <c r="P678" t="n">
        <v>0</v>
      </c>
      <c r="Q678" t="n">
        <v>0</v>
      </c>
      <c r="R678" s="2" t="inlineStr"/>
    </row>
    <row r="679" ht="15" customHeight="1">
      <c r="A679" t="inlineStr">
        <is>
          <t>A 36143-2018</t>
        </is>
      </c>
      <c r="B679" s="1" t="n">
        <v>43326</v>
      </c>
      <c r="C679" s="1" t="n">
        <v>45190</v>
      </c>
      <c r="D679" t="inlineStr">
        <is>
          <t>KALMAR LÄN</t>
        </is>
      </c>
      <c r="E679" t="inlineStr">
        <is>
          <t>NYBRO</t>
        </is>
      </c>
      <c r="G679" t="n">
        <v>1.5</v>
      </c>
      <c r="H679" t="n">
        <v>0</v>
      </c>
      <c r="I679" t="n">
        <v>0</v>
      </c>
      <c r="J679" t="n">
        <v>0</v>
      </c>
      <c r="K679" t="n">
        <v>0</v>
      </c>
      <c r="L679" t="n">
        <v>0</v>
      </c>
      <c r="M679" t="n">
        <v>0</v>
      </c>
      <c r="N679" t="n">
        <v>0</v>
      </c>
      <c r="O679" t="n">
        <v>0</v>
      </c>
      <c r="P679" t="n">
        <v>0</v>
      </c>
      <c r="Q679" t="n">
        <v>0</v>
      </c>
      <c r="R679" s="2" t="inlineStr"/>
    </row>
    <row r="680" ht="15" customHeight="1">
      <c r="A680" t="inlineStr">
        <is>
          <t>A 35770-2018</t>
        </is>
      </c>
      <c r="B680" s="1" t="n">
        <v>43326</v>
      </c>
      <c r="C680" s="1" t="n">
        <v>45190</v>
      </c>
      <c r="D680" t="inlineStr">
        <is>
          <t>KALMAR LÄN</t>
        </is>
      </c>
      <c r="E680" t="inlineStr">
        <is>
          <t>NYBRO</t>
        </is>
      </c>
      <c r="G680" t="n">
        <v>8.699999999999999</v>
      </c>
      <c r="H680" t="n">
        <v>0</v>
      </c>
      <c r="I680" t="n">
        <v>0</v>
      </c>
      <c r="J680" t="n">
        <v>0</v>
      </c>
      <c r="K680" t="n">
        <v>0</v>
      </c>
      <c r="L680" t="n">
        <v>0</v>
      </c>
      <c r="M680" t="n">
        <v>0</v>
      </c>
      <c r="N680" t="n">
        <v>0</v>
      </c>
      <c r="O680" t="n">
        <v>0</v>
      </c>
      <c r="P680" t="n">
        <v>0</v>
      </c>
      <c r="Q680" t="n">
        <v>0</v>
      </c>
      <c r="R680" s="2" t="inlineStr"/>
    </row>
    <row r="681" ht="15" customHeight="1">
      <c r="A681" t="inlineStr">
        <is>
          <t>A 35789-2018</t>
        </is>
      </c>
      <c r="B681" s="1" t="n">
        <v>43326</v>
      </c>
      <c r="C681" s="1" t="n">
        <v>45190</v>
      </c>
      <c r="D681" t="inlineStr">
        <is>
          <t>KALMAR LÄN</t>
        </is>
      </c>
      <c r="E681" t="inlineStr">
        <is>
          <t>NYBRO</t>
        </is>
      </c>
      <c r="G681" t="n">
        <v>4.9</v>
      </c>
      <c r="H681" t="n">
        <v>0</v>
      </c>
      <c r="I681" t="n">
        <v>0</v>
      </c>
      <c r="J681" t="n">
        <v>0</v>
      </c>
      <c r="K681" t="n">
        <v>0</v>
      </c>
      <c r="L681" t="n">
        <v>0</v>
      </c>
      <c r="M681" t="n">
        <v>0</v>
      </c>
      <c r="N681" t="n">
        <v>0</v>
      </c>
      <c r="O681" t="n">
        <v>0</v>
      </c>
      <c r="P681" t="n">
        <v>0</v>
      </c>
      <c r="Q681" t="n">
        <v>0</v>
      </c>
      <c r="R681" s="2" t="inlineStr"/>
    </row>
    <row r="682" ht="15" customHeight="1">
      <c r="A682" t="inlineStr">
        <is>
          <t>A 35875-2018</t>
        </is>
      </c>
      <c r="B682" s="1" t="n">
        <v>43326</v>
      </c>
      <c r="C682" s="1" t="n">
        <v>45190</v>
      </c>
      <c r="D682" t="inlineStr">
        <is>
          <t>KALMAR LÄN</t>
        </is>
      </c>
      <c r="E682" t="inlineStr">
        <is>
          <t>TORSÅS</t>
        </is>
      </c>
      <c r="G682" t="n">
        <v>2.3</v>
      </c>
      <c r="H682" t="n">
        <v>0</v>
      </c>
      <c r="I682" t="n">
        <v>0</v>
      </c>
      <c r="J682" t="n">
        <v>0</v>
      </c>
      <c r="K682" t="n">
        <v>0</v>
      </c>
      <c r="L682" t="n">
        <v>0</v>
      </c>
      <c r="M682" t="n">
        <v>0</v>
      </c>
      <c r="N682" t="n">
        <v>0</v>
      </c>
      <c r="O682" t="n">
        <v>0</v>
      </c>
      <c r="P682" t="n">
        <v>0</v>
      </c>
      <c r="Q682" t="n">
        <v>0</v>
      </c>
      <c r="R682" s="2" t="inlineStr"/>
    </row>
    <row r="683" ht="15" customHeight="1">
      <c r="A683" t="inlineStr">
        <is>
          <t>A 36001-2018</t>
        </is>
      </c>
      <c r="B683" s="1" t="n">
        <v>43326</v>
      </c>
      <c r="C683" s="1" t="n">
        <v>45190</v>
      </c>
      <c r="D683" t="inlineStr">
        <is>
          <t>KALMAR LÄN</t>
        </is>
      </c>
      <c r="E683" t="inlineStr">
        <is>
          <t>NYBRO</t>
        </is>
      </c>
      <c r="G683" t="n">
        <v>11.3</v>
      </c>
      <c r="H683" t="n">
        <v>0</v>
      </c>
      <c r="I683" t="n">
        <v>0</v>
      </c>
      <c r="J683" t="n">
        <v>0</v>
      </c>
      <c r="K683" t="n">
        <v>0</v>
      </c>
      <c r="L683" t="n">
        <v>0</v>
      </c>
      <c r="M683" t="n">
        <v>0</v>
      </c>
      <c r="N683" t="n">
        <v>0</v>
      </c>
      <c r="O683" t="n">
        <v>0</v>
      </c>
      <c r="P683" t="n">
        <v>0</v>
      </c>
      <c r="Q683" t="n">
        <v>0</v>
      </c>
      <c r="R683" s="2" t="inlineStr"/>
    </row>
    <row r="684" ht="15" customHeight="1">
      <c r="A684" t="inlineStr">
        <is>
          <t>A 36162-2018</t>
        </is>
      </c>
      <c r="B684" s="1" t="n">
        <v>43326</v>
      </c>
      <c r="C684" s="1" t="n">
        <v>45190</v>
      </c>
      <c r="D684" t="inlineStr">
        <is>
          <t>KALMAR LÄN</t>
        </is>
      </c>
      <c r="E684" t="inlineStr">
        <is>
          <t>NYBRO</t>
        </is>
      </c>
      <c r="G684" t="n">
        <v>11</v>
      </c>
      <c r="H684" t="n">
        <v>0</v>
      </c>
      <c r="I684" t="n">
        <v>0</v>
      </c>
      <c r="J684" t="n">
        <v>0</v>
      </c>
      <c r="K684" t="n">
        <v>0</v>
      </c>
      <c r="L684" t="n">
        <v>0</v>
      </c>
      <c r="M684" t="n">
        <v>0</v>
      </c>
      <c r="N684" t="n">
        <v>0</v>
      </c>
      <c r="O684" t="n">
        <v>0</v>
      </c>
      <c r="P684" t="n">
        <v>0</v>
      </c>
      <c r="Q684" t="n">
        <v>0</v>
      </c>
      <c r="R684" s="2" t="inlineStr"/>
    </row>
    <row r="685" ht="15" customHeight="1">
      <c r="A685" t="inlineStr">
        <is>
          <t>A 35761-2018</t>
        </is>
      </c>
      <c r="B685" s="1" t="n">
        <v>43326</v>
      </c>
      <c r="C685" s="1" t="n">
        <v>45190</v>
      </c>
      <c r="D685" t="inlineStr">
        <is>
          <t>KALMAR LÄN</t>
        </is>
      </c>
      <c r="E685" t="inlineStr">
        <is>
          <t>NYBRO</t>
        </is>
      </c>
      <c r="G685" t="n">
        <v>4.8</v>
      </c>
      <c r="H685" t="n">
        <v>0</v>
      </c>
      <c r="I685" t="n">
        <v>0</v>
      </c>
      <c r="J685" t="n">
        <v>0</v>
      </c>
      <c r="K685" t="n">
        <v>0</v>
      </c>
      <c r="L685" t="n">
        <v>0</v>
      </c>
      <c r="M685" t="n">
        <v>0</v>
      </c>
      <c r="N685" t="n">
        <v>0</v>
      </c>
      <c r="O685" t="n">
        <v>0</v>
      </c>
      <c r="P685" t="n">
        <v>0</v>
      </c>
      <c r="Q685" t="n">
        <v>0</v>
      </c>
      <c r="R685" s="2" t="inlineStr"/>
    </row>
    <row r="686" ht="15" customHeight="1">
      <c r="A686" t="inlineStr">
        <is>
          <t>A 35779-2018</t>
        </is>
      </c>
      <c r="B686" s="1" t="n">
        <v>43326</v>
      </c>
      <c r="C686" s="1" t="n">
        <v>45190</v>
      </c>
      <c r="D686" t="inlineStr">
        <is>
          <t>KALMAR LÄN</t>
        </is>
      </c>
      <c r="E686" t="inlineStr">
        <is>
          <t>NYBRO</t>
        </is>
      </c>
      <c r="G686" t="n">
        <v>1.5</v>
      </c>
      <c r="H686" t="n">
        <v>0</v>
      </c>
      <c r="I686" t="n">
        <v>0</v>
      </c>
      <c r="J686" t="n">
        <v>0</v>
      </c>
      <c r="K686" t="n">
        <v>0</v>
      </c>
      <c r="L686" t="n">
        <v>0</v>
      </c>
      <c r="M686" t="n">
        <v>0</v>
      </c>
      <c r="N686" t="n">
        <v>0</v>
      </c>
      <c r="O686" t="n">
        <v>0</v>
      </c>
      <c r="P686" t="n">
        <v>0</v>
      </c>
      <c r="Q686" t="n">
        <v>0</v>
      </c>
      <c r="R686" s="2" t="inlineStr"/>
    </row>
    <row r="687" ht="15" customHeight="1">
      <c r="A687" t="inlineStr">
        <is>
          <t>A 35935-2018</t>
        </is>
      </c>
      <c r="B687" s="1" t="n">
        <v>43326</v>
      </c>
      <c r="C687" s="1" t="n">
        <v>45190</v>
      </c>
      <c r="D687" t="inlineStr">
        <is>
          <t>KALMAR LÄN</t>
        </is>
      </c>
      <c r="E687" t="inlineStr">
        <is>
          <t>NYBRO</t>
        </is>
      </c>
      <c r="G687" t="n">
        <v>1.9</v>
      </c>
      <c r="H687" t="n">
        <v>0</v>
      </c>
      <c r="I687" t="n">
        <v>0</v>
      </c>
      <c r="J687" t="n">
        <v>0</v>
      </c>
      <c r="K687" t="n">
        <v>0</v>
      </c>
      <c r="L687" t="n">
        <v>0</v>
      </c>
      <c r="M687" t="n">
        <v>0</v>
      </c>
      <c r="N687" t="n">
        <v>0</v>
      </c>
      <c r="O687" t="n">
        <v>0</v>
      </c>
      <c r="P687" t="n">
        <v>0</v>
      </c>
      <c r="Q687" t="n">
        <v>0</v>
      </c>
      <c r="R687" s="2" t="inlineStr"/>
    </row>
    <row r="688" ht="15" customHeight="1">
      <c r="A688" t="inlineStr">
        <is>
          <t>A 35754-2018</t>
        </is>
      </c>
      <c r="B688" s="1" t="n">
        <v>43326</v>
      </c>
      <c r="C688" s="1" t="n">
        <v>45190</v>
      </c>
      <c r="D688" t="inlineStr">
        <is>
          <t>KALMAR LÄN</t>
        </is>
      </c>
      <c r="E688" t="inlineStr">
        <is>
          <t>NYBRO</t>
        </is>
      </c>
      <c r="G688" t="n">
        <v>10</v>
      </c>
      <c r="H688" t="n">
        <v>0</v>
      </c>
      <c r="I688" t="n">
        <v>0</v>
      </c>
      <c r="J688" t="n">
        <v>0</v>
      </c>
      <c r="K688" t="n">
        <v>0</v>
      </c>
      <c r="L688" t="n">
        <v>0</v>
      </c>
      <c r="M688" t="n">
        <v>0</v>
      </c>
      <c r="N688" t="n">
        <v>0</v>
      </c>
      <c r="O688" t="n">
        <v>0</v>
      </c>
      <c r="P688" t="n">
        <v>0</v>
      </c>
      <c r="Q688" t="n">
        <v>0</v>
      </c>
      <c r="R688" s="2" t="inlineStr"/>
    </row>
    <row r="689" ht="15" customHeight="1">
      <c r="A689" t="inlineStr">
        <is>
          <t>A 35774-2018</t>
        </is>
      </c>
      <c r="B689" s="1" t="n">
        <v>43326</v>
      </c>
      <c r="C689" s="1" t="n">
        <v>45190</v>
      </c>
      <c r="D689" t="inlineStr">
        <is>
          <t>KALMAR LÄN</t>
        </is>
      </c>
      <c r="E689" t="inlineStr">
        <is>
          <t>NYBRO</t>
        </is>
      </c>
      <c r="G689" t="n">
        <v>1.2</v>
      </c>
      <c r="H689" t="n">
        <v>0</v>
      </c>
      <c r="I689" t="n">
        <v>0</v>
      </c>
      <c r="J689" t="n">
        <v>0</v>
      </c>
      <c r="K689" t="n">
        <v>0</v>
      </c>
      <c r="L689" t="n">
        <v>0</v>
      </c>
      <c r="M689" t="n">
        <v>0</v>
      </c>
      <c r="N689" t="n">
        <v>0</v>
      </c>
      <c r="O689" t="n">
        <v>0</v>
      </c>
      <c r="P689" t="n">
        <v>0</v>
      </c>
      <c r="Q689" t="n">
        <v>0</v>
      </c>
      <c r="R689" s="2" t="inlineStr"/>
    </row>
    <row r="690" ht="15" customHeight="1">
      <c r="A690" t="inlineStr">
        <is>
          <t>A 35791-2018</t>
        </is>
      </c>
      <c r="B690" s="1" t="n">
        <v>43326</v>
      </c>
      <c r="C690" s="1" t="n">
        <v>45190</v>
      </c>
      <c r="D690" t="inlineStr">
        <is>
          <t>KALMAR LÄN</t>
        </is>
      </c>
      <c r="E690" t="inlineStr">
        <is>
          <t>KALMAR</t>
        </is>
      </c>
      <c r="G690" t="n">
        <v>0.8</v>
      </c>
      <c r="H690" t="n">
        <v>0</v>
      </c>
      <c r="I690" t="n">
        <v>0</v>
      </c>
      <c r="J690" t="n">
        <v>0</v>
      </c>
      <c r="K690" t="n">
        <v>0</v>
      </c>
      <c r="L690" t="n">
        <v>0</v>
      </c>
      <c r="M690" t="n">
        <v>0</v>
      </c>
      <c r="N690" t="n">
        <v>0</v>
      </c>
      <c r="O690" t="n">
        <v>0</v>
      </c>
      <c r="P690" t="n">
        <v>0</v>
      </c>
      <c r="Q690" t="n">
        <v>0</v>
      </c>
      <c r="R690" s="2" t="inlineStr"/>
    </row>
    <row r="691" ht="15" customHeight="1">
      <c r="A691" t="inlineStr">
        <is>
          <t>A 35883-2018</t>
        </is>
      </c>
      <c r="B691" s="1" t="n">
        <v>43326</v>
      </c>
      <c r="C691" s="1" t="n">
        <v>45190</v>
      </c>
      <c r="D691" t="inlineStr">
        <is>
          <t>KALMAR LÄN</t>
        </is>
      </c>
      <c r="E691" t="inlineStr">
        <is>
          <t>TORSÅS</t>
        </is>
      </c>
      <c r="G691" t="n">
        <v>2.7</v>
      </c>
      <c r="H691" t="n">
        <v>0</v>
      </c>
      <c r="I691" t="n">
        <v>0</v>
      </c>
      <c r="J691" t="n">
        <v>0</v>
      </c>
      <c r="K691" t="n">
        <v>0</v>
      </c>
      <c r="L691" t="n">
        <v>0</v>
      </c>
      <c r="M691" t="n">
        <v>0</v>
      </c>
      <c r="N691" t="n">
        <v>0</v>
      </c>
      <c r="O691" t="n">
        <v>0</v>
      </c>
      <c r="P691" t="n">
        <v>0</v>
      </c>
      <c r="Q691" t="n">
        <v>0</v>
      </c>
      <c r="R691" s="2" t="inlineStr"/>
    </row>
    <row r="692" ht="15" customHeight="1">
      <c r="A692" t="inlineStr">
        <is>
          <t>A 35914-2018</t>
        </is>
      </c>
      <c r="B692" s="1" t="n">
        <v>43326</v>
      </c>
      <c r="C692" s="1" t="n">
        <v>45190</v>
      </c>
      <c r="D692" t="inlineStr">
        <is>
          <t>KALMAR LÄN</t>
        </is>
      </c>
      <c r="E692" t="inlineStr">
        <is>
          <t>NYBRO</t>
        </is>
      </c>
      <c r="G692" t="n">
        <v>0.9</v>
      </c>
      <c r="H692" t="n">
        <v>0</v>
      </c>
      <c r="I692" t="n">
        <v>0</v>
      </c>
      <c r="J692" t="n">
        <v>0</v>
      </c>
      <c r="K692" t="n">
        <v>0</v>
      </c>
      <c r="L692" t="n">
        <v>0</v>
      </c>
      <c r="M692" t="n">
        <v>0</v>
      </c>
      <c r="N692" t="n">
        <v>0</v>
      </c>
      <c r="O692" t="n">
        <v>0</v>
      </c>
      <c r="P692" t="n">
        <v>0</v>
      </c>
      <c r="Q692" t="n">
        <v>0</v>
      </c>
      <c r="R692" s="2" t="inlineStr"/>
    </row>
    <row r="693" ht="15" customHeight="1">
      <c r="A693" t="inlineStr">
        <is>
          <t>A 35984-2018</t>
        </is>
      </c>
      <c r="B693" s="1" t="n">
        <v>43326</v>
      </c>
      <c r="C693" s="1" t="n">
        <v>45190</v>
      </c>
      <c r="D693" t="inlineStr">
        <is>
          <t>KALMAR LÄN</t>
        </is>
      </c>
      <c r="E693" t="inlineStr">
        <is>
          <t>TORSÅS</t>
        </is>
      </c>
      <c r="G693" t="n">
        <v>5.2</v>
      </c>
      <c r="H693" t="n">
        <v>0</v>
      </c>
      <c r="I693" t="n">
        <v>0</v>
      </c>
      <c r="J693" t="n">
        <v>0</v>
      </c>
      <c r="K693" t="n">
        <v>0</v>
      </c>
      <c r="L693" t="n">
        <v>0</v>
      </c>
      <c r="M693" t="n">
        <v>0</v>
      </c>
      <c r="N693" t="n">
        <v>0</v>
      </c>
      <c r="O693" t="n">
        <v>0</v>
      </c>
      <c r="P693" t="n">
        <v>0</v>
      </c>
      <c r="Q693" t="n">
        <v>0</v>
      </c>
      <c r="R693" s="2" t="inlineStr"/>
    </row>
    <row r="694" ht="15" customHeight="1">
      <c r="A694" t="inlineStr">
        <is>
          <t>A 36055-2018</t>
        </is>
      </c>
      <c r="B694" s="1" t="n">
        <v>43326</v>
      </c>
      <c r="C694" s="1" t="n">
        <v>45190</v>
      </c>
      <c r="D694" t="inlineStr">
        <is>
          <t>KALMAR LÄN</t>
        </is>
      </c>
      <c r="E694" t="inlineStr">
        <is>
          <t>HÖGSBY</t>
        </is>
      </c>
      <c r="G694" t="n">
        <v>4.5</v>
      </c>
      <c r="H694" t="n">
        <v>0</v>
      </c>
      <c r="I694" t="n">
        <v>0</v>
      </c>
      <c r="J694" t="n">
        <v>0</v>
      </c>
      <c r="K694" t="n">
        <v>0</v>
      </c>
      <c r="L694" t="n">
        <v>0</v>
      </c>
      <c r="M694" t="n">
        <v>0</v>
      </c>
      <c r="N694" t="n">
        <v>0</v>
      </c>
      <c r="O694" t="n">
        <v>0</v>
      </c>
      <c r="P694" t="n">
        <v>0</v>
      </c>
      <c r="Q694" t="n">
        <v>0</v>
      </c>
      <c r="R694" s="2" t="inlineStr"/>
    </row>
    <row r="695" ht="15" customHeight="1">
      <c r="A695" t="inlineStr">
        <is>
          <t>A 36040-2018</t>
        </is>
      </c>
      <c r="B695" s="1" t="n">
        <v>43327</v>
      </c>
      <c r="C695" s="1" t="n">
        <v>45190</v>
      </c>
      <c r="D695" t="inlineStr">
        <is>
          <t>KALMAR LÄN</t>
        </is>
      </c>
      <c r="E695" t="inlineStr">
        <is>
          <t>VIMMERBY</t>
        </is>
      </c>
      <c r="F695" t="inlineStr">
        <is>
          <t>Kyrkan</t>
        </is>
      </c>
      <c r="G695" t="n">
        <v>2.1</v>
      </c>
      <c r="H695" t="n">
        <v>0</v>
      </c>
      <c r="I695" t="n">
        <v>0</v>
      </c>
      <c r="J695" t="n">
        <v>0</v>
      </c>
      <c r="K695" t="n">
        <v>0</v>
      </c>
      <c r="L695" t="n">
        <v>0</v>
      </c>
      <c r="M695" t="n">
        <v>0</v>
      </c>
      <c r="N695" t="n">
        <v>0</v>
      </c>
      <c r="O695" t="n">
        <v>0</v>
      </c>
      <c r="P695" t="n">
        <v>0</v>
      </c>
      <c r="Q695" t="n">
        <v>0</v>
      </c>
      <c r="R695" s="2" t="inlineStr"/>
    </row>
    <row r="696" ht="15" customHeight="1">
      <c r="A696" t="inlineStr">
        <is>
          <t>A 36047-2018</t>
        </is>
      </c>
      <c r="B696" s="1" t="n">
        <v>43327</v>
      </c>
      <c r="C696" s="1" t="n">
        <v>45190</v>
      </c>
      <c r="D696" t="inlineStr">
        <is>
          <t>KALMAR LÄN</t>
        </is>
      </c>
      <c r="E696" t="inlineStr">
        <is>
          <t>VIMMERBY</t>
        </is>
      </c>
      <c r="F696" t="inlineStr">
        <is>
          <t>Kyrkan</t>
        </is>
      </c>
      <c r="G696" t="n">
        <v>1.3</v>
      </c>
      <c r="H696" t="n">
        <v>0</v>
      </c>
      <c r="I696" t="n">
        <v>0</v>
      </c>
      <c r="J696" t="n">
        <v>0</v>
      </c>
      <c r="K696" t="n">
        <v>0</v>
      </c>
      <c r="L696" t="n">
        <v>0</v>
      </c>
      <c r="M696" t="n">
        <v>0</v>
      </c>
      <c r="N696" t="n">
        <v>0</v>
      </c>
      <c r="O696" t="n">
        <v>0</v>
      </c>
      <c r="P696" t="n">
        <v>0</v>
      </c>
      <c r="Q696" t="n">
        <v>0</v>
      </c>
      <c r="R696" s="2" t="inlineStr"/>
    </row>
    <row r="697" ht="15" customHeight="1">
      <c r="A697" t="inlineStr">
        <is>
          <t>A 36148-2018</t>
        </is>
      </c>
      <c r="B697" s="1" t="n">
        <v>43327</v>
      </c>
      <c r="C697" s="1" t="n">
        <v>45190</v>
      </c>
      <c r="D697" t="inlineStr">
        <is>
          <t>KALMAR LÄN</t>
        </is>
      </c>
      <c r="E697" t="inlineStr">
        <is>
          <t>NYBRO</t>
        </is>
      </c>
      <c r="G697" t="n">
        <v>1.2</v>
      </c>
      <c r="H697" t="n">
        <v>0</v>
      </c>
      <c r="I697" t="n">
        <v>0</v>
      </c>
      <c r="J697" t="n">
        <v>0</v>
      </c>
      <c r="K697" t="n">
        <v>0</v>
      </c>
      <c r="L697" t="n">
        <v>0</v>
      </c>
      <c r="M697" t="n">
        <v>0</v>
      </c>
      <c r="N697" t="n">
        <v>0</v>
      </c>
      <c r="O697" t="n">
        <v>0</v>
      </c>
      <c r="P697" t="n">
        <v>0</v>
      </c>
      <c r="Q697" t="n">
        <v>0</v>
      </c>
      <c r="R697" s="2" t="inlineStr"/>
    </row>
    <row r="698" ht="15" customHeight="1">
      <c r="A698" t="inlineStr">
        <is>
          <t>A 36058-2018</t>
        </is>
      </c>
      <c r="B698" s="1" t="n">
        <v>43327</v>
      </c>
      <c r="C698" s="1" t="n">
        <v>45190</v>
      </c>
      <c r="D698" t="inlineStr">
        <is>
          <t>KALMAR LÄN</t>
        </is>
      </c>
      <c r="E698" t="inlineStr">
        <is>
          <t>VIMMERBY</t>
        </is>
      </c>
      <c r="G698" t="n">
        <v>1.4</v>
      </c>
      <c r="H698" t="n">
        <v>0</v>
      </c>
      <c r="I698" t="n">
        <v>0</v>
      </c>
      <c r="J698" t="n">
        <v>0</v>
      </c>
      <c r="K698" t="n">
        <v>0</v>
      </c>
      <c r="L698" t="n">
        <v>0</v>
      </c>
      <c r="M698" t="n">
        <v>0</v>
      </c>
      <c r="N698" t="n">
        <v>0</v>
      </c>
      <c r="O698" t="n">
        <v>0</v>
      </c>
      <c r="P698" t="n">
        <v>0</v>
      </c>
      <c r="Q698" t="n">
        <v>0</v>
      </c>
      <c r="R698" s="2" t="inlineStr"/>
    </row>
    <row r="699" ht="15" customHeight="1">
      <c r="A699" t="inlineStr">
        <is>
          <t>A 36030-2018</t>
        </is>
      </c>
      <c r="B699" s="1" t="n">
        <v>43327</v>
      </c>
      <c r="C699" s="1" t="n">
        <v>45190</v>
      </c>
      <c r="D699" t="inlineStr">
        <is>
          <t>KALMAR LÄN</t>
        </is>
      </c>
      <c r="E699" t="inlineStr">
        <is>
          <t>VIMMERBY</t>
        </is>
      </c>
      <c r="F699" t="inlineStr">
        <is>
          <t>Kyrkan</t>
        </is>
      </c>
      <c r="G699" t="n">
        <v>0.7</v>
      </c>
      <c r="H699" t="n">
        <v>0</v>
      </c>
      <c r="I699" t="n">
        <v>0</v>
      </c>
      <c r="J699" t="n">
        <v>0</v>
      </c>
      <c r="K699" t="n">
        <v>0</v>
      </c>
      <c r="L699" t="n">
        <v>0</v>
      </c>
      <c r="M699" t="n">
        <v>0</v>
      </c>
      <c r="N699" t="n">
        <v>0</v>
      </c>
      <c r="O699" t="n">
        <v>0</v>
      </c>
      <c r="P699" t="n">
        <v>0</v>
      </c>
      <c r="Q699" t="n">
        <v>0</v>
      </c>
      <c r="R699" s="2" t="inlineStr"/>
    </row>
    <row r="700" ht="15" customHeight="1">
      <c r="A700" t="inlineStr">
        <is>
          <t>A 36060-2018</t>
        </is>
      </c>
      <c r="B700" s="1" t="n">
        <v>43327</v>
      </c>
      <c r="C700" s="1" t="n">
        <v>45190</v>
      </c>
      <c r="D700" t="inlineStr">
        <is>
          <t>KALMAR LÄN</t>
        </is>
      </c>
      <c r="E700" t="inlineStr">
        <is>
          <t>VIMMERBY</t>
        </is>
      </c>
      <c r="G700" t="n">
        <v>2.1</v>
      </c>
      <c r="H700" t="n">
        <v>0</v>
      </c>
      <c r="I700" t="n">
        <v>0</v>
      </c>
      <c r="J700" t="n">
        <v>0</v>
      </c>
      <c r="K700" t="n">
        <v>0</v>
      </c>
      <c r="L700" t="n">
        <v>0</v>
      </c>
      <c r="M700" t="n">
        <v>0</v>
      </c>
      <c r="N700" t="n">
        <v>0</v>
      </c>
      <c r="O700" t="n">
        <v>0</v>
      </c>
      <c r="P700" t="n">
        <v>0</v>
      </c>
      <c r="Q700" t="n">
        <v>0</v>
      </c>
      <c r="R700" s="2" t="inlineStr"/>
    </row>
    <row r="701" ht="15" customHeight="1">
      <c r="A701" t="inlineStr">
        <is>
          <t>A 36370-2018</t>
        </is>
      </c>
      <c r="B701" s="1" t="n">
        <v>43328</v>
      </c>
      <c r="C701" s="1" t="n">
        <v>45190</v>
      </c>
      <c r="D701" t="inlineStr">
        <is>
          <t>KALMAR LÄN</t>
        </is>
      </c>
      <c r="E701" t="inlineStr">
        <is>
          <t>HULTSFRED</t>
        </is>
      </c>
      <c r="G701" t="n">
        <v>2.1</v>
      </c>
      <c r="H701" t="n">
        <v>0</v>
      </c>
      <c r="I701" t="n">
        <v>0</v>
      </c>
      <c r="J701" t="n">
        <v>0</v>
      </c>
      <c r="K701" t="n">
        <v>0</v>
      </c>
      <c r="L701" t="n">
        <v>0</v>
      </c>
      <c r="M701" t="n">
        <v>0</v>
      </c>
      <c r="N701" t="n">
        <v>0</v>
      </c>
      <c r="O701" t="n">
        <v>0</v>
      </c>
      <c r="P701" t="n">
        <v>0</v>
      </c>
      <c r="Q701" t="n">
        <v>0</v>
      </c>
      <c r="R701" s="2" t="inlineStr"/>
    </row>
    <row r="702" ht="15" customHeight="1">
      <c r="A702" t="inlineStr">
        <is>
          <t>A 36185-2018</t>
        </is>
      </c>
      <c r="B702" s="1" t="n">
        <v>43328</v>
      </c>
      <c r="C702" s="1" t="n">
        <v>45190</v>
      </c>
      <c r="D702" t="inlineStr">
        <is>
          <t>KALMAR LÄN</t>
        </is>
      </c>
      <c r="E702" t="inlineStr">
        <is>
          <t>NYBRO</t>
        </is>
      </c>
      <c r="G702" t="n">
        <v>1.5</v>
      </c>
      <c r="H702" t="n">
        <v>0</v>
      </c>
      <c r="I702" t="n">
        <v>0</v>
      </c>
      <c r="J702" t="n">
        <v>0</v>
      </c>
      <c r="K702" t="n">
        <v>0</v>
      </c>
      <c r="L702" t="n">
        <v>0</v>
      </c>
      <c r="M702" t="n">
        <v>0</v>
      </c>
      <c r="N702" t="n">
        <v>0</v>
      </c>
      <c r="O702" t="n">
        <v>0</v>
      </c>
      <c r="P702" t="n">
        <v>0</v>
      </c>
      <c r="Q702" t="n">
        <v>0</v>
      </c>
      <c r="R702" s="2" t="inlineStr"/>
    </row>
    <row r="703" ht="15" customHeight="1">
      <c r="A703" t="inlineStr">
        <is>
          <t>A 36575-2018</t>
        </is>
      </c>
      <c r="B703" s="1" t="n">
        <v>43329</v>
      </c>
      <c r="C703" s="1" t="n">
        <v>45190</v>
      </c>
      <c r="D703" t="inlineStr">
        <is>
          <t>KALMAR LÄN</t>
        </is>
      </c>
      <c r="E703" t="inlineStr">
        <is>
          <t>HULTSFRED</t>
        </is>
      </c>
      <c r="G703" t="n">
        <v>1</v>
      </c>
      <c r="H703" t="n">
        <v>0</v>
      </c>
      <c r="I703" t="n">
        <v>0</v>
      </c>
      <c r="J703" t="n">
        <v>0</v>
      </c>
      <c r="K703" t="n">
        <v>0</v>
      </c>
      <c r="L703" t="n">
        <v>0</v>
      </c>
      <c r="M703" t="n">
        <v>0</v>
      </c>
      <c r="N703" t="n">
        <v>0</v>
      </c>
      <c r="O703" t="n">
        <v>0</v>
      </c>
      <c r="P703" t="n">
        <v>0</v>
      </c>
      <c r="Q703" t="n">
        <v>0</v>
      </c>
      <c r="R703" s="2" t="inlineStr"/>
    </row>
    <row r="704" ht="15" customHeight="1">
      <c r="A704" t="inlineStr">
        <is>
          <t>A 36933-2018</t>
        </is>
      </c>
      <c r="B704" s="1" t="n">
        <v>43332</v>
      </c>
      <c r="C704" s="1" t="n">
        <v>45190</v>
      </c>
      <c r="D704" t="inlineStr">
        <is>
          <t>KALMAR LÄN</t>
        </is>
      </c>
      <c r="E704" t="inlineStr">
        <is>
          <t>VIMMERBY</t>
        </is>
      </c>
      <c r="G704" t="n">
        <v>0.9</v>
      </c>
      <c r="H704" t="n">
        <v>0</v>
      </c>
      <c r="I704" t="n">
        <v>0</v>
      </c>
      <c r="J704" t="n">
        <v>0</v>
      </c>
      <c r="K704" t="n">
        <v>0</v>
      </c>
      <c r="L704" t="n">
        <v>0</v>
      </c>
      <c r="M704" t="n">
        <v>0</v>
      </c>
      <c r="N704" t="n">
        <v>0</v>
      </c>
      <c r="O704" t="n">
        <v>0</v>
      </c>
      <c r="P704" t="n">
        <v>0</v>
      </c>
      <c r="Q704" t="n">
        <v>0</v>
      </c>
      <c r="R704" s="2" t="inlineStr"/>
    </row>
    <row r="705" ht="15" customHeight="1">
      <c r="A705" t="inlineStr">
        <is>
          <t>A 36824-2018</t>
        </is>
      </c>
      <c r="B705" s="1" t="n">
        <v>43332</v>
      </c>
      <c r="C705" s="1" t="n">
        <v>45190</v>
      </c>
      <c r="D705" t="inlineStr">
        <is>
          <t>KALMAR LÄN</t>
        </is>
      </c>
      <c r="E705" t="inlineStr">
        <is>
          <t>TORSÅS</t>
        </is>
      </c>
      <c r="F705" t="inlineStr">
        <is>
          <t>Övriga Aktiebolag</t>
        </is>
      </c>
      <c r="G705" t="n">
        <v>13.4</v>
      </c>
      <c r="H705" t="n">
        <v>0</v>
      </c>
      <c r="I705" t="n">
        <v>0</v>
      </c>
      <c r="J705" t="n">
        <v>0</v>
      </c>
      <c r="K705" t="n">
        <v>0</v>
      </c>
      <c r="L705" t="n">
        <v>0</v>
      </c>
      <c r="M705" t="n">
        <v>0</v>
      </c>
      <c r="N705" t="n">
        <v>0</v>
      </c>
      <c r="O705" t="n">
        <v>0</v>
      </c>
      <c r="P705" t="n">
        <v>0</v>
      </c>
      <c r="Q705" t="n">
        <v>0</v>
      </c>
      <c r="R705" s="2" t="inlineStr"/>
    </row>
    <row r="706" ht="15" customHeight="1">
      <c r="A706" t="inlineStr">
        <is>
          <t>A 37138-2018</t>
        </is>
      </c>
      <c r="B706" s="1" t="n">
        <v>43333</v>
      </c>
      <c r="C706" s="1" t="n">
        <v>45190</v>
      </c>
      <c r="D706" t="inlineStr">
        <is>
          <t>KALMAR LÄN</t>
        </is>
      </c>
      <c r="E706" t="inlineStr">
        <is>
          <t>HÖGSBY</t>
        </is>
      </c>
      <c r="G706" t="n">
        <v>7.1</v>
      </c>
      <c r="H706" t="n">
        <v>0</v>
      </c>
      <c r="I706" t="n">
        <v>0</v>
      </c>
      <c r="J706" t="n">
        <v>0</v>
      </c>
      <c r="K706" t="n">
        <v>0</v>
      </c>
      <c r="L706" t="n">
        <v>0</v>
      </c>
      <c r="M706" t="n">
        <v>0</v>
      </c>
      <c r="N706" t="n">
        <v>0</v>
      </c>
      <c r="O706" t="n">
        <v>0</v>
      </c>
      <c r="P706" t="n">
        <v>0</v>
      </c>
      <c r="Q706" t="n">
        <v>0</v>
      </c>
      <c r="R706" s="2" t="inlineStr"/>
    </row>
    <row r="707" ht="15" customHeight="1">
      <c r="A707" t="inlineStr">
        <is>
          <t>A 37326-2018</t>
        </is>
      </c>
      <c r="B707" s="1" t="n">
        <v>43333</v>
      </c>
      <c r="C707" s="1" t="n">
        <v>45190</v>
      </c>
      <c r="D707" t="inlineStr">
        <is>
          <t>KALMAR LÄN</t>
        </is>
      </c>
      <c r="E707" t="inlineStr">
        <is>
          <t>NYBRO</t>
        </is>
      </c>
      <c r="G707" t="n">
        <v>1.2</v>
      </c>
      <c r="H707" t="n">
        <v>0</v>
      </c>
      <c r="I707" t="n">
        <v>0</v>
      </c>
      <c r="J707" t="n">
        <v>0</v>
      </c>
      <c r="K707" t="n">
        <v>0</v>
      </c>
      <c r="L707" t="n">
        <v>0</v>
      </c>
      <c r="M707" t="n">
        <v>0</v>
      </c>
      <c r="N707" t="n">
        <v>0</v>
      </c>
      <c r="O707" t="n">
        <v>0</v>
      </c>
      <c r="P707" t="n">
        <v>0</v>
      </c>
      <c r="Q707" t="n">
        <v>0</v>
      </c>
      <c r="R707" s="2" t="inlineStr"/>
    </row>
    <row r="708" ht="15" customHeight="1">
      <c r="A708" t="inlineStr">
        <is>
          <t>A 37140-2018</t>
        </is>
      </c>
      <c r="B708" s="1" t="n">
        <v>43333</v>
      </c>
      <c r="C708" s="1" t="n">
        <v>45190</v>
      </c>
      <c r="D708" t="inlineStr">
        <is>
          <t>KALMAR LÄN</t>
        </is>
      </c>
      <c r="E708" t="inlineStr">
        <is>
          <t>HÖGSBY</t>
        </is>
      </c>
      <c r="G708" t="n">
        <v>5</v>
      </c>
      <c r="H708" t="n">
        <v>0</v>
      </c>
      <c r="I708" t="n">
        <v>0</v>
      </c>
      <c r="J708" t="n">
        <v>0</v>
      </c>
      <c r="K708" t="n">
        <v>0</v>
      </c>
      <c r="L708" t="n">
        <v>0</v>
      </c>
      <c r="M708" t="n">
        <v>0</v>
      </c>
      <c r="N708" t="n">
        <v>0</v>
      </c>
      <c r="O708" t="n">
        <v>0</v>
      </c>
      <c r="P708" t="n">
        <v>0</v>
      </c>
      <c r="Q708" t="n">
        <v>0</v>
      </c>
      <c r="R708" s="2" t="inlineStr"/>
    </row>
    <row r="709" ht="15" customHeight="1">
      <c r="A709" t="inlineStr">
        <is>
          <t>A 37336-2018</t>
        </is>
      </c>
      <c r="B709" s="1" t="n">
        <v>43333</v>
      </c>
      <c r="C709" s="1" t="n">
        <v>45190</v>
      </c>
      <c r="D709" t="inlineStr">
        <is>
          <t>KALMAR LÄN</t>
        </is>
      </c>
      <c r="E709" t="inlineStr">
        <is>
          <t>NYBRO</t>
        </is>
      </c>
      <c r="G709" t="n">
        <v>5.7</v>
      </c>
      <c r="H709" t="n">
        <v>0</v>
      </c>
      <c r="I709" t="n">
        <v>0</v>
      </c>
      <c r="J709" t="n">
        <v>0</v>
      </c>
      <c r="K709" t="n">
        <v>0</v>
      </c>
      <c r="L709" t="n">
        <v>0</v>
      </c>
      <c r="M709" t="n">
        <v>0</v>
      </c>
      <c r="N709" t="n">
        <v>0</v>
      </c>
      <c r="O709" t="n">
        <v>0</v>
      </c>
      <c r="P709" t="n">
        <v>0</v>
      </c>
      <c r="Q709" t="n">
        <v>0</v>
      </c>
      <c r="R709" s="2" t="inlineStr"/>
    </row>
    <row r="710" ht="15" customHeight="1">
      <c r="A710" t="inlineStr">
        <is>
          <t>A 37364-2018</t>
        </is>
      </c>
      <c r="B710" s="1" t="n">
        <v>43333</v>
      </c>
      <c r="C710" s="1" t="n">
        <v>45190</v>
      </c>
      <c r="D710" t="inlineStr">
        <is>
          <t>KALMAR LÄN</t>
        </is>
      </c>
      <c r="E710" t="inlineStr">
        <is>
          <t>HÖGSBY</t>
        </is>
      </c>
      <c r="G710" t="n">
        <v>1.2</v>
      </c>
      <c r="H710" t="n">
        <v>0</v>
      </c>
      <c r="I710" t="n">
        <v>0</v>
      </c>
      <c r="J710" t="n">
        <v>0</v>
      </c>
      <c r="K710" t="n">
        <v>0</v>
      </c>
      <c r="L710" t="n">
        <v>0</v>
      </c>
      <c r="M710" t="n">
        <v>0</v>
      </c>
      <c r="N710" t="n">
        <v>0</v>
      </c>
      <c r="O710" t="n">
        <v>0</v>
      </c>
      <c r="P710" t="n">
        <v>0</v>
      </c>
      <c r="Q710" t="n">
        <v>0</v>
      </c>
      <c r="R710" s="2" t="inlineStr"/>
    </row>
    <row r="711" ht="15" customHeight="1">
      <c r="A711" t="inlineStr">
        <is>
          <t>A 37590-2018</t>
        </is>
      </c>
      <c r="B711" s="1" t="n">
        <v>43334</v>
      </c>
      <c r="C711" s="1" t="n">
        <v>45190</v>
      </c>
      <c r="D711" t="inlineStr">
        <is>
          <t>KALMAR LÄN</t>
        </is>
      </c>
      <c r="E711" t="inlineStr">
        <is>
          <t>VÄSTERVIK</t>
        </is>
      </c>
      <c r="G711" t="n">
        <v>0.3</v>
      </c>
      <c r="H711" t="n">
        <v>0</v>
      </c>
      <c r="I711" t="n">
        <v>0</v>
      </c>
      <c r="J711" t="n">
        <v>0</v>
      </c>
      <c r="K711" t="n">
        <v>0</v>
      </c>
      <c r="L711" t="n">
        <v>0</v>
      </c>
      <c r="M711" t="n">
        <v>0</v>
      </c>
      <c r="N711" t="n">
        <v>0</v>
      </c>
      <c r="O711" t="n">
        <v>0</v>
      </c>
      <c r="P711" t="n">
        <v>0</v>
      </c>
      <c r="Q711" t="n">
        <v>0</v>
      </c>
      <c r="R711" s="2" t="inlineStr"/>
    </row>
    <row r="712" ht="15" customHeight="1">
      <c r="A712" t="inlineStr">
        <is>
          <t>A 37626-2018</t>
        </is>
      </c>
      <c r="B712" s="1" t="n">
        <v>43334</v>
      </c>
      <c r="C712" s="1" t="n">
        <v>45190</v>
      </c>
      <c r="D712" t="inlineStr">
        <is>
          <t>KALMAR LÄN</t>
        </is>
      </c>
      <c r="E712" t="inlineStr">
        <is>
          <t>VÄSTERVIK</t>
        </is>
      </c>
      <c r="G712" t="n">
        <v>1.8</v>
      </c>
      <c r="H712" t="n">
        <v>0</v>
      </c>
      <c r="I712" t="n">
        <v>0</v>
      </c>
      <c r="J712" t="n">
        <v>0</v>
      </c>
      <c r="K712" t="n">
        <v>0</v>
      </c>
      <c r="L712" t="n">
        <v>0</v>
      </c>
      <c r="M712" t="n">
        <v>0</v>
      </c>
      <c r="N712" t="n">
        <v>0</v>
      </c>
      <c r="O712" t="n">
        <v>0</v>
      </c>
      <c r="P712" t="n">
        <v>0</v>
      </c>
      <c r="Q712" t="n">
        <v>0</v>
      </c>
      <c r="R712" s="2" t="inlineStr"/>
    </row>
    <row r="713" ht="15" customHeight="1">
      <c r="A713" t="inlineStr">
        <is>
          <t>A 37566-2018</t>
        </is>
      </c>
      <c r="B713" s="1" t="n">
        <v>43334</v>
      </c>
      <c r="C713" s="1" t="n">
        <v>45190</v>
      </c>
      <c r="D713" t="inlineStr">
        <is>
          <t>KALMAR LÄN</t>
        </is>
      </c>
      <c r="E713" t="inlineStr">
        <is>
          <t>VÄSTERVIK</t>
        </is>
      </c>
      <c r="G713" t="n">
        <v>2.5</v>
      </c>
      <c r="H713" t="n">
        <v>0</v>
      </c>
      <c r="I713" t="n">
        <v>0</v>
      </c>
      <c r="J713" t="n">
        <v>0</v>
      </c>
      <c r="K713" t="n">
        <v>0</v>
      </c>
      <c r="L713" t="n">
        <v>0</v>
      </c>
      <c r="M713" t="n">
        <v>0</v>
      </c>
      <c r="N713" t="n">
        <v>0</v>
      </c>
      <c r="O713" t="n">
        <v>0</v>
      </c>
      <c r="P713" t="n">
        <v>0</v>
      </c>
      <c r="Q713" t="n">
        <v>0</v>
      </c>
      <c r="R713" s="2" t="inlineStr"/>
      <c r="U713">
        <f>HYPERLINK("https://klasma.github.io/Logging_VASTERVIK/knärot/A 37566-2018.png", "A 37566-2018")</f>
        <v/>
      </c>
      <c r="V713">
        <f>HYPERLINK("https://klasma.github.io/Logging_VASTERVIK/klagomål/A 37566-2018.docx", "A 37566-2018")</f>
        <v/>
      </c>
      <c r="W713">
        <f>HYPERLINK("https://klasma.github.io/Logging_VASTERVIK/klagomålsmail/A 37566-2018.docx", "A 37566-2018")</f>
        <v/>
      </c>
      <c r="X713">
        <f>HYPERLINK("https://klasma.github.io/Logging_VASTERVIK/tillsyn/A 37566-2018.docx", "A 37566-2018")</f>
        <v/>
      </c>
      <c r="Y713">
        <f>HYPERLINK("https://klasma.github.io/Logging_VASTERVIK/tillsynsmail/A 37566-2018.docx", "A 37566-2018")</f>
        <v/>
      </c>
    </row>
    <row r="714" ht="15" customHeight="1">
      <c r="A714" t="inlineStr">
        <is>
          <t>A 37595-2018</t>
        </is>
      </c>
      <c r="B714" s="1" t="n">
        <v>43334</v>
      </c>
      <c r="C714" s="1" t="n">
        <v>45190</v>
      </c>
      <c r="D714" t="inlineStr">
        <is>
          <t>KALMAR LÄN</t>
        </is>
      </c>
      <c r="E714" t="inlineStr">
        <is>
          <t>VÄSTERVIK</t>
        </is>
      </c>
      <c r="G714" t="n">
        <v>4</v>
      </c>
      <c r="H714" t="n">
        <v>0</v>
      </c>
      <c r="I714" t="n">
        <v>0</v>
      </c>
      <c r="J714" t="n">
        <v>0</v>
      </c>
      <c r="K714" t="n">
        <v>0</v>
      </c>
      <c r="L714" t="n">
        <v>0</v>
      </c>
      <c r="M714" t="n">
        <v>0</v>
      </c>
      <c r="N714" t="n">
        <v>0</v>
      </c>
      <c r="O714" t="n">
        <v>0</v>
      </c>
      <c r="P714" t="n">
        <v>0</v>
      </c>
      <c r="Q714" t="n">
        <v>0</v>
      </c>
      <c r="R714" s="2" t="inlineStr"/>
    </row>
    <row r="715" ht="15" customHeight="1">
      <c r="A715" t="inlineStr">
        <is>
          <t>A 37684-2018</t>
        </is>
      </c>
      <c r="B715" s="1" t="n">
        <v>43335</v>
      </c>
      <c r="C715" s="1" t="n">
        <v>45190</v>
      </c>
      <c r="D715" t="inlineStr">
        <is>
          <t>KALMAR LÄN</t>
        </is>
      </c>
      <c r="E715" t="inlineStr">
        <is>
          <t>OSKARSHAMN</t>
        </is>
      </c>
      <c r="G715" t="n">
        <v>0.6</v>
      </c>
      <c r="H715" t="n">
        <v>0</v>
      </c>
      <c r="I715" t="n">
        <v>0</v>
      </c>
      <c r="J715" t="n">
        <v>0</v>
      </c>
      <c r="K715" t="n">
        <v>0</v>
      </c>
      <c r="L715" t="n">
        <v>0</v>
      </c>
      <c r="M715" t="n">
        <v>0</v>
      </c>
      <c r="N715" t="n">
        <v>0</v>
      </c>
      <c r="O715" t="n">
        <v>0</v>
      </c>
      <c r="P715" t="n">
        <v>0</v>
      </c>
      <c r="Q715" t="n">
        <v>0</v>
      </c>
      <c r="R715" s="2" t="inlineStr"/>
    </row>
    <row r="716" ht="15" customHeight="1">
      <c r="A716" t="inlineStr">
        <is>
          <t>A 37850-2018</t>
        </is>
      </c>
      <c r="B716" s="1" t="n">
        <v>43335</v>
      </c>
      <c r="C716" s="1" t="n">
        <v>45190</v>
      </c>
      <c r="D716" t="inlineStr">
        <is>
          <t>KALMAR LÄN</t>
        </is>
      </c>
      <c r="E716" t="inlineStr">
        <is>
          <t>OSKARSHAMN</t>
        </is>
      </c>
      <c r="G716" t="n">
        <v>3.2</v>
      </c>
      <c r="H716" t="n">
        <v>0</v>
      </c>
      <c r="I716" t="n">
        <v>0</v>
      </c>
      <c r="J716" t="n">
        <v>0</v>
      </c>
      <c r="K716" t="n">
        <v>0</v>
      </c>
      <c r="L716" t="n">
        <v>0</v>
      </c>
      <c r="M716" t="n">
        <v>0</v>
      </c>
      <c r="N716" t="n">
        <v>0</v>
      </c>
      <c r="O716" t="n">
        <v>0</v>
      </c>
      <c r="P716" t="n">
        <v>0</v>
      </c>
      <c r="Q716" t="n">
        <v>0</v>
      </c>
      <c r="R716" s="2" t="inlineStr"/>
    </row>
    <row r="717" ht="15" customHeight="1">
      <c r="A717" t="inlineStr">
        <is>
          <t>A 37849-2018</t>
        </is>
      </c>
      <c r="B717" s="1" t="n">
        <v>43335</v>
      </c>
      <c r="C717" s="1" t="n">
        <v>45190</v>
      </c>
      <c r="D717" t="inlineStr">
        <is>
          <t>KALMAR LÄN</t>
        </is>
      </c>
      <c r="E717" t="inlineStr">
        <is>
          <t>OSKARSHAMN</t>
        </is>
      </c>
      <c r="G717" t="n">
        <v>9</v>
      </c>
      <c r="H717" t="n">
        <v>0</v>
      </c>
      <c r="I717" t="n">
        <v>0</v>
      </c>
      <c r="J717" t="n">
        <v>0</v>
      </c>
      <c r="K717" t="n">
        <v>0</v>
      </c>
      <c r="L717" t="n">
        <v>0</v>
      </c>
      <c r="M717" t="n">
        <v>0</v>
      </c>
      <c r="N717" t="n">
        <v>0</v>
      </c>
      <c r="O717" t="n">
        <v>0</v>
      </c>
      <c r="P717" t="n">
        <v>0</v>
      </c>
      <c r="Q717" t="n">
        <v>0</v>
      </c>
      <c r="R717" s="2" t="inlineStr"/>
    </row>
    <row r="718" ht="15" customHeight="1">
      <c r="A718" t="inlineStr">
        <is>
          <t>A 38357-2018</t>
        </is>
      </c>
      <c r="B718" s="1" t="n">
        <v>43336</v>
      </c>
      <c r="C718" s="1" t="n">
        <v>45190</v>
      </c>
      <c r="D718" t="inlineStr">
        <is>
          <t>KALMAR LÄN</t>
        </is>
      </c>
      <c r="E718" t="inlineStr">
        <is>
          <t>HULTSFRED</t>
        </is>
      </c>
      <c r="G718" t="n">
        <v>2.8</v>
      </c>
      <c r="H718" t="n">
        <v>0</v>
      </c>
      <c r="I718" t="n">
        <v>0</v>
      </c>
      <c r="J718" t="n">
        <v>0</v>
      </c>
      <c r="K718" t="n">
        <v>0</v>
      </c>
      <c r="L718" t="n">
        <v>0</v>
      </c>
      <c r="M718" t="n">
        <v>0</v>
      </c>
      <c r="N718" t="n">
        <v>0</v>
      </c>
      <c r="O718" t="n">
        <v>0</v>
      </c>
      <c r="P718" t="n">
        <v>0</v>
      </c>
      <c r="Q718" t="n">
        <v>0</v>
      </c>
      <c r="R718" s="2" t="inlineStr"/>
    </row>
    <row r="719" ht="15" customHeight="1">
      <c r="A719" t="inlineStr">
        <is>
          <t>A 38264-2018</t>
        </is>
      </c>
      <c r="B719" s="1" t="n">
        <v>43339</v>
      </c>
      <c r="C719" s="1" t="n">
        <v>45190</v>
      </c>
      <c r="D719" t="inlineStr">
        <is>
          <t>KALMAR LÄN</t>
        </is>
      </c>
      <c r="E719" t="inlineStr">
        <is>
          <t>TORSÅS</t>
        </is>
      </c>
      <c r="G719" t="n">
        <v>2.1</v>
      </c>
      <c r="H719" t="n">
        <v>0</v>
      </c>
      <c r="I719" t="n">
        <v>0</v>
      </c>
      <c r="J719" t="n">
        <v>0</v>
      </c>
      <c r="K719" t="n">
        <v>0</v>
      </c>
      <c r="L719" t="n">
        <v>0</v>
      </c>
      <c r="M719" t="n">
        <v>0</v>
      </c>
      <c r="N719" t="n">
        <v>0</v>
      </c>
      <c r="O719" t="n">
        <v>0</v>
      </c>
      <c r="P719" t="n">
        <v>0</v>
      </c>
      <c r="Q719" t="n">
        <v>0</v>
      </c>
      <c r="R719" s="2" t="inlineStr"/>
    </row>
    <row r="720" ht="15" customHeight="1">
      <c r="A720" t="inlineStr">
        <is>
          <t>A 39219-2018</t>
        </is>
      </c>
      <c r="B720" s="1" t="n">
        <v>43339</v>
      </c>
      <c r="C720" s="1" t="n">
        <v>45190</v>
      </c>
      <c r="D720" t="inlineStr">
        <is>
          <t>KALMAR LÄN</t>
        </is>
      </c>
      <c r="E720" t="inlineStr">
        <is>
          <t>NYBRO</t>
        </is>
      </c>
      <c r="G720" t="n">
        <v>12.2</v>
      </c>
      <c r="H720" t="n">
        <v>0</v>
      </c>
      <c r="I720" t="n">
        <v>0</v>
      </c>
      <c r="J720" t="n">
        <v>0</v>
      </c>
      <c r="K720" t="n">
        <v>0</v>
      </c>
      <c r="L720" t="n">
        <v>0</v>
      </c>
      <c r="M720" t="n">
        <v>0</v>
      </c>
      <c r="N720" t="n">
        <v>0</v>
      </c>
      <c r="O720" t="n">
        <v>0</v>
      </c>
      <c r="P720" t="n">
        <v>0</v>
      </c>
      <c r="Q720" t="n">
        <v>0</v>
      </c>
      <c r="R720" s="2" t="inlineStr"/>
    </row>
    <row r="721" ht="15" customHeight="1">
      <c r="A721" t="inlineStr">
        <is>
          <t>A 38420-2018</t>
        </is>
      </c>
      <c r="B721" s="1" t="n">
        <v>43339</v>
      </c>
      <c r="C721" s="1" t="n">
        <v>45190</v>
      </c>
      <c r="D721" t="inlineStr">
        <is>
          <t>KALMAR LÄN</t>
        </is>
      </c>
      <c r="E721" t="inlineStr">
        <is>
          <t>OSKARSHAMN</t>
        </is>
      </c>
      <c r="G721" t="n">
        <v>13.4</v>
      </c>
      <c r="H721" t="n">
        <v>0</v>
      </c>
      <c r="I721" t="n">
        <v>0</v>
      </c>
      <c r="J721" t="n">
        <v>0</v>
      </c>
      <c r="K721" t="n">
        <v>0</v>
      </c>
      <c r="L721" t="n">
        <v>0</v>
      </c>
      <c r="M721" t="n">
        <v>0</v>
      </c>
      <c r="N721" t="n">
        <v>0</v>
      </c>
      <c r="O721" t="n">
        <v>0</v>
      </c>
      <c r="P721" t="n">
        <v>0</v>
      </c>
      <c r="Q721" t="n">
        <v>0</v>
      </c>
      <c r="R721" s="2" t="inlineStr"/>
    </row>
    <row r="722" ht="15" customHeight="1">
      <c r="A722" t="inlineStr">
        <is>
          <t>A 38705-2018</t>
        </is>
      </c>
      <c r="B722" s="1" t="n">
        <v>43340</v>
      </c>
      <c r="C722" s="1" t="n">
        <v>45190</v>
      </c>
      <c r="D722" t="inlineStr">
        <is>
          <t>KALMAR LÄN</t>
        </is>
      </c>
      <c r="E722" t="inlineStr">
        <is>
          <t>NYBRO</t>
        </is>
      </c>
      <c r="G722" t="n">
        <v>7.8</v>
      </c>
      <c r="H722" t="n">
        <v>0</v>
      </c>
      <c r="I722" t="n">
        <v>0</v>
      </c>
      <c r="J722" t="n">
        <v>0</v>
      </c>
      <c r="K722" t="n">
        <v>0</v>
      </c>
      <c r="L722" t="n">
        <v>0</v>
      </c>
      <c r="M722" t="n">
        <v>0</v>
      </c>
      <c r="N722" t="n">
        <v>0</v>
      </c>
      <c r="O722" t="n">
        <v>0</v>
      </c>
      <c r="P722" t="n">
        <v>0</v>
      </c>
      <c r="Q722" t="n">
        <v>0</v>
      </c>
      <c r="R722" s="2" t="inlineStr"/>
    </row>
    <row r="723" ht="15" customHeight="1">
      <c r="A723" t="inlineStr">
        <is>
          <t>A 39130-2018</t>
        </is>
      </c>
      <c r="B723" s="1" t="n">
        <v>43340</v>
      </c>
      <c r="C723" s="1" t="n">
        <v>45190</v>
      </c>
      <c r="D723" t="inlineStr">
        <is>
          <t>KALMAR LÄN</t>
        </is>
      </c>
      <c r="E723" t="inlineStr">
        <is>
          <t>HULTSFRED</t>
        </is>
      </c>
      <c r="G723" t="n">
        <v>1</v>
      </c>
      <c r="H723" t="n">
        <v>0</v>
      </c>
      <c r="I723" t="n">
        <v>0</v>
      </c>
      <c r="J723" t="n">
        <v>0</v>
      </c>
      <c r="K723" t="n">
        <v>0</v>
      </c>
      <c r="L723" t="n">
        <v>0</v>
      </c>
      <c r="M723" t="n">
        <v>0</v>
      </c>
      <c r="N723" t="n">
        <v>0</v>
      </c>
      <c r="O723" t="n">
        <v>0</v>
      </c>
      <c r="P723" t="n">
        <v>0</v>
      </c>
      <c r="Q723" t="n">
        <v>0</v>
      </c>
      <c r="R723" s="2" t="inlineStr"/>
    </row>
    <row r="724" ht="15" customHeight="1">
      <c r="A724" t="inlineStr">
        <is>
          <t>A 38760-2018</t>
        </is>
      </c>
      <c r="B724" s="1" t="n">
        <v>43340</v>
      </c>
      <c r="C724" s="1" t="n">
        <v>45190</v>
      </c>
      <c r="D724" t="inlineStr">
        <is>
          <t>KALMAR LÄN</t>
        </is>
      </c>
      <c r="E724" t="inlineStr">
        <is>
          <t>HULTSFRED</t>
        </is>
      </c>
      <c r="G724" t="n">
        <v>8.199999999999999</v>
      </c>
      <c r="H724" t="n">
        <v>0</v>
      </c>
      <c r="I724" t="n">
        <v>0</v>
      </c>
      <c r="J724" t="n">
        <v>0</v>
      </c>
      <c r="K724" t="n">
        <v>0</v>
      </c>
      <c r="L724" t="n">
        <v>0</v>
      </c>
      <c r="M724" t="n">
        <v>0</v>
      </c>
      <c r="N724" t="n">
        <v>0</v>
      </c>
      <c r="O724" t="n">
        <v>0</v>
      </c>
      <c r="P724" t="n">
        <v>0</v>
      </c>
      <c r="Q724" t="n">
        <v>0</v>
      </c>
      <c r="R724" s="2" t="inlineStr"/>
    </row>
    <row r="725" ht="15" customHeight="1">
      <c r="A725" t="inlineStr">
        <is>
          <t>A 39368-2018</t>
        </is>
      </c>
      <c r="B725" s="1" t="n">
        <v>43340</v>
      </c>
      <c r="C725" s="1" t="n">
        <v>45190</v>
      </c>
      <c r="D725" t="inlineStr">
        <is>
          <t>KALMAR LÄN</t>
        </is>
      </c>
      <c r="E725" t="inlineStr">
        <is>
          <t>OSKARSHAMN</t>
        </is>
      </c>
      <c r="G725" t="n">
        <v>9.9</v>
      </c>
      <c r="H725" t="n">
        <v>0</v>
      </c>
      <c r="I725" t="n">
        <v>0</v>
      </c>
      <c r="J725" t="n">
        <v>0</v>
      </c>
      <c r="K725" t="n">
        <v>0</v>
      </c>
      <c r="L725" t="n">
        <v>0</v>
      </c>
      <c r="M725" t="n">
        <v>0</v>
      </c>
      <c r="N725" t="n">
        <v>0</v>
      </c>
      <c r="O725" t="n">
        <v>0</v>
      </c>
      <c r="P725" t="n">
        <v>0</v>
      </c>
      <c r="Q725" t="n">
        <v>0</v>
      </c>
      <c r="R725" s="2" t="inlineStr"/>
    </row>
    <row r="726" ht="15" customHeight="1">
      <c r="A726" t="inlineStr">
        <is>
          <t>A 39681-2018</t>
        </is>
      </c>
      <c r="B726" s="1" t="n">
        <v>43341</v>
      </c>
      <c r="C726" s="1" t="n">
        <v>45190</v>
      </c>
      <c r="D726" t="inlineStr">
        <is>
          <t>KALMAR LÄN</t>
        </is>
      </c>
      <c r="E726" t="inlineStr">
        <is>
          <t>VÄSTERVIK</t>
        </is>
      </c>
      <c r="G726" t="n">
        <v>1.7</v>
      </c>
      <c r="H726" t="n">
        <v>0</v>
      </c>
      <c r="I726" t="n">
        <v>0</v>
      </c>
      <c r="J726" t="n">
        <v>0</v>
      </c>
      <c r="K726" t="n">
        <v>0</v>
      </c>
      <c r="L726" t="n">
        <v>0</v>
      </c>
      <c r="M726" t="n">
        <v>0</v>
      </c>
      <c r="N726" t="n">
        <v>0</v>
      </c>
      <c r="O726" t="n">
        <v>0</v>
      </c>
      <c r="P726" t="n">
        <v>0</v>
      </c>
      <c r="Q726" t="n">
        <v>0</v>
      </c>
      <c r="R726" s="2" t="inlineStr"/>
    </row>
    <row r="727" ht="15" customHeight="1">
      <c r="A727" t="inlineStr">
        <is>
          <t>A 39604-2018</t>
        </is>
      </c>
      <c r="B727" s="1" t="n">
        <v>43341</v>
      </c>
      <c r="C727" s="1" t="n">
        <v>45190</v>
      </c>
      <c r="D727" t="inlineStr">
        <is>
          <t>KALMAR LÄN</t>
        </is>
      </c>
      <c r="E727" t="inlineStr">
        <is>
          <t>KALMAR</t>
        </is>
      </c>
      <c r="G727" t="n">
        <v>5.8</v>
      </c>
      <c r="H727" t="n">
        <v>0</v>
      </c>
      <c r="I727" t="n">
        <v>0</v>
      </c>
      <c r="J727" t="n">
        <v>0</v>
      </c>
      <c r="K727" t="n">
        <v>0</v>
      </c>
      <c r="L727" t="n">
        <v>0</v>
      </c>
      <c r="M727" t="n">
        <v>0</v>
      </c>
      <c r="N727" t="n">
        <v>0</v>
      </c>
      <c r="O727" t="n">
        <v>0</v>
      </c>
      <c r="P727" t="n">
        <v>0</v>
      </c>
      <c r="Q727" t="n">
        <v>0</v>
      </c>
      <c r="R727" s="2" t="inlineStr"/>
    </row>
    <row r="728" ht="15" customHeight="1">
      <c r="A728" t="inlineStr">
        <is>
          <t>A 39526-2018</t>
        </is>
      </c>
      <c r="B728" s="1" t="n">
        <v>43342</v>
      </c>
      <c r="C728" s="1" t="n">
        <v>45190</v>
      </c>
      <c r="D728" t="inlineStr">
        <is>
          <t>KALMAR LÄN</t>
        </is>
      </c>
      <c r="E728" t="inlineStr">
        <is>
          <t>NYBRO</t>
        </is>
      </c>
      <c r="G728" t="n">
        <v>1</v>
      </c>
      <c r="H728" t="n">
        <v>0</v>
      </c>
      <c r="I728" t="n">
        <v>0</v>
      </c>
      <c r="J728" t="n">
        <v>0</v>
      </c>
      <c r="K728" t="n">
        <v>0</v>
      </c>
      <c r="L728" t="n">
        <v>0</v>
      </c>
      <c r="M728" t="n">
        <v>0</v>
      </c>
      <c r="N728" t="n">
        <v>0</v>
      </c>
      <c r="O728" t="n">
        <v>0</v>
      </c>
      <c r="P728" t="n">
        <v>0</v>
      </c>
      <c r="Q728" t="n">
        <v>0</v>
      </c>
      <c r="R728" s="2" t="inlineStr"/>
    </row>
    <row r="729" ht="15" customHeight="1">
      <c r="A729" t="inlineStr">
        <is>
          <t>A 39875-2018</t>
        </is>
      </c>
      <c r="B729" s="1" t="n">
        <v>43342</v>
      </c>
      <c r="C729" s="1" t="n">
        <v>45190</v>
      </c>
      <c r="D729" t="inlineStr">
        <is>
          <t>KALMAR LÄN</t>
        </is>
      </c>
      <c r="E729" t="inlineStr">
        <is>
          <t>NYBRO</t>
        </is>
      </c>
      <c r="G729" t="n">
        <v>10</v>
      </c>
      <c r="H729" t="n">
        <v>0</v>
      </c>
      <c r="I729" t="n">
        <v>0</v>
      </c>
      <c r="J729" t="n">
        <v>0</v>
      </c>
      <c r="K729" t="n">
        <v>0</v>
      </c>
      <c r="L729" t="n">
        <v>0</v>
      </c>
      <c r="M729" t="n">
        <v>0</v>
      </c>
      <c r="N729" t="n">
        <v>0</v>
      </c>
      <c r="O729" t="n">
        <v>0</v>
      </c>
      <c r="P729" t="n">
        <v>0</v>
      </c>
      <c r="Q729" t="n">
        <v>0</v>
      </c>
      <c r="R729" s="2" t="inlineStr"/>
    </row>
    <row r="730" ht="15" customHeight="1">
      <c r="A730" t="inlineStr">
        <is>
          <t>A 39721-2018</t>
        </is>
      </c>
      <c r="B730" s="1" t="n">
        <v>43342</v>
      </c>
      <c r="C730" s="1" t="n">
        <v>45190</v>
      </c>
      <c r="D730" t="inlineStr">
        <is>
          <t>KALMAR LÄN</t>
        </is>
      </c>
      <c r="E730" t="inlineStr">
        <is>
          <t>HULTSFRED</t>
        </is>
      </c>
      <c r="G730" t="n">
        <v>2.1</v>
      </c>
      <c r="H730" t="n">
        <v>0</v>
      </c>
      <c r="I730" t="n">
        <v>0</v>
      </c>
      <c r="J730" t="n">
        <v>0</v>
      </c>
      <c r="K730" t="n">
        <v>0</v>
      </c>
      <c r="L730" t="n">
        <v>0</v>
      </c>
      <c r="M730" t="n">
        <v>0</v>
      </c>
      <c r="N730" t="n">
        <v>0</v>
      </c>
      <c r="O730" t="n">
        <v>0</v>
      </c>
      <c r="P730" t="n">
        <v>0</v>
      </c>
      <c r="Q730" t="n">
        <v>0</v>
      </c>
      <c r="R730" s="2" t="inlineStr"/>
    </row>
    <row r="731" ht="15" customHeight="1">
      <c r="A731" t="inlineStr">
        <is>
          <t>A 40160-2018</t>
        </is>
      </c>
      <c r="B731" s="1" t="n">
        <v>43342</v>
      </c>
      <c r="C731" s="1" t="n">
        <v>45190</v>
      </c>
      <c r="D731" t="inlineStr">
        <is>
          <t>KALMAR LÄN</t>
        </is>
      </c>
      <c r="E731" t="inlineStr">
        <is>
          <t>HÖGSBY</t>
        </is>
      </c>
      <c r="G731" t="n">
        <v>12.7</v>
      </c>
      <c r="H731" t="n">
        <v>0</v>
      </c>
      <c r="I731" t="n">
        <v>0</v>
      </c>
      <c r="J731" t="n">
        <v>0</v>
      </c>
      <c r="K731" t="n">
        <v>0</v>
      </c>
      <c r="L731" t="n">
        <v>0</v>
      </c>
      <c r="M731" t="n">
        <v>0</v>
      </c>
      <c r="N731" t="n">
        <v>0</v>
      </c>
      <c r="O731" t="n">
        <v>0</v>
      </c>
      <c r="P731" t="n">
        <v>0</v>
      </c>
      <c r="Q731" t="n">
        <v>0</v>
      </c>
      <c r="R731" s="2" t="inlineStr"/>
    </row>
    <row r="732" ht="15" customHeight="1">
      <c r="A732" t="inlineStr">
        <is>
          <t>A 40093-2018</t>
        </is>
      </c>
      <c r="B732" s="1" t="n">
        <v>43343</v>
      </c>
      <c r="C732" s="1" t="n">
        <v>45190</v>
      </c>
      <c r="D732" t="inlineStr">
        <is>
          <t>KALMAR LÄN</t>
        </is>
      </c>
      <c r="E732" t="inlineStr">
        <is>
          <t>NYBRO</t>
        </is>
      </c>
      <c r="G732" t="n">
        <v>2.3</v>
      </c>
      <c r="H732" t="n">
        <v>0</v>
      </c>
      <c r="I732" t="n">
        <v>0</v>
      </c>
      <c r="J732" t="n">
        <v>0</v>
      </c>
      <c r="K732" t="n">
        <v>0</v>
      </c>
      <c r="L732" t="n">
        <v>0</v>
      </c>
      <c r="M732" t="n">
        <v>0</v>
      </c>
      <c r="N732" t="n">
        <v>0</v>
      </c>
      <c r="O732" t="n">
        <v>0</v>
      </c>
      <c r="P732" t="n">
        <v>0</v>
      </c>
      <c r="Q732" t="n">
        <v>0</v>
      </c>
      <c r="R732" s="2" t="inlineStr"/>
    </row>
    <row r="733" ht="15" customHeight="1">
      <c r="A733" t="inlineStr">
        <is>
          <t>A 40569-2018</t>
        </is>
      </c>
      <c r="B733" s="1" t="n">
        <v>43343</v>
      </c>
      <c r="C733" s="1" t="n">
        <v>45190</v>
      </c>
      <c r="D733" t="inlineStr">
        <is>
          <t>KALMAR LÄN</t>
        </is>
      </c>
      <c r="E733" t="inlineStr">
        <is>
          <t>NYBRO</t>
        </is>
      </c>
      <c r="G733" t="n">
        <v>3.4</v>
      </c>
      <c r="H733" t="n">
        <v>0</v>
      </c>
      <c r="I733" t="n">
        <v>0</v>
      </c>
      <c r="J733" t="n">
        <v>0</v>
      </c>
      <c r="K733" t="n">
        <v>0</v>
      </c>
      <c r="L733" t="n">
        <v>0</v>
      </c>
      <c r="M733" t="n">
        <v>0</v>
      </c>
      <c r="N733" t="n">
        <v>0</v>
      </c>
      <c r="O733" t="n">
        <v>0</v>
      </c>
      <c r="P733" t="n">
        <v>0</v>
      </c>
      <c r="Q733" t="n">
        <v>0</v>
      </c>
      <c r="R733" s="2" t="inlineStr"/>
    </row>
    <row r="734" ht="15" customHeight="1">
      <c r="A734" t="inlineStr">
        <is>
          <t>A 40731-2018</t>
        </is>
      </c>
      <c r="B734" s="1" t="n">
        <v>43345</v>
      </c>
      <c r="C734" s="1" t="n">
        <v>45190</v>
      </c>
      <c r="D734" t="inlineStr">
        <is>
          <t>KALMAR LÄN</t>
        </is>
      </c>
      <c r="E734" t="inlineStr">
        <is>
          <t>EMMABODA</t>
        </is>
      </c>
      <c r="G734" t="n">
        <v>4.5</v>
      </c>
      <c r="H734" t="n">
        <v>0</v>
      </c>
      <c r="I734" t="n">
        <v>0</v>
      </c>
      <c r="J734" t="n">
        <v>0</v>
      </c>
      <c r="K734" t="n">
        <v>0</v>
      </c>
      <c r="L734" t="n">
        <v>0</v>
      </c>
      <c r="M734" t="n">
        <v>0</v>
      </c>
      <c r="N734" t="n">
        <v>0</v>
      </c>
      <c r="O734" t="n">
        <v>0</v>
      </c>
      <c r="P734" t="n">
        <v>0</v>
      </c>
      <c r="Q734" t="n">
        <v>0</v>
      </c>
      <c r="R734" s="2" t="inlineStr"/>
    </row>
    <row r="735" ht="15" customHeight="1">
      <c r="A735" t="inlineStr">
        <is>
          <t>A 40390-2018</t>
        </is>
      </c>
      <c r="B735" s="1" t="n">
        <v>43345</v>
      </c>
      <c r="C735" s="1" t="n">
        <v>45190</v>
      </c>
      <c r="D735" t="inlineStr">
        <is>
          <t>KALMAR LÄN</t>
        </is>
      </c>
      <c r="E735" t="inlineStr">
        <is>
          <t>KALMAR</t>
        </is>
      </c>
      <c r="G735" t="n">
        <v>6</v>
      </c>
      <c r="H735" t="n">
        <v>0</v>
      </c>
      <c r="I735" t="n">
        <v>0</v>
      </c>
      <c r="J735" t="n">
        <v>0</v>
      </c>
      <c r="K735" t="n">
        <v>0</v>
      </c>
      <c r="L735" t="n">
        <v>0</v>
      </c>
      <c r="M735" t="n">
        <v>0</v>
      </c>
      <c r="N735" t="n">
        <v>0</v>
      </c>
      <c r="O735" t="n">
        <v>0</v>
      </c>
      <c r="P735" t="n">
        <v>0</v>
      </c>
      <c r="Q735" t="n">
        <v>0</v>
      </c>
      <c r="R735" s="2" t="inlineStr"/>
    </row>
    <row r="736" ht="15" customHeight="1">
      <c r="A736" t="inlineStr">
        <is>
          <t>A 40834-2018</t>
        </is>
      </c>
      <c r="B736" s="1" t="n">
        <v>43347</v>
      </c>
      <c r="C736" s="1" t="n">
        <v>45190</v>
      </c>
      <c r="D736" t="inlineStr">
        <is>
          <t>KALMAR LÄN</t>
        </is>
      </c>
      <c r="E736" t="inlineStr">
        <is>
          <t>KALMAR</t>
        </is>
      </c>
      <c r="G736" t="n">
        <v>0.6</v>
      </c>
      <c r="H736" t="n">
        <v>0</v>
      </c>
      <c r="I736" t="n">
        <v>0</v>
      </c>
      <c r="J736" t="n">
        <v>0</v>
      </c>
      <c r="K736" t="n">
        <v>0</v>
      </c>
      <c r="L736" t="n">
        <v>0</v>
      </c>
      <c r="M736" t="n">
        <v>0</v>
      </c>
      <c r="N736" t="n">
        <v>0</v>
      </c>
      <c r="O736" t="n">
        <v>0</v>
      </c>
      <c r="P736" t="n">
        <v>0</v>
      </c>
      <c r="Q736" t="n">
        <v>0</v>
      </c>
      <c r="R736" s="2" t="inlineStr"/>
    </row>
    <row r="737" ht="15" customHeight="1">
      <c r="A737" t="inlineStr">
        <is>
          <t>A 41058-2018</t>
        </is>
      </c>
      <c r="B737" s="1" t="n">
        <v>43347</v>
      </c>
      <c r="C737" s="1" t="n">
        <v>45190</v>
      </c>
      <c r="D737" t="inlineStr">
        <is>
          <t>KALMAR LÄN</t>
        </is>
      </c>
      <c r="E737" t="inlineStr">
        <is>
          <t>HÖGSBY</t>
        </is>
      </c>
      <c r="G737" t="n">
        <v>1.6</v>
      </c>
      <c r="H737" t="n">
        <v>0</v>
      </c>
      <c r="I737" t="n">
        <v>0</v>
      </c>
      <c r="J737" t="n">
        <v>0</v>
      </c>
      <c r="K737" t="n">
        <v>0</v>
      </c>
      <c r="L737" t="n">
        <v>0</v>
      </c>
      <c r="M737" t="n">
        <v>0</v>
      </c>
      <c r="N737" t="n">
        <v>0</v>
      </c>
      <c r="O737" t="n">
        <v>0</v>
      </c>
      <c r="P737" t="n">
        <v>0</v>
      </c>
      <c r="Q737" t="n">
        <v>0</v>
      </c>
      <c r="R737" s="2" t="inlineStr"/>
    </row>
    <row r="738" ht="15" customHeight="1">
      <c r="A738" t="inlineStr">
        <is>
          <t>A 41343-2018</t>
        </is>
      </c>
      <c r="B738" s="1" t="n">
        <v>43348</v>
      </c>
      <c r="C738" s="1" t="n">
        <v>45190</v>
      </c>
      <c r="D738" t="inlineStr">
        <is>
          <t>KALMAR LÄN</t>
        </is>
      </c>
      <c r="E738" t="inlineStr">
        <is>
          <t>VÄSTERVIK</t>
        </is>
      </c>
      <c r="G738" t="n">
        <v>1.7</v>
      </c>
      <c r="H738" t="n">
        <v>0</v>
      </c>
      <c r="I738" t="n">
        <v>0</v>
      </c>
      <c r="J738" t="n">
        <v>0</v>
      </c>
      <c r="K738" t="n">
        <v>0</v>
      </c>
      <c r="L738" t="n">
        <v>0</v>
      </c>
      <c r="M738" t="n">
        <v>0</v>
      </c>
      <c r="N738" t="n">
        <v>0</v>
      </c>
      <c r="O738" t="n">
        <v>0</v>
      </c>
      <c r="P738" t="n">
        <v>0</v>
      </c>
      <c r="Q738" t="n">
        <v>0</v>
      </c>
      <c r="R738" s="2" t="inlineStr"/>
    </row>
    <row r="739" ht="15" customHeight="1">
      <c r="A739" t="inlineStr">
        <is>
          <t>A 41753-2018</t>
        </is>
      </c>
      <c r="B739" s="1" t="n">
        <v>43348</v>
      </c>
      <c r="C739" s="1" t="n">
        <v>45190</v>
      </c>
      <c r="D739" t="inlineStr">
        <is>
          <t>KALMAR LÄN</t>
        </is>
      </c>
      <c r="E739" t="inlineStr">
        <is>
          <t>HÖGSBY</t>
        </is>
      </c>
      <c r="G739" t="n">
        <v>2.3</v>
      </c>
      <c r="H739" t="n">
        <v>0</v>
      </c>
      <c r="I739" t="n">
        <v>0</v>
      </c>
      <c r="J739" t="n">
        <v>0</v>
      </c>
      <c r="K739" t="n">
        <v>0</v>
      </c>
      <c r="L739" t="n">
        <v>0</v>
      </c>
      <c r="M739" t="n">
        <v>0</v>
      </c>
      <c r="N739" t="n">
        <v>0</v>
      </c>
      <c r="O739" t="n">
        <v>0</v>
      </c>
      <c r="P739" t="n">
        <v>0</v>
      </c>
      <c r="Q739" t="n">
        <v>0</v>
      </c>
      <c r="R739" s="2" t="inlineStr"/>
    </row>
    <row r="740" ht="15" customHeight="1">
      <c r="A740" t="inlineStr">
        <is>
          <t>A 41339-2018</t>
        </is>
      </c>
      <c r="B740" s="1" t="n">
        <v>43348</v>
      </c>
      <c r="C740" s="1" t="n">
        <v>45190</v>
      </c>
      <c r="D740" t="inlineStr">
        <is>
          <t>KALMAR LÄN</t>
        </is>
      </c>
      <c r="E740" t="inlineStr">
        <is>
          <t>VÄSTERVIK</t>
        </is>
      </c>
      <c r="G740" t="n">
        <v>5.5</v>
      </c>
      <c r="H740" t="n">
        <v>0</v>
      </c>
      <c r="I740" t="n">
        <v>0</v>
      </c>
      <c r="J740" t="n">
        <v>0</v>
      </c>
      <c r="K740" t="n">
        <v>0</v>
      </c>
      <c r="L740" t="n">
        <v>0</v>
      </c>
      <c r="M740" t="n">
        <v>0</v>
      </c>
      <c r="N740" t="n">
        <v>0</v>
      </c>
      <c r="O740" t="n">
        <v>0</v>
      </c>
      <c r="P740" t="n">
        <v>0</v>
      </c>
      <c r="Q740" t="n">
        <v>0</v>
      </c>
      <c r="R740" s="2" t="inlineStr"/>
    </row>
    <row r="741" ht="15" customHeight="1">
      <c r="A741" t="inlineStr">
        <is>
          <t>A 41684-2018</t>
        </is>
      </c>
      <c r="B741" s="1" t="n">
        <v>43349</v>
      </c>
      <c r="C741" s="1" t="n">
        <v>45190</v>
      </c>
      <c r="D741" t="inlineStr">
        <is>
          <t>KALMAR LÄN</t>
        </is>
      </c>
      <c r="E741" t="inlineStr">
        <is>
          <t>EMMABODA</t>
        </is>
      </c>
      <c r="G741" t="n">
        <v>1</v>
      </c>
      <c r="H741" t="n">
        <v>0</v>
      </c>
      <c r="I741" t="n">
        <v>0</v>
      </c>
      <c r="J741" t="n">
        <v>0</v>
      </c>
      <c r="K741" t="n">
        <v>0</v>
      </c>
      <c r="L741" t="n">
        <v>0</v>
      </c>
      <c r="M741" t="n">
        <v>0</v>
      </c>
      <c r="N741" t="n">
        <v>0</v>
      </c>
      <c r="O741" t="n">
        <v>0</v>
      </c>
      <c r="P741" t="n">
        <v>0</v>
      </c>
      <c r="Q741" t="n">
        <v>0</v>
      </c>
      <c r="R741" s="2" t="inlineStr"/>
    </row>
    <row r="742" ht="15" customHeight="1">
      <c r="A742" t="inlineStr">
        <is>
          <t>A 42059-2018</t>
        </is>
      </c>
      <c r="B742" s="1" t="n">
        <v>43349</v>
      </c>
      <c r="C742" s="1" t="n">
        <v>45190</v>
      </c>
      <c r="D742" t="inlineStr">
        <is>
          <t>KALMAR LÄN</t>
        </is>
      </c>
      <c r="E742" t="inlineStr">
        <is>
          <t>TORSÅS</t>
        </is>
      </c>
      <c r="G742" t="n">
        <v>1.2</v>
      </c>
      <c r="H742" t="n">
        <v>0</v>
      </c>
      <c r="I742" t="n">
        <v>0</v>
      </c>
      <c r="J742" t="n">
        <v>0</v>
      </c>
      <c r="K742" t="n">
        <v>0</v>
      </c>
      <c r="L742" t="n">
        <v>0</v>
      </c>
      <c r="M742" t="n">
        <v>0</v>
      </c>
      <c r="N742" t="n">
        <v>0</v>
      </c>
      <c r="O742" t="n">
        <v>0</v>
      </c>
      <c r="P742" t="n">
        <v>0</v>
      </c>
      <c r="Q742" t="n">
        <v>0</v>
      </c>
      <c r="R742" s="2" t="inlineStr"/>
    </row>
    <row r="743" ht="15" customHeight="1">
      <c r="A743" t="inlineStr">
        <is>
          <t>A 42283-2018</t>
        </is>
      </c>
      <c r="B743" s="1" t="n">
        <v>43349</v>
      </c>
      <c r="C743" s="1" t="n">
        <v>45190</v>
      </c>
      <c r="D743" t="inlineStr">
        <is>
          <t>KALMAR LÄN</t>
        </is>
      </c>
      <c r="E743" t="inlineStr">
        <is>
          <t>VÄSTERVIK</t>
        </is>
      </c>
      <c r="G743" t="n">
        <v>0.7</v>
      </c>
      <c r="H743" t="n">
        <v>0</v>
      </c>
      <c r="I743" t="n">
        <v>0</v>
      </c>
      <c r="J743" t="n">
        <v>0</v>
      </c>
      <c r="K743" t="n">
        <v>0</v>
      </c>
      <c r="L743" t="n">
        <v>0</v>
      </c>
      <c r="M743" t="n">
        <v>0</v>
      </c>
      <c r="N743" t="n">
        <v>0</v>
      </c>
      <c r="O743" t="n">
        <v>0</v>
      </c>
      <c r="P743" t="n">
        <v>0</v>
      </c>
      <c r="Q743" t="n">
        <v>0</v>
      </c>
      <c r="R743" s="2" t="inlineStr"/>
    </row>
    <row r="744" ht="15" customHeight="1">
      <c r="A744" t="inlineStr">
        <is>
          <t>A 41396-2018</t>
        </is>
      </c>
      <c r="B744" s="1" t="n">
        <v>43349</v>
      </c>
      <c r="C744" s="1" t="n">
        <v>45190</v>
      </c>
      <c r="D744" t="inlineStr">
        <is>
          <t>KALMAR LÄN</t>
        </is>
      </c>
      <c r="E744" t="inlineStr">
        <is>
          <t>EMMABODA</t>
        </is>
      </c>
      <c r="G744" t="n">
        <v>7.2</v>
      </c>
      <c r="H744" t="n">
        <v>0</v>
      </c>
      <c r="I744" t="n">
        <v>0</v>
      </c>
      <c r="J744" t="n">
        <v>0</v>
      </c>
      <c r="K744" t="n">
        <v>0</v>
      </c>
      <c r="L744" t="n">
        <v>0</v>
      </c>
      <c r="M744" t="n">
        <v>0</v>
      </c>
      <c r="N744" t="n">
        <v>0</v>
      </c>
      <c r="O744" t="n">
        <v>0</v>
      </c>
      <c r="P744" t="n">
        <v>0</v>
      </c>
      <c r="Q744" t="n">
        <v>0</v>
      </c>
      <c r="R744" s="2" t="inlineStr"/>
    </row>
    <row r="745" ht="15" customHeight="1">
      <c r="A745" t="inlineStr">
        <is>
          <t>A 42054-2018</t>
        </is>
      </c>
      <c r="B745" s="1" t="n">
        <v>43349</v>
      </c>
      <c r="C745" s="1" t="n">
        <v>45190</v>
      </c>
      <c r="D745" t="inlineStr">
        <is>
          <t>KALMAR LÄN</t>
        </is>
      </c>
      <c r="E745" t="inlineStr">
        <is>
          <t>TORSÅS</t>
        </is>
      </c>
      <c r="G745" t="n">
        <v>1.5</v>
      </c>
      <c r="H745" t="n">
        <v>0</v>
      </c>
      <c r="I745" t="n">
        <v>0</v>
      </c>
      <c r="J745" t="n">
        <v>0</v>
      </c>
      <c r="K745" t="n">
        <v>0</v>
      </c>
      <c r="L745" t="n">
        <v>0</v>
      </c>
      <c r="M745" t="n">
        <v>0</v>
      </c>
      <c r="N745" t="n">
        <v>0</v>
      </c>
      <c r="O745" t="n">
        <v>0</v>
      </c>
      <c r="P745" t="n">
        <v>0</v>
      </c>
      <c r="Q745" t="n">
        <v>0</v>
      </c>
      <c r="R745" s="2" t="inlineStr"/>
    </row>
    <row r="746" ht="15" customHeight="1">
      <c r="A746" t="inlineStr">
        <is>
          <t>A 41365-2018</t>
        </is>
      </c>
      <c r="B746" s="1" t="n">
        <v>43349</v>
      </c>
      <c r="C746" s="1" t="n">
        <v>45190</v>
      </c>
      <c r="D746" t="inlineStr">
        <is>
          <t>KALMAR LÄN</t>
        </is>
      </c>
      <c r="E746" t="inlineStr">
        <is>
          <t>EMMABODA</t>
        </is>
      </c>
      <c r="G746" t="n">
        <v>0.9</v>
      </c>
      <c r="H746" t="n">
        <v>0</v>
      </c>
      <c r="I746" t="n">
        <v>0</v>
      </c>
      <c r="J746" t="n">
        <v>0</v>
      </c>
      <c r="K746" t="n">
        <v>0</v>
      </c>
      <c r="L746" t="n">
        <v>0</v>
      </c>
      <c r="M746" t="n">
        <v>0</v>
      </c>
      <c r="N746" t="n">
        <v>0</v>
      </c>
      <c r="O746" t="n">
        <v>0</v>
      </c>
      <c r="P746" t="n">
        <v>0</v>
      </c>
      <c r="Q746" t="n">
        <v>0</v>
      </c>
      <c r="R746" s="2" t="inlineStr"/>
    </row>
    <row r="747" ht="15" customHeight="1">
      <c r="A747" t="inlineStr">
        <is>
          <t>A 41765-2018</t>
        </is>
      </c>
      <c r="B747" s="1" t="n">
        <v>43350</v>
      </c>
      <c r="C747" s="1" t="n">
        <v>45190</v>
      </c>
      <c r="D747" t="inlineStr">
        <is>
          <t>KALMAR LÄN</t>
        </is>
      </c>
      <c r="E747" t="inlineStr">
        <is>
          <t>NYBRO</t>
        </is>
      </c>
      <c r="G747" t="n">
        <v>1.2</v>
      </c>
      <c r="H747" t="n">
        <v>0</v>
      </c>
      <c r="I747" t="n">
        <v>0</v>
      </c>
      <c r="J747" t="n">
        <v>0</v>
      </c>
      <c r="K747" t="n">
        <v>0</v>
      </c>
      <c r="L747" t="n">
        <v>0</v>
      </c>
      <c r="M747" t="n">
        <v>0</v>
      </c>
      <c r="N747" t="n">
        <v>0</v>
      </c>
      <c r="O747" t="n">
        <v>0</v>
      </c>
      <c r="P747" t="n">
        <v>0</v>
      </c>
      <c r="Q747" t="n">
        <v>0</v>
      </c>
      <c r="R747" s="2" t="inlineStr"/>
    </row>
    <row r="748" ht="15" customHeight="1">
      <c r="A748" t="inlineStr">
        <is>
          <t>A 42275-2018</t>
        </is>
      </c>
      <c r="B748" s="1" t="n">
        <v>43353</v>
      </c>
      <c r="C748" s="1" t="n">
        <v>45190</v>
      </c>
      <c r="D748" t="inlineStr">
        <is>
          <t>KALMAR LÄN</t>
        </is>
      </c>
      <c r="E748" t="inlineStr">
        <is>
          <t>MÖNSTERÅS</t>
        </is>
      </c>
      <c r="G748" t="n">
        <v>6.3</v>
      </c>
      <c r="H748" t="n">
        <v>0</v>
      </c>
      <c r="I748" t="n">
        <v>0</v>
      </c>
      <c r="J748" t="n">
        <v>0</v>
      </c>
      <c r="K748" t="n">
        <v>0</v>
      </c>
      <c r="L748" t="n">
        <v>0</v>
      </c>
      <c r="M748" t="n">
        <v>0</v>
      </c>
      <c r="N748" t="n">
        <v>0</v>
      </c>
      <c r="O748" t="n">
        <v>0</v>
      </c>
      <c r="P748" t="n">
        <v>0</v>
      </c>
      <c r="Q748" t="n">
        <v>0</v>
      </c>
      <c r="R748" s="2" t="inlineStr"/>
    </row>
    <row r="749" ht="15" customHeight="1">
      <c r="A749" t="inlineStr">
        <is>
          <t>A 43086-2018</t>
        </is>
      </c>
      <c r="B749" s="1" t="n">
        <v>43353</v>
      </c>
      <c r="C749" s="1" t="n">
        <v>45190</v>
      </c>
      <c r="D749" t="inlineStr">
        <is>
          <t>KALMAR LÄN</t>
        </is>
      </c>
      <c r="E749" t="inlineStr">
        <is>
          <t>HÖGSBY</t>
        </is>
      </c>
      <c r="G749" t="n">
        <v>4.9</v>
      </c>
      <c r="H749" t="n">
        <v>0</v>
      </c>
      <c r="I749" t="n">
        <v>0</v>
      </c>
      <c r="J749" t="n">
        <v>0</v>
      </c>
      <c r="K749" t="n">
        <v>0</v>
      </c>
      <c r="L749" t="n">
        <v>0</v>
      </c>
      <c r="M749" t="n">
        <v>0</v>
      </c>
      <c r="N749" t="n">
        <v>0</v>
      </c>
      <c r="O749" t="n">
        <v>0</v>
      </c>
      <c r="P749" t="n">
        <v>0</v>
      </c>
      <c r="Q749" t="n">
        <v>0</v>
      </c>
      <c r="R749" s="2" t="inlineStr"/>
    </row>
    <row r="750" ht="15" customHeight="1">
      <c r="A750" t="inlineStr">
        <is>
          <t>A 42600-2018</t>
        </is>
      </c>
      <c r="B750" s="1" t="n">
        <v>43354</v>
      </c>
      <c r="C750" s="1" t="n">
        <v>45190</v>
      </c>
      <c r="D750" t="inlineStr">
        <is>
          <t>KALMAR LÄN</t>
        </is>
      </c>
      <c r="E750" t="inlineStr">
        <is>
          <t>HÖGSBY</t>
        </is>
      </c>
      <c r="G750" t="n">
        <v>0.8</v>
      </c>
      <c r="H750" t="n">
        <v>0</v>
      </c>
      <c r="I750" t="n">
        <v>0</v>
      </c>
      <c r="J750" t="n">
        <v>0</v>
      </c>
      <c r="K750" t="n">
        <v>0</v>
      </c>
      <c r="L750" t="n">
        <v>0</v>
      </c>
      <c r="M750" t="n">
        <v>0</v>
      </c>
      <c r="N750" t="n">
        <v>0</v>
      </c>
      <c r="O750" t="n">
        <v>0</v>
      </c>
      <c r="P750" t="n">
        <v>0</v>
      </c>
      <c r="Q750" t="n">
        <v>0</v>
      </c>
      <c r="R750" s="2" t="inlineStr"/>
    </row>
    <row r="751" ht="15" customHeight="1">
      <c r="A751" t="inlineStr">
        <is>
          <t>A 43470-2018</t>
        </is>
      </c>
      <c r="B751" s="1" t="n">
        <v>43354</v>
      </c>
      <c r="C751" s="1" t="n">
        <v>45190</v>
      </c>
      <c r="D751" t="inlineStr">
        <is>
          <t>KALMAR LÄN</t>
        </is>
      </c>
      <c r="E751" t="inlineStr">
        <is>
          <t>NYBRO</t>
        </is>
      </c>
      <c r="G751" t="n">
        <v>2.1</v>
      </c>
      <c r="H751" t="n">
        <v>0</v>
      </c>
      <c r="I751" t="n">
        <v>0</v>
      </c>
      <c r="J751" t="n">
        <v>0</v>
      </c>
      <c r="K751" t="n">
        <v>0</v>
      </c>
      <c r="L751" t="n">
        <v>0</v>
      </c>
      <c r="M751" t="n">
        <v>0</v>
      </c>
      <c r="N751" t="n">
        <v>0</v>
      </c>
      <c r="O751" t="n">
        <v>0</v>
      </c>
      <c r="P751" t="n">
        <v>0</v>
      </c>
      <c r="Q751" t="n">
        <v>0</v>
      </c>
      <c r="R751" s="2" t="inlineStr"/>
    </row>
    <row r="752" ht="15" customHeight="1">
      <c r="A752" t="inlineStr">
        <is>
          <t>A 42607-2018</t>
        </is>
      </c>
      <c r="B752" s="1" t="n">
        <v>43354</v>
      </c>
      <c r="C752" s="1" t="n">
        <v>45190</v>
      </c>
      <c r="D752" t="inlineStr">
        <is>
          <t>KALMAR LÄN</t>
        </is>
      </c>
      <c r="E752" t="inlineStr">
        <is>
          <t>NYBRO</t>
        </is>
      </c>
      <c r="G752" t="n">
        <v>0.7</v>
      </c>
      <c r="H752" t="n">
        <v>0</v>
      </c>
      <c r="I752" t="n">
        <v>0</v>
      </c>
      <c r="J752" t="n">
        <v>0</v>
      </c>
      <c r="K752" t="n">
        <v>0</v>
      </c>
      <c r="L752" t="n">
        <v>0</v>
      </c>
      <c r="M752" t="n">
        <v>0</v>
      </c>
      <c r="N752" t="n">
        <v>0</v>
      </c>
      <c r="O752" t="n">
        <v>0</v>
      </c>
      <c r="P752" t="n">
        <v>0</v>
      </c>
      <c r="Q752" t="n">
        <v>0</v>
      </c>
      <c r="R752" s="2" t="inlineStr"/>
    </row>
    <row r="753" ht="15" customHeight="1">
      <c r="A753" t="inlineStr">
        <is>
          <t>A 72680-2018</t>
        </is>
      </c>
      <c r="B753" s="1" t="n">
        <v>43354</v>
      </c>
      <c r="C753" s="1" t="n">
        <v>45190</v>
      </c>
      <c r="D753" t="inlineStr">
        <is>
          <t>KALMAR LÄN</t>
        </is>
      </c>
      <c r="E753" t="inlineStr">
        <is>
          <t>VÄSTERVIK</t>
        </is>
      </c>
      <c r="F753" t="inlineStr">
        <is>
          <t>Övriga Aktiebolag</t>
        </is>
      </c>
      <c r="G753" t="n">
        <v>4.3</v>
      </c>
      <c r="H753" t="n">
        <v>0</v>
      </c>
      <c r="I753" t="n">
        <v>0</v>
      </c>
      <c r="J753" t="n">
        <v>0</v>
      </c>
      <c r="K753" t="n">
        <v>0</v>
      </c>
      <c r="L753" t="n">
        <v>0</v>
      </c>
      <c r="M753" t="n">
        <v>0</v>
      </c>
      <c r="N753" t="n">
        <v>0</v>
      </c>
      <c r="O753" t="n">
        <v>0</v>
      </c>
      <c r="P753" t="n">
        <v>0</v>
      </c>
      <c r="Q753" t="n">
        <v>0</v>
      </c>
      <c r="R753" s="2" t="inlineStr"/>
    </row>
    <row r="754" ht="15" customHeight="1">
      <c r="A754" t="inlineStr">
        <is>
          <t>A 42579-2018</t>
        </is>
      </c>
      <c r="B754" s="1" t="n">
        <v>43354</v>
      </c>
      <c r="C754" s="1" t="n">
        <v>45190</v>
      </c>
      <c r="D754" t="inlineStr">
        <is>
          <t>KALMAR LÄN</t>
        </is>
      </c>
      <c r="E754" t="inlineStr">
        <is>
          <t>VÄSTERVIK</t>
        </is>
      </c>
      <c r="G754" t="n">
        <v>1</v>
      </c>
      <c r="H754" t="n">
        <v>0</v>
      </c>
      <c r="I754" t="n">
        <v>0</v>
      </c>
      <c r="J754" t="n">
        <v>0</v>
      </c>
      <c r="K754" t="n">
        <v>0</v>
      </c>
      <c r="L754" t="n">
        <v>0</v>
      </c>
      <c r="M754" t="n">
        <v>0</v>
      </c>
      <c r="N754" t="n">
        <v>0</v>
      </c>
      <c r="O754" t="n">
        <v>0</v>
      </c>
      <c r="P754" t="n">
        <v>0</v>
      </c>
      <c r="Q754" t="n">
        <v>0</v>
      </c>
      <c r="R754" s="2" t="inlineStr"/>
    </row>
    <row r="755" ht="15" customHeight="1">
      <c r="A755" t="inlineStr">
        <is>
          <t>A 43466-2018</t>
        </is>
      </c>
      <c r="B755" s="1" t="n">
        <v>43356</v>
      </c>
      <c r="C755" s="1" t="n">
        <v>45190</v>
      </c>
      <c r="D755" t="inlineStr">
        <is>
          <t>KALMAR LÄN</t>
        </is>
      </c>
      <c r="E755" t="inlineStr">
        <is>
          <t>KALMAR</t>
        </is>
      </c>
      <c r="G755" t="n">
        <v>0.8</v>
      </c>
      <c r="H755" t="n">
        <v>0</v>
      </c>
      <c r="I755" t="n">
        <v>0</v>
      </c>
      <c r="J755" t="n">
        <v>0</v>
      </c>
      <c r="K755" t="n">
        <v>0</v>
      </c>
      <c r="L755" t="n">
        <v>0</v>
      </c>
      <c r="M755" t="n">
        <v>0</v>
      </c>
      <c r="N755" t="n">
        <v>0</v>
      </c>
      <c r="O755" t="n">
        <v>0</v>
      </c>
      <c r="P755" t="n">
        <v>0</v>
      </c>
      <c r="Q755" t="n">
        <v>0</v>
      </c>
      <c r="R755" s="2" t="inlineStr"/>
    </row>
    <row r="756" ht="15" customHeight="1">
      <c r="A756" t="inlineStr">
        <is>
          <t>A 44402-2018</t>
        </is>
      </c>
      <c r="B756" s="1" t="n">
        <v>43356</v>
      </c>
      <c r="C756" s="1" t="n">
        <v>45190</v>
      </c>
      <c r="D756" t="inlineStr">
        <is>
          <t>KALMAR LÄN</t>
        </is>
      </c>
      <c r="E756" t="inlineStr">
        <is>
          <t>KALMAR</t>
        </is>
      </c>
      <c r="G756" t="n">
        <v>1.6</v>
      </c>
      <c r="H756" t="n">
        <v>0</v>
      </c>
      <c r="I756" t="n">
        <v>0</v>
      </c>
      <c r="J756" t="n">
        <v>0</v>
      </c>
      <c r="K756" t="n">
        <v>0</v>
      </c>
      <c r="L756" t="n">
        <v>0</v>
      </c>
      <c r="M756" t="n">
        <v>0</v>
      </c>
      <c r="N756" t="n">
        <v>0</v>
      </c>
      <c r="O756" t="n">
        <v>0</v>
      </c>
      <c r="P756" t="n">
        <v>0</v>
      </c>
      <c r="Q756" t="n">
        <v>0</v>
      </c>
      <c r="R756" s="2" t="inlineStr"/>
    </row>
    <row r="757" ht="15" customHeight="1">
      <c r="A757" t="inlineStr">
        <is>
          <t>A 44580-2018</t>
        </is>
      </c>
      <c r="B757" s="1" t="n">
        <v>43356</v>
      </c>
      <c r="C757" s="1" t="n">
        <v>45190</v>
      </c>
      <c r="D757" t="inlineStr">
        <is>
          <t>KALMAR LÄN</t>
        </is>
      </c>
      <c r="E757" t="inlineStr">
        <is>
          <t>NYBRO</t>
        </is>
      </c>
      <c r="G757" t="n">
        <v>4.6</v>
      </c>
      <c r="H757" t="n">
        <v>0</v>
      </c>
      <c r="I757" t="n">
        <v>0</v>
      </c>
      <c r="J757" t="n">
        <v>0</v>
      </c>
      <c r="K757" t="n">
        <v>0</v>
      </c>
      <c r="L757" t="n">
        <v>0</v>
      </c>
      <c r="M757" t="n">
        <v>0</v>
      </c>
      <c r="N757" t="n">
        <v>0</v>
      </c>
      <c r="O757" t="n">
        <v>0</v>
      </c>
      <c r="P757" t="n">
        <v>0</v>
      </c>
      <c r="Q757" t="n">
        <v>0</v>
      </c>
      <c r="R757" s="2" t="inlineStr"/>
    </row>
    <row r="758" ht="15" customHeight="1">
      <c r="A758" t="inlineStr">
        <is>
          <t>A 43660-2018</t>
        </is>
      </c>
      <c r="B758" s="1" t="n">
        <v>43357</v>
      </c>
      <c r="C758" s="1" t="n">
        <v>45190</v>
      </c>
      <c r="D758" t="inlineStr">
        <is>
          <t>KALMAR LÄN</t>
        </is>
      </c>
      <c r="E758" t="inlineStr">
        <is>
          <t>HULTSFRED</t>
        </is>
      </c>
      <c r="G758" t="n">
        <v>2.8</v>
      </c>
      <c r="H758" t="n">
        <v>0</v>
      </c>
      <c r="I758" t="n">
        <v>0</v>
      </c>
      <c r="J758" t="n">
        <v>0</v>
      </c>
      <c r="K758" t="n">
        <v>0</v>
      </c>
      <c r="L758" t="n">
        <v>0</v>
      </c>
      <c r="M758" t="n">
        <v>0</v>
      </c>
      <c r="N758" t="n">
        <v>0</v>
      </c>
      <c r="O758" t="n">
        <v>0</v>
      </c>
      <c r="P758" t="n">
        <v>0</v>
      </c>
      <c r="Q758" t="n">
        <v>0</v>
      </c>
      <c r="R758" s="2" t="inlineStr"/>
    </row>
    <row r="759" ht="15" customHeight="1">
      <c r="A759" t="inlineStr">
        <is>
          <t>A 43840-2018</t>
        </is>
      </c>
      <c r="B759" s="1" t="n">
        <v>43357</v>
      </c>
      <c r="C759" s="1" t="n">
        <v>45190</v>
      </c>
      <c r="D759" t="inlineStr">
        <is>
          <t>KALMAR LÄN</t>
        </is>
      </c>
      <c r="E759" t="inlineStr">
        <is>
          <t>OSKARSHAMN</t>
        </is>
      </c>
      <c r="G759" t="n">
        <v>1.4</v>
      </c>
      <c r="H759" t="n">
        <v>0</v>
      </c>
      <c r="I759" t="n">
        <v>0</v>
      </c>
      <c r="J759" t="n">
        <v>0</v>
      </c>
      <c r="K759" t="n">
        <v>0</v>
      </c>
      <c r="L759" t="n">
        <v>0</v>
      </c>
      <c r="M759" t="n">
        <v>0</v>
      </c>
      <c r="N759" t="n">
        <v>0</v>
      </c>
      <c r="O759" t="n">
        <v>0</v>
      </c>
      <c r="P759" t="n">
        <v>0</v>
      </c>
      <c r="Q759" t="n">
        <v>0</v>
      </c>
      <c r="R759" s="2" t="inlineStr"/>
    </row>
    <row r="760" ht="15" customHeight="1">
      <c r="A760" t="inlineStr">
        <is>
          <t>A 44825-2018</t>
        </is>
      </c>
      <c r="B760" s="1" t="n">
        <v>43357</v>
      </c>
      <c r="C760" s="1" t="n">
        <v>45190</v>
      </c>
      <c r="D760" t="inlineStr">
        <is>
          <t>KALMAR LÄN</t>
        </is>
      </c>
      <c r="E760" t="inlineStr">
        <is>
          <t>VIMMERBY</t>
        </is>
      </c>
      <c r="G760" t="n">
        <v>1.8</v>
      </c>
      <c r="H760" t="n">
        <v>0</v>
      </c>
      <c r="I760" t="n">
        <v>0</v>
      </c>
      <c r="J760" t="n">
        <v>0</v>
      </c>
      <c r="K760" t="n">
        <v>0</v>
      </c>
      <c r="L760" t="n">
        <v>0</v>
      </c>
      <c r="M760" t="n">
        <v>0</v>
      </c>
      <c r="N760" t="n">
        <v>0</v>
      </c>
      <c r="O760" t="n">
        <v>0</v>
      </c>
      <c r="P760" t="n">
        <v>0</v>
      </c>
      <c r="Q760" t="n">
        <v>0</v>
      </c>
      <c r="R760" s="2" t="inlineStr"/>
    </row>
    <row r="761" ht="15" customHeight="1">
      <c r="A761" t="inlineStr">
        <is>
          <t>A 44214-2018</t>
        </is>
      </c>
      <c r="B761" s="1" t="n">
        <v>43360</v>
      </c>
      <c r="C761" s="1" t="n">
        <v>45190</v>
      </c>
      <c r="D761" t="inlineStr">
        <is>
          <t>KALMAR LÄN</t>
        </is>
      </c>
      <c r="E761" t="inlineStr">
        <is>
          <t>HÖGSBY</t>
        </is>
      </c>
      <c r="G761" t="n">
        <v>0.8</v>
      </c>
      <c r="H761" t="n">
        <v>0</v>
      </c>
      <c r="I761" t="n">
        <v>0</v>
      </c>
      <c r="J761" t="n">
        <v>0</v>
      </c>
      <c r="K761" t="n">
        <v>0</v>
      </c>
      <c r="L761" t="n">
        <v>0</v>
      </c>
      <c r="M761" t="n">
        <v>0</v>
      </c>
      <c r="N761" t="n">
        <v>0</v>
      </c>
      <c r="O761" t="n">
        <v>0</v>
      </c>
      <c r="P761" t="n">
        <v>0</v>
      </c>
      <c r="Q761" t="n">
        <v>0</v>
      </c>
      <c r="R761" s="2" t="inlineStr"/>
    </row>
    <row r="762" ht="15" customHeight="1">
      <c r="A762" t="inlineStr">
        <is>
          <t>A 44722-2018</t>
        </is>
      </c>
      <c r="B762" s="1" t="n">
        <v>43361</v>
      </c>
      <c r="C762" s="1" t="n">
        <v>45190</v>
      </c>
      <c r="D762" t="inlineStr">
        <is>
          <t>KALMAR LÄN</t>
        </is>
      </c>
      <c r="E762" t="inlineStr">
        <is>
          <t>TORSÅS</t>
        </is>
      </c>
      <c r="G762" t="n">
        <v>7.4</v>
      </c>
      <c r="H762" t="n">
        <v>0</v>
      </c>
      <c r="I762" t="n">
        <v>0</v>
      </c>
      <c r="J762" t="n">
        <v>0</v>
      </c>
      <c r="K762" t="n">
        <v>0</v>
      </c>
      <c r="L762" t="n">
        <v>0</v>
      </c>
      <c r="M762" t="n">
        <v>0</v>
      </c>
      <c r="N762" t="n">
        <v>0</v>
      </c>
      <c r="O762" t="n">
        <v>0</v>
      </c>
      <c r="P762" t="n">
        <v>0</v>
      </c>
      <c r="Q762" t="n">
        <v>0</v>
      </c>
      <c r="R762" s="2" t="inlineStr"/>
    </row>
    <row r="763" ht="15" customHeight="1">
      <c r="A763" t="inlineStr">
        <is>
          <t>A 45274-2018</t>
        </is>
      </c>
      <c r="B763" s="1" t="n">
        <v>43361</v>
      </c>
      <c r="C763" s="1" t="n">
        <v>45190</v>
      </c>
      <c r="D763" t="inlineStr">
        <is>
          <t>KALMAR LÄN</t>
        </is>
      </c>
      <c r="E763" t="inlineStr">
        <is>
          <t>EMMABODA</t>
        </is>
      </c>
      <c r="F763" t="inlineStr">
        <is>
          <t>Övriga Aktiebolag</t>
        </is>
      </c>
      <c r="G763" t="n">
        <v>6.1</v>
      </c>
      <c r="H763" t="n">
        <v>0</v>
      </c>
      <c r="I763" t="n">
        <v>0</v>
      </c>
      <c r="J763" t="n">
        <v>0</v>
      </c>
      <c r="K763" t="n">
        <v>0</v>
      </c>
      <c r="L763" t="n">
        <v>0</v>
      </c>
      <c r="M763" t="n">
        <v>0</v>
      </c>
      <c r="N763" t="n">
        <v>0</v>
      </c>
      <c r="O763" t="n">
        <v>0</v>
      </c>
      <c r="P763" t="n">
        <v>0</v>
      </c>
      <c r="Q763" t="n">
        <v>0</v>
      </c>
      <c r="R763" s="2" t="inlineStr"/>
    </row>
    <row r="764" ht="15" customHeight="1">
      <c r="A764" t="inlineStr">
        <is>
          <t>A 44733-2018</t>
        </is>
      </c>
      <c r="B764" s="1" t="n">
        <v>43361</v>
      </c>
      <c r="C764" s="1" t="n">
        <v>45190</v>
      </c>
      <c r="D764" t="inlineStr">
        <is>
          <t>KALMAR LÄN</t>
        </is>
      </c>
      <c r="E764" t="inlineStr">
        <is>
          <t>TORSÅS</t>
        </is>
      </c>
      <c r="G764" t="n">
        <v>5.6</v>
      </c>
      <c r="H764" t="n">
        <v>0</v>
      </c>
      <c r="I764" t="n">
        <v>0</v>
      </c>
      <c r="J764" t="n">
        <v>0</v>
      </c>
      <c r="K764" t="n">
        <v>0</v>
      </c>
      <c r="L764" t="n">
        <v>0</v>
      </c>
      <c r="M764" t="n">
        <v>0</v>
      </c>
      <c r="N764" t="n">
        <v>0</v>
      </c>
      <c r="O764" t="n">
        <v>0</v>
      </c>
      <c r="P764" t="n">
        <v>0</v>
      </c>
      <c r="Q764" t="n">
        <v>0</v>
      </c>
      <c r="R764" s="2" t="inlineStr"/>
    </row>
    <row r="765" ht="15" customHeight="1">
      <c r="A765" t="inlineStr">
        <is>
          <t>A 45289-2018</t>
        </is>
      </c>
      <c r="B765" s="1" t="n">
        <v>43362</v>
      </c>
      <c r="C765" s="1" t="n">
        <v>45190</v>
      </c>
      <c r="D765" t="inlineStr">
        <is>
          <t>KALMAR LÄN</t>
        </is>
      </c>
      <c r="E765" t="inlineStr">
        <is>
          <t>NYBRO</t>
        </is>
      </c>
      <c r="G765" t="n">
        <v>2.3</v>
      </c>
      <c r="H765" t="n">
        <v>0</v>
      </c>
      <c r="I765" t="n">
        <v>0</v>
      </c>
      <c r="J765" t="n">
        <v>0</v>
      </c>
      <c r="K765" t="n">
        <v>0</v>
      </c>
      <c r="L765" t="n">
        <v>0</v>
      </c>
      <c r="M765" t="n">
        <v>0</v>
      </c>
      <c r="N765" t="n">
        <v>0</v>
      </c>
      <c r="O765" t="n">
        <v>0</v>
      </c>
      <c r="P765" t="n">
        <v>0</v>
      </c>
      <c r="Q765" t="n">
        <v>0</v>
      </c>
      <c r="R765" s="2" t="inlineStr"/>
    </row>
    <row r="766" ht="15" customHeight="1">
      <c r="A766" t="inlineStr">
        <is>
          <t>A 45233-2018</t>
        </is>
      </c>
      <c r="B766" s="1" t="n">
        <v>43362</v>
      </c>
      <c r="C766" s="1" t="n">
        <v>45190</v>
      </c>
      <c r="D766" t="inlineStr">
        <is>
          <t>KALMAR LÄN</t>
        </is>
      </c>
      <c r="E766" t="inlineStr">
        <is>
          <t>NYBRO</t>
        </is>
      </c>
      <c r="G766" t="n">
        <v>0.9</v>
      </c>
      <c r="H766" t="n">
        <v>0</v>
      </c>
      <c r="I766" t="n">
        <v>0</v>
      </c>
      <c r="J766" t="n">
        <v>0</v>
      </c>
      <c r="K766" t="n">
        <v>0</v>
      </c>
      <c r="L766" t="n">
        <v>0</v>
      </c>
      <c r="M766" t="n">
        <v>0</v>
      </c>
      <c r="N766" t="n">
        <v>0</v>
      </c>
      <c r="O766" t="n">
        <v>0</v>
      </c>
      <c r="P766" t="n">
        <v>0</v>
      </c>
      <c r="Q766" t="n">
        <v>0</v>
      </c>
      <c r="R766" s="2" t="inlineStr"/>
    </row>
    <row r="767" ht="15" customHeight="1">
      <c r="A767" t="inlineStr">
        <is>
          <t>A 45485-2018</t>
        </is>
      </c>
      <c r="B767" s="1" t="n">
        <v>43363</v>
      </c>
      <c r="C767" s="1" t="n">
        <v>45190</v>
      </c>
      <c r="D767" t="inlineStr">
        <is>
          <t>KALMAR LÄN</t>
        </is>
      </c>
      <c r="E767" t="inlineStr">
        <is>
          <t>TORSÅS</t>
        </is>
      </c>
      <c r="G767" t="n">
        <v>2.8</v>
      </c>
      <c r="H767" t="n">
        <v>0</v>
      </c>
      <c r="I767" t="n">
        <v>0</v>
      </c>
      <c r="J767" t="n">
        <v>0</v>
      </c>
      <c r="K767" t="n">
        <v>0</v>
      </c>
      <c r="L767" t="n">
        <v>0</v>
      </c>
      <c r="M767" t="n">
        <v>0</v>
      </c>
      <c r="N767" t="n">
        <v>0</v>
      </c>
      <c r="O767" t="n">
        <v>0</v>
      </c>
      <c r="P767" t="n">
        <v>0</v>
      </c>
      <c r="Q767" t="n">
        <v>0</v>
      </c>
      <c r="R767" s="2" t="inlineStr"/>
    </row>
    <row r="768" ht="15" customHeight="1">
      <c r="A768" t="inlineStr">
        <is>
          <t>A 45372-2018</t>
        </is>
      </c>
      <c r="B768" s="1" t="n">
        <v>43363</v>
      </c>
      <c r="C768" s="1" t="n">
        <v>45190</v>
      </c>
      <c r="D768" t="inlineStr">
        <is>
          <t>KALMAR LÄN</t>
        </is>
      </c>
      <c r="E768" t="inlineStr">
        <is>
          <t>TORSÅS</t>
        </is>
      </c>
      <c r="G768" t="n">
        <v>18.6</v>
      </c>
      <c r="H768" t="n">
        <v>0</v>
      </c>
      <c r="I768" t="n">
        <v>0</v>
      </c>
      <c r="J768" t="n">
        <v>0</v>
      </c>
      <c r="K768" t="n">
        <v>0</v>
      </c>
      <c r="L768" t="n">
        <v>0</v>
      </c>
      <c r="M768" t="n">
        <v>0</v>
      </c>
      <c r="N768" t="n">
        <v>0</v>
      </c>
      <c r="O768" t="n">
        <v>0</v>
      </c>
      <c r="P768" t="n">
        <v>0</v>
      </c>
      <c r="Q768" t="n">
        <v>0</v>
      </c>
      <c r="R768" s="2" t="inlineStr"/>
    </row>
    <row r="769" ht="15" customHeight="1">
      <c r="A769" t="inlineStr">
        <is>
          <t>A 46363-2018</t>
        </is>
      </c>
      <c r="B769" s="1" t="n">
        <v>43363</v>
      </c>
      <c r="C769" s="1" t="n">
        <v>45190</v>
      </c>
      <c r="D769" t="inlineStr">
        <is>
          <t>KALMAR LÄN</t>
        </is>
      </c>
      <c r="E769" t="inlineStr">
        <is>
          <t>VÄSTERVIK</t>
        </is>
      </c>
      <c r="G769" t="n">
        <v>0.4</v>
      </c>
      <c r="H769" t="n">
        <v>0</v>
      </c>
      <c r="I769" t="n">
        <v>0</v>
      </c>
      <c r="J769" t="n">
        <v>0</v>
      </c>
      <c r="K769" t="n">
        <v>0</v>
      </c>
      <c r="L769" t="n">
        <v>0</v>
      </c>
      <c r="M769" t="n">
        <v>0</v>
      </c>
      <c r="N769" t="n">
        <v>0</v>
      </c>
      <c r="O769" t="n">
        <v>0</v>
      </c>
      <c r="P769" t="n">
        <v>0</v>
      </c>
      <c r="Q769" t="n">
        <v>0</v>
      </c>
      <c r="R769" s="2" t="inlineStr"/>
    </row>
    <row r="770" ht="15" customHeight="1">
      <c r="A770" t="inlineStr">
        <is>
          <t>A 45954-2018</t>
        </is>
      </c>
      <c r="B770" s="1" t="n">
        <v>43364</v>
      </c>
      <c r="C770" s="1" t="n">
        <v>45190</v>
      </c>
      <c r="D770" t="inlineStr">
        <is>
          <t>KALMAR LÄN</t>
        </is>
      </c>
      <c r="E770" t="inlineStr">
        <is>
          <t>VÄSTERVIK</t>
        </is>
      </c>
      <c r="G770" t="n">
        <v>11.4</v>
      </c>
      <c r="H770" t="n">
        <v>0</v>
      </c>
      <c r="I770" t="n">
        <v>0</v>
      </c>
      <c r="J770" t="n">
        <v>0</v>
      </c>
      <c r="K770" t="n">
        <v>0</v>
      </c>
      <c r="L770" t="n">
        <v>0</v>
      </c>
      <c r="M770" t="n">
        <v>0</v>
      </c>
      <c r="N770" t="n">
        <v>0</v>
      </c>
      <c r="O770" t="n">
        <v>0</v>
      </c>
      <c r="P770" t="n">
        <v>0</v>
      </c>
      <c r="Q770" t="n">
        <v>0</v>
      </c>
      <c r="R770" s="2" t="inlineStr"/>
    </row>
    <row r="771" ht="15" customHeight="1">
      <c r="A771" t="inlineStr">
        <is>
          <t>A 46355-2018</t>
        </is>
      </c>
      <c r="B771" s="1" t="n">
        <v>43364</v>
      </c>
      <c r="C771" s="1" t="n">
        <v>45190</v>
      </c>
      <c r="D771" t="inlineStr">
        <is>
          <t>KALMAR LÄN</t>
        </is>
      </c>
      <c r="E771" t="inlineStr">
        <is>
          <t>VÄSTERVIK</t>
        </is>
      </c>
      <c r="G771" t="n">
        <v>1.2</v>
      </c>
      <c r="H771" t="n">
        <v>0</v>
      </c>
      <c r="I771" t="n">
        <v>0</v>
      </c>
      <c r="J771" t="n">
        <v>0</v>
      </c>
      <c r="K771" t="n">
        <v>0</v>
      </c>
      <c r="L771" t="n">
        <v>0</v>
      </c>
      <c r="M771" t="n">
        <v>0</v>
      </c>
      <c r="N771" t="n">
        <v>0</v>
      </c>
      <c r="O771" t="n">
        <v>0</v>
      </c>
      <c r="P771" t="n">
        <v>0</v>
      </c>
      <c r="Q771" t="n">
        <v>0</v>
      </c>
      <c r="R771" s="2" t="inlineStr"/>
    </row>
    <row r="772" ht="15" customHeight="1">
      <c r="A772" t="inlineStr">
        <is>
          <t>A 46581-2018</t>
        </is>
      </c>
      <c r="B772" s="1" t="n">
        <v>43364</v>
      </c>
      <c r="C772" s="1" t="n">
        <v>45190</v>
      </c>
      <c r="D772" t="inlineStr">
        <is>
          <t>KALMAR LÄN</t>
        </is>
      </c>
      <c r="E772" t="inlineStr">
        <is>
          <t>HULTSFRED</t>
        </is>
      </c>
      <c r="G772" t="n">
        <v>2.6</v>
      </c>
      <c r="H772" t="n">
        <v>0</v>
      </c>
      <c r="I772" t="n">
        <v>0</v>
      </c>
      <c r="J772" t="n">
        <v>0</v>
      </c>
      <c r="K772" t="n">
        <v>0</v>
      </c>
      <c r="L772" t="n">
        <v>0</v>
      </c>
      <c r="M772" t="n">
        <v>0</v>
      </c>
      <c r="N772" t="n">
        <v>0</v>
      </c>
      <c r="O772" t="n">
        <v>0</v>
      </c>
      <c r="P772" t="n">
        <v>0</v>
      </c>
      <c r="Q772" t="n">
        <v>0</v>
      </c>
      <c r="R772" s="2" t="inlineStr"/>
    </row>
    <row r="773" ht="15" customHeight="1">
      <c r="A773" t="inlineStr">
        <is>
          <t>A 46250-2018</t>
        </is>
      </c>
      <c r="B773" s="1" t="n">
        <v>43364</v>
      </c>
      <c r="C773" s="1" t="n">
        <v>45190</v>
      </c>
      <c r="D773" t="inlineStr">
        <is>
          <t>KALMAR LÄN</t>
        </is>
      </c>
      <c r="E773" t="inlineStr">
        <is>
          <t>VÄSTERVIK</t>
        </is>
      </c>
      <c r="G773" t="n">
        <v>3.8</v>
      </c>
      <c r="H773" t="n">
        <v>0</v>
      </c>
      <c r="I773" t="n">
        <v>0</v>
      </c>
      <c r="J773" t="n">
        <v>0</v>
      </c>
      <c r="K773" t="n">
        <v>0</v>
      </c>
      <c r="L773" t="n">
        <v>0</v>
      </c>
      <c r="M773" t="n">
        <v>0</v>
      </c>
      <c r="N773" t="n">
        <v>0</v>
      </c>
      <c r="O773" t="n">
        <v>0</v>
      </c>
      <c r="P773" t="n">
        <v>0</v>
      </c>
      <c r="Q773" t="n">
        <v>0</v>
      </c>
      <c r="R773" s="2" t="inlineStr"/>
    </row>
    <row r="774" ht="15" customHeight="1">
      <c r="A774" t="inlineStr">
        <is>
          <t>A 46601-2018</t>
        </is>
      </c>
      <c r="B774" s="1" t="n">
        <v>43364</v>
      </c>
      <c r="C774" s="1" t="n">
        <v>45190</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46616-2018</t>
        </is>
      </c>
      <c r="B775" s="1" t="n">
        <v>43364</v>
      </c>
      <c r="C775" s="1" t="n">
        <v>45190</v>
      </c>
      <c r="D775" t="inlineStr">
        <is>
          <t>KALMAR LÄN</t>
        </is>
      </c>
      <c r="E775" t="inlineStr">
        <is>
          <t>HULTSFRED</t>
        </is>
      </c>
      <c r="G775" t="n">
        <v>7.9</v>
      </c>
      <c r="H775" t="n">
        <v>0</v>
      </c>
      <c r="I775" t="n">
        <v>0</v>
      </c>
      <c r="J775" t="n">
        <v>0</v>
      </c>
      <c r="K775" t="n">
        <v>0</v>
      </c>
      <c r="L775" t="n">
        <v>0</v>
      </c>
      <c r="M775" t="n">
        <v>0</v>
      </c>
      <c r="N775" t="n">
        <v>0</v>
      </c>
      <c r="O775" t="n">
        <v>0</v>
      </c>
      <c r="P775" t="n">
        <v>0</v>
      </c>
      <c r="Q775" t="n">
        <v>0</v>
      </c>
      <c r="R775" s="2" t="inlineStr"/>
    </row>
    <row r="776" ht="15" customHeight="1">
      <c r="A776" t="inlineStr">
        <is>
          <t>A 45871-2018</t>
        </is>
      </c>
      <c r="B776" s="1" t="n">
        <v>43364</v>
      </c>
      <c r="C776" s="1" t="n">
        <v>45190</v>
      </c>
      <c r="D776" t="inlineStr">
        <is>
          <t>KALMAR LÄN</t>
        </is>
      </c>
      <c r="E776" t="inlineStr">
        <is>
          <t>VÄSTERVIK</t>
        </is>
      </c>
      <c r="G776" t="n">
        <v>3.4</v>
      </c>
      <c r="H776" t="n">
        <v>0</v>
      </c>
      <c r="I776" t="n">
        <v>0</v>
      </c>
      <c r="J776" t="n">
        <v>0</v>
      </c>
      <c r="K776" t="n">
        <v>0</v>
      </c>
      <c r="L776" t="n">
        <v>0</v>
      </c>
      <c r="M776" t="n">
        <v>0</v>
      </c>
      <c r="N776" t="n">
        <v>0</v>
      </c>
      <c r="O776" t="n">
        <v>0</v>
      </c>
      <c r="P776" t="n">
        <v>0</v>
      </c>
      <c r="Q776" t="n">
        <v>0</v>
      </c>
      <c r="R776" s="2" t="inlineStr"/>
    </row>
    <row r="777" ht="15" customHeight="1">
      <c r="A777" t="inlineStr">
        <is>
          <t>A 46247-2018</t>
        </is>
      </c>
      <c r="B777" s="1" t="n">
        <v>43364</v>
      </c>
      <c r="C777" s="1" t="n">
        <v>45190</v>
      </c>
      <c r="D777" t="inlineStr">
        <is>
          <t>KALMAR LÄN</t>
        </is>
      </c>
      <c r="E777" t="inlineStr">
        <is>
          <t>VÄSTERVIK</t>
        </is>
      </c>
      <c r="G777" t="n">
        <v>3.2</v>
      </c>
      <c r="H777" t="n">
        <v>0</v>
      </c>
      <c r="I777" t="n">
        <v>0</v>
      </c>
      <c r="J777" t="n">
        <v>0</v>
      </c>
      <c r="K777" t="n">
        <v>0</v>
      </c>
      <c r="L777" t="n">
        <v>0</v>
      </c>
      <c r="M777" t="n">
        <v>0</v>
      </c>
      <c r="N777" t="n">
        <v>0</v>
      </c>
      <c r="O777" t="n">
        <v>0</v>
      </c>
      <c r="P777" t="n">
        <v>0</v>
      </c>
      <c r="Q777" t="n">
        <v>0</v>
      </c>
      <c r="R777" s="2" t="inlineStr"/>
    </row>
    <row r="778" ht="15" customHeight="1">
      <c r="A778" t="inlineStr">
        <is>
          <t>A 46537-2018</t>
        </is>
      </c>
      <c r="B778" s="1" t="n">
        <v>43364</v>
      </c>
      <c r="C778" s="1" t="n">
        <v>45190</v>
      </c>
      <c r="D778" t="inlineStr">
        <is>
          <t>KALMAR LÄN</t>
        </is>
      </c>
      <c r="E778" t="inlineStr">
        <is>
          <t>HULTSFRED</t>
        </is>
      </c>
      <c r="G778" t="n">
        <v>2.8</v>
      </c>
      <c r="H778" t="n">
        <v>0</v>
      </c>
      <c r="I778" t="n">
        <v>0</v>
      </c>
      <c r="J778" t="n">
        <v>0</v>
      </c>
      <c r="K778" t="n">
        <v>0</v>
      </c>
      <c r="L778" t="n">
        <v>0</v>
      </c>
      <c r="M778" t="n">
        <v>0</v>
      </c>
      <c r="N778" t="n">
        <v>0</v>
      </c>
      <c r="O778" t="n">
        <v>0</v>
      </c>
      <c r="P778" t="n">
        <v>0</v>
      </c>
      <c r="Q778" t="n">
        <v>0</v>
      </c>
      <c r="R778" s="2" t="inlineStr"/>
    </row>
    <row r="779" ht="15" customHeight="1">
      <c r="A779" t="inlineStr">
        <is>
          <t>A 47174-2018</t>
        </is>
      </c>
      <c r="B779" s="1" t="n">
        <v>43367</v>
      </c>
      <c r="C779" s="1" t="n">
        <v>45190</v>
      </c>
      <c r="D779" t="inlineStr">
        <is>
          <t>KALMAR LÄN</t>
        </is>
      </c>
      <c r="E779" t="inlineStr">
        <is>
          <t>KALMAR</t>
        </is>
      </c>
      <c r="G779" t="n">
        <v>1</v>
      </c>
      <c r="H779" t="n">
        <v>0</v>
      </c>
      <c r="I779" t="n">
        <v>0</v>
      </c>
      <c r="J779" t="n">
        <v>0</v>
      </c>
      <c r="K779" t="n">
        <v>0</v>
      </c>
      <c r="L779" t="n">
        <v>0</v>
      </c>
      <c r="M779" t="n">
        <v>0</v>
      </c>
      <c r="N779" t="n">
        <v>0</v>
      </c>
      <c r="O779" t="n">
        <v>0</v>
      </c>
      <c r="P779" t="n">
        <v>0</v>
      </c>
      <c r="Q779" t="n">
        <v>0</v>
      </c>
      <c r="R779" s="2" t="inlineStr"/>
    </row>
    <row r="780" ht="15" customHeight="1">
      <c r="A780" t="inlineStr">
        <is>
          <t>A 46137-2018</t>
        </is>
      </c>
      <c r="B780" s="1" t="n">
        <v>43367</v>
      </c>
      <c r="C780" s="1" t="n">
        <v>45190</v>
      </c>
      <c r="D780" t="inlineStr">
        <is>
          <t>KALMAR LÄN</t>
        </is>
      </c>
      <c r="E780" t="inlineStr">
        <is>
          <t>NYBRO</t>
        </is>
      </c>
      <c r="G780" t="n">
        <v>4.6</v>
      </c>
      <c r="H780" t="n">
        <v>0</v>
      </c>
      <c r="I780" t="n">
        <v>0</v>
      </c>
      <c r="J780" t="n">
        <v>0</v>
      </c>
      <c r="K780" t="n">
        <v>0</v>
      </c>
      <c r="L780" t="n">
        <v>0</v>
      </c>
      <c r="M780" t="n">
        <v>0</v>
      </c>
      <c r="N780" t="n">
        <v>0</v>
      </c>
      <c r="O780" t="n">
        <v>0</v>
      </c>
      <c r="P780" t="n">
        <v>0</v>
      </c>
      <c r="Q780" t="n">
        <v>0</v>
      </c>
      <c r="R780" s="2" t="inlineStr"/>
    </row>
    <row r="781" ht="15" customHeight="1">
      <c r="A781" t="inlineStr">
        <is>
          <t>A 47219-2018</t>
        </is>
      </c>
      <c r="B781" s="1" t="n">
        <v>43367</v>
      </c>
      <c r="C781" s="1" t="n">
        <v>45190</v>
      </c>
      <c r="D781" t="inlineStr">
        <is>
          <t>KALMAR LÄN</t>
        </is>
      </c>
      <c r="E781" t="inlineStr">
        <is>
          <t>NYBRO</t>
        </is>
      </c>
      <c r="G781" t="n">
        <v>0.8</v>
      </c>
      <c r="H781" t="n">
        <v>0</v>
      </c>
      <c r="I781" t="n">
        <v>0</v>
      </c>
      <c r="J781" t="n">
        <v>0</v>
      </c>
      <c r="K781" t="n">
        <v>0</v>
      </c>
      <c r="L781" t="n">
        <v>0</v>
      </c>
      <c r="M781" t="n">
        <v>0</v>
      </c>
      <c r="N781" t="n">
        <v>0</v>
      </c>
      <c r="O781" t="n">
        <v>0</v>
      </c>
      <c r="P781" t="n">
        <v>0</v>
      </c>
      <c r="Q781" t="n">
        <v>0</v>
      </c>
      <c r="R781" s="2" t="inlineStr"/>
    </row>
    <row r="782" ht="15" customHeight="1">
      <c r="A782" t="inlineStr">
        <is>
          <t>A 47165-2018</t>
        </is>
      </c>
      <c r="B782" s="1" t="n">
        <v>43367</v>
      </c>
      <c r="C782" s="1" t="n">
        <v>45190</v>
      </c>
      <c r="D782" t="inlineStr">
        <is>
          <t>KALMAR LÄN</t>
        </is>
      </c>
      <c r="E782" t="inlineStr">
        <is>
          <t>KALMAR</t>
        </is>
      </c>
      <c r="G782" t="n">
        <v>1.3</v>
      </c>
      <c r="H782" t="n">
        <v>0</v>
      </c>
      <c r="I782" t="n">
        <v>0</v>
      </c>
      <c r="J782" t="n">
        <v>0</v>
      </c>
      <c r="K782" t="n">
        <v>0</v>
      </c>
      <c r="L782" t="n">
        <v>0</v>
      </c>
      <c r="M782" t="n">
        <v>0</v>
      </c>
      <c r="N782" t="n">
        <v>0</v>
      </c>
      <c r="O782" t="n">
        <v>0</v>
      </c>
      <c r="P782" t="n">
        <v>0</v>
      </c>
      <c r="Q782" t="n">
        <v>0</v>
      </c>
      <c r="R782" s="2" t="inlineStr"/>
    </row>
    <row r="783" ht="15" customHeight="1">
      <c r="A783" t="inlineStr">
        <is>
          <t>A 46830-2018</t>
        </is>
      </c>
      <c r="B783" s="1" t="n">
        <v>43367</v>
      </c>
      <c r="C783" s="1" t="n">
        <v>45190</v>
      </c>
      <c r="D783" t="inlineStr">
        <is>
          <t>KALMAR LÄN</t>
        </is>
      </c>
      <c r="E783" t="inlineStr">
        <is>
          <t>VIMMERBY</t>
        </is>
      </c>
      <c r="G783" t="n">
        <v>1.2</v>
      </c>
      <c r="H783" t="n">
        <v>0</v>
      </c>
      <c r="I783" t="n">
        <v>0</v>
      </c>
      <c r="J783" t="n">
        <v>0</v>
      </c>
      <c r="K783" t="n">
        <v>0</v>
      </c>
      <c r="L783" t="n">
        <v>0</v>
      </c>
      <c r="M783" t="n">
        <v>0</v>
      </c>
      <c r="N783" t="n">
        <v>0</v>
      </c>
      <c r="O783" t="n">
        <v>0</v>
      </c>
      <c r="P783" t="n">
        <v>0</v>
      </c>
      <c r="Q783" t="n">
        <v>0</v>
      </c>
      <c r="R783" s="2" t="inlineStr"/>
    </row>
    <row r="784" ht="15" customHeight="1">
      <c r="A784" t="inlineStr">
        <is>
          <t>A 46665-2018</t>
        </is>
      </c>
      <c r="B784" s="1" t="n">
        <v>43368</v>
      </c>
      <c r="C784" s="1" t="n">
        <v>45190</v>
      </c>
      <c r="D784" t="inlineStr">
        <is>
          <t>KALMAR LÄN</t>
        </is>
      </c>
      <c r="E784" t="inlineStr">
        <is>
          <t>VIMMERBY</t>
        </is>
      </c>
      <c r="G784" t="n">
        <v>0.7</v>
      </c>
      <c r="H784" t="n">
        <v>0</v>
      </c>
      <c r="I784" t="n">
        <v>0</v>
      </c>
      <c r="J784" t="n">
        <v>0</v>
      </c>
      <c r="K784" t="n">
        <v>0</v>
      </c>
      <c r="L784" t="n">
        <v>0</v>
      </c>
      <c r="M784" t="n">
        <v>0</v>
      </c>
      <c r="N784" t="n">
        <v>0</v>
      </c>
      <c r="O784" t="n">
        <v>0</v>
      </c>
      <c r="P784" t="n">
        <v>0</v>
      </c>
      <c r="Q784" t="n">
        <v>0</v>
      </c>
      <c r="R784" s="2" t="inlineStr"/>
    </row>
    <row r="785" ht="15" customHeight="1">
      <c r="A785" t="inlineStr">
        <is>
          <t>A 46663-2018</t>
        </is>
      </c>
      <c r="B785" s="1" t="n">
        <v>43368</v>
      </c>
      <c r="C785" s="1" t="n">
        <v>45190</v>
      </c>
      <c r="D785" t="inlineStr">
        <is>
          <t>KALMAR LÄN</t>
        </is>
      </c>
      <c r="E785" t="inlineStr">
        <is>
          <t>VIMMERBY</t>
        </is>
      </c>
      <c r="G785" t="n">
        <v>0.5</v>
      </c>
      <c r="H785" t="n">
        <v>0</v>
      </c>
      <c r="I785" t="n">
        <v>0</v>
      </c>
      <c r="J785" t="n">
        <v>0</v>
      </c>
      <c r="K785" t="n">
        <v>0</v>
      </c>
      <c r="L785" t="n">
        <v>0</v>
      </c>
      <c r="M785" t="n">
        <v>0</v>
      </c>
      <c r="N785" t="n">
        <v>0</v>
      </c>
      <c r="O785" t="n">
        <v>0</v>
      </c>
      <c r="P785" t="n">
        <v>0</v>
      </c>
      <c r="Q785" t="n">
        <v>0</v>
      </c>
      <c r="R785" s="2" t="inlineStr"/>
    </row>
    <row r="786" ht="15" customHeight="1">
      <c r="A786" t="inlineStr">
        <is>
          <t>A 47584-2018</t>
        </is>
      </c>
      <c r="B786" s="1" t="n">
        <v>43369</v>
      </c>
      <c r="C786" s="1" t="n">
        <v>45190</v>
      </c>
      <c r="D786" t="inlineStr">
        <is>
          <t>KALMAR LÄN</t>
        </is>
      </c>
      <c r="E786" t="inlineStr">
        <is>
          <t>EMMABODA</t>
        </is>
      </c>
      <c r="G786" t="n">
        <v>21.5</v>
      </c>
      <c r="H786" t="n">
        <v>0</v>
      </c>
      <c r="I786" t="n">
        <v>0</v>
      </c>
      <c r="J786" t="n">
        <v>0</v>
      </c>
      <c r="K786" t="n">
        <v>0</v>
      </c>
      <c r="L786" t="n">
        <v>0</v>
      </c>
      <c r="M786" t="n">
        <v>0</v>
      </c>
      <c r="N786" t="n">
        <v>0</v>
      </c>
      <c r="O786" t="n">
        <v>0</v>
      </c>
      <c r="P786" t="n">
        <v>0</v>
      </c>
      <c r="Q786" t="n">
        <v>0</v>
      </c>
      <c r="R786" s="2" t="inlineStr"/>
    </row>
    <row r="787" ht="15" customHeight="1">
      <c r="A787" t="inlineStr">
        <is>
          <t>A 47750-2018</t>
        </is>
      </c>
      <c r="B787" s="1" t="n">
        <v>43369</v>
      </c>
      <c r="C787" s="1" t="n">
        <v>45190</v>
      </c>
      <c r="D787" t="inlineStr">
        <is>
          <t>KALMAR LÄN</t>
        </is>
      </c>
      <c r="E787" t="inlineStr">
        <is>
          <t>OSKARSHAMN</t>
        </is>
      </c>
      <c r="G787" t="n">
        <v>2</v>
      </c>
      <c r="H787" t="n">
        <v>0</v>
      </c>
      <c r="I787" t="n">
        <v>0</v>
      </c>
      <c r="J787" t="n">
        <v>0</v>
      </c>
      <c r="K787" t="n">
        <v>0</v>
      </c>
      <c r="L787" t="n">
        <v>0</v>
      </c>
      <c r="M787" t="n">
        <v>0</v>
      </c>
      <c r="N787" t="n">
        <v>0</v>
      </c>
      <c r="O787" t="n">
        <v>0</v>
      </c>
      <c r="P787" t="n">
        <v>0</v>
      </c>
      <c r="Q787" t="n">
        <v>0</v>
      </c>
      <c r="R787" s="2" t="inlineStr"/>
    </row>
    <row r="788" ht="15" customHeight="1">
      <c r="A788" t="inlineStr">
        <is>
          <t>A 47752-2018</t>
        </is>
      </c>
      <c r="B788" s="1" t="n">
        <v>43369</v>
      </c>
      <c r="C788" s="1" t="n">
        <v>45190</v>
      </c>
      <c r="D788" t="inlineStr">
        <is>
          <t>KALMAR LÄN</t>
        </is>
      </c>
      <c r="E788" t="inlineStr">
        <is>
          <t>OSKARSHAMN</t>
        </is>
      </c>
      <c r="G788" t="n">
        <v>1.8</v>
      </c>
      <c r="H788" t="n">
        <v>0</v>
      </c>
      <c r="I788" t="n">
        <v>0</v>
      </c>
      <c r="J788" t="n">
        <v>0</v>
      </c>
      <c r="K788" t="n">
        <v>0</v>
      </c>
      <c r="L788" t="n">
        <v>0</v>
      </c>
      <c r="M788" t="n">
        <v>0</v>
      </c>
      <c r="N788" t="n">
        <v>0</v>
      </c>
      <c r="O788" t="n">
        <v>0</v>
      </c>
      <c r="P788" t="n">
        <v>0</v>
      </c>
      <c r="Q788" t="n">
        <v>0</v>
      </c>
      <c r="R788" s="2" t="inlineStr"/>
    </row>
    <row r="789" ht="15" customHeight="1">
      <c r="A789" t="inlineStr">
        <is>
          <t>A 47593-2018</t>
        </is>
      </c>
      <c r="B789" s="1" t="n">
        <v>43370</v>
      </c>
      <c r="C789" s="1" t="n">
        <v>45190</v>
      </c>
      <c r="D789" t="inlineStr">
        <is>
          <t>KALMAR LÄN</t>
        </is>
      </c>
      <c r="E789" t="inlineStr">
        <is>
          <t>NYBRO</t>
        </is>
      </c>
      <c r="G789" t="n">
        <v>5.9</v>
      </c>
      <c r="H789" t="n">
        <v>0</v>
      </c>
      <c r="I789" t="n">
        <v>0</v>
      </c>
      <c r="J789" t="n">
        <v>0</v>
      </c>
      <c r="K789" t="n">
        <v>0</v>
      </c>
      <c r="L789" t="n">
        <v>0</v>
      </c>
      <c r="M789" t="n">
        <v>0</v>
      </c>
      <c r="N789" t="n">
        <v>0</v>
      </c>
      <c r="O789" t="n">
        <v>0</v>
      </c>
      <c r="P789" t="n">
        <v>0</v>
      </c>
      <c r="Q789" t="n">
        <v>0</v>
      </c>
      <c r="R789" s="2" t="inlineStr"/>
    </row>
    <row r="790" ht="15" customHeight="1">
      <c r="A790" t="inlineStr">
        <is>
          <t>A 48376-2018</t>
        </is>
      </c>
      <c r="B790" s="1" t="n">
        <v>43370</v>
      </c>
      <c r="C790" s="1" t="n">
        <v>45190</v>
      </c>
      <c r="D790" t="inlineStr">
        <is>
          <t>KALMAR LÄN</t>
        </is>
      </c>
      <c r="E790" t="inlineStr">
        <is>
          <t>NYBRO</t>
        </is>
      </c>
      <c r="G790" t="n">
        <v>3.7</v>
      </c>
      <c r="H790" t="n">
        <v>0</v>
      </c>
      <c r="I790" t="n">
        <v>0</v>
      </c>
      <c r="J790" t="n">
        <v>0</v>
      </c>
      <c r="K790" t="n">
        <v>0</v>
      </c>
      <c r="L790" t="n">
        <v>0</v>
      </c>
      <c r="M790" t="n">
        <v>0</v>
      </c>
      <c r="N790" t="n">
        <v>0</v>
      </c>
      <c r="O790" t="n">
        <v>0</v>
      </c>
      <c r="P790" t="n">
        <v>0</v>
      </c>
      <c r="Q790" t="n">
        <v>0</v>
      </c>
      <c r="R790" s="2" t="inlineStr"/>
    </row>
    <row r="791" ht="15" customHeight="1">
      <c r="A791" t="inlineStr">
        <is>
          <t>A 47775-2018</t>
        </is>
      </c>
      <c r="B791" s="1" t="n">
        <v>43370</v>
      </c>
      <c r="C791" s="1" t="n">
        <v>45190</v>
      </c>
      <c r="D791" t="inlineStr">
        <is>
          <t>KALMAR LÄN</t>
        </is>
      </c>
      <c r="E791" t="inlineStr">
        <is>
          <t>HULTSFRED</t>
        </is>
      </c>
      <c r="G791" t="n">
        <v>0.6</v>
      </c>
      <c r="H791" t="n">
        <v>0</v>
      </c>
      <c r="I791" t="n">
        <v>0</v>
      </c>
      <c r="J791" t="n">
        <v>0</v>
      </c>
      <c r="K791" t="n">
        <v>0</v>
      </c>
      <c r="L791" t="n">
        <v>0</v>
      </c>
      <c r="M791" t="n">
        <v>0</v>
      </c>
      <c r="N791" t="n">
        <v>0</v>
      </c>
      <c r="O791" t="n">
        <v>0</v>
      </c>
      <c r="P791" t="n">
        <v>0</v>
      </c>
      <c r="Q791" t="n">
        <v>0</v>
      </c>
      <c r="R791" s="2" t="inlineStr"/>
    </row>
    <row r="792" ht="15" customHeight="1">
      <c r="A792" t="inlineStr">
        <is>
          <t>A 48506-2018</t>
        </is>
      </c>
      <c r="B792" s="1" t="n">
        <v>43371</v>
      </c>
      <c r="C792" s="1" t="n">
        <v>45190</v>
      </c>
      <c r="D792" t="inlineStr">
        <is>
          <t>KALMAR LÄN</t>
        </is>
      </c>
      <c r="E792" t="inlineStr">
        <is>
          <t>HULTSFRED</t>
        </is>
      </c>
      <c r="G792" t="n">
        <v>5.6</v>
      </c>
      <c r="H792" t="n">
        <v>0</v>
      </c>
      <c r="I792" t="n">
        <v>0</v>
      </c>
      <c r="J792" t="n">
        <v>0</v>
      </c>
      <c r="K792" t="n">
        <v>0</v>
      </c>
      <c r="L792" t="n">
        <v>0</v>
      </c>
      <c r="M792" t="n">
        <v>0</v>
      </c>
      <c r="N792" t="n">
        <v>0</v>
      </c>
      <c r="O792" t="n">
        <v>0</v>
      </c>
      <c r="P792" t="n">
        <v>0</v>
      </c>
      <c r="Q792" t="n">
        <v>0</v>
      </c>
      <c r="R792" s="2" t="inlineStr"/>
    </row>
    <row r="793" ht="15" customHeight="1">
      <c r="A793" t="inlineStr">
        <is>
          <t>A 48918-2018</t>
        </is>
      </c>
      <c r="B793" s="1" t="n">
        <v>43371</v>
      </c>
      <c r="C793" s="1" t="n">
        <v>45190</v>
      </c>
      <c r="D793" t="inlineStr">
        <is>
          <t>KALMAR LÄN</t>
        </is>
      </c>
      <c r="E793" t="inlineStr">
        <is>
          <t>HÖGSBY</t>
        </is>
      </c>
      <c r="G793" t="n">
        <v>7.9</v>
      </c>
      <c r="H793" t="n">
        <v>0</v>
      </c>
      <c r="I793" t="n">
        <v>0</v>
      </c>
      <c r="J793" t="n">
        <v>0</v>
      </c>
      <c r="K793" t="n">
        <v>0</v>
      </c>
      <c r="L793" t="n">
        <v>0</v>
      </c>
      <c r="M793" t="n">
        <v>0</v>
      </c>
      <c r="N793" t="n">
        <v>0</v>
      </c>
      <c r="O793" t="n">
        <v>0</v>
      </c>
      <c r="P793" t="n">
        <v>0</v>
      </c>
      <c r="Q793" t="n">
        <v>0</v>
      </c>
      <c r="R793" s="2" t="inlineStr"/>
    </row>
    <row r="794" ht="15" customHeight="1">
      <c r="A794" t="inlineStr">
        <is>
          <t>A 48762-2018</t>
        </is>
      </c>
      <c r="B794" s="1" t="n">
        <v>43374</v>
      </c>
      <c r="C794" s="1" t="n">
        <v>45190</v>
      </c>
      <c r="D794" t="inlineStr">
        <is>
          <t>KALMAR LÄN</t>
        </is>
      </c>
      <c r="E794" t="inlineStr">
        <is>
          <t>EMMABODA</t>
        </is>
      </c>
      <c r="G794" t="n">
        <v>0.7</v>
      </c>
      <c r="H794" t="n">
        <v>0</v>
      </c>
      <c r="I794" t="n">
        <v>0</v>
      </c>
      <c r="J794" t="n">
        <v>0</v>
      </c>
      <c r="K794" t="n">
        <v>0</v>
      </c>
      <c r="L794" t="n">
        <v>0</v>
      </c>
      <c r="M794" t="n">
        <v>0</v>
      </c>
      <c r="N794" t="n">
        <v>0</v>
      </c>
      <c r="O794" t="n">
        <v>0</v>
      </c>
      <c r="P794" t="n">
        <v>0</v>
      </c>
      <c r="Q794" t="n">
        <v>0</v>
      </c>
      <c r="R794" s="2" t="inlineStr"/>
    </row>
    <row r="795" ht="15" customHeight="1">
      <c r="A795" t="inlineStr">
        <is>
          <t>A 49724-2018</t>
        </is>
      </c>
      <c r="B795" s="1" t="n">
        <v>43375</v>
      </c>
      <c r="C795" s="1" t="n">
        <v>45190</v>
      </c>
      <c r="D795" t="inlineStr">
        <is>
          <t>KALMAR LÄN</t>
        </is>
      </c>
      <c r="E795" t="inlineStr">
        <is>
          <t>HULTSFRED</t>
        </is>
      </c>
      <c r="G795" t="n">
        <v>0.9</v>
      </c>
      <c r="H795" t="n">
        <v>0</v>
      </c>
      <c r="I795" t="n">
        <v>0</v>
      </c>
      <c r="J795" t="n">
        <v>0</v>
      </c>
      <c r="K795" t="n">
        <v>0</v>
      </c>
      <c r="L795" t="n">
        <v>0</v>
      </c>
      <c r="M795" t="n">
        <v>0</v>
      </c>
      <c r="N795" t="n">
        <v>0</v>
      </c>
      <c r="O795" t="n">
        <v>0</v>
      </c>
      <c r="P795" t="n">
        <v>0</v>
      </c>
      <c r="Q795" t="n">
        <v>0</v>
      </c>
      <c r="R795" s="2" t="inlineStr"/>
    </row>
    <row r="796" ht="15" customHeight="1">
      <c r="A796" t="inlineStr">
        <is>
          <t>A 50199-2018</t>
        </is>
      </c>
      <c r="B796" s="1" t="n">
        <v>43376</v>
      </c>
      <c r="C796" s="1" t="n">
        <v>45190</v>
      </c>
      <c r="D796" t="inlineStr">
        <is>
          <t>KALMAR LÄN</t>
        </is>
      </c>
      <c r="E796" t="inlineStr">
        <is>
          <t>TORSÅS</t>
        </is>
      </c>
      <c r="G796" t="n">
        <v>14.7</v>
      </c>
      <c r="H796" t="n">
        <v>0</v>
      </c>
      <c r="I796" t="n">
        <v>0</v>
      </c>
      <c r="J796" t="n">
        <v>0</v>
      </c>
      <c r="K796" t="n">
        <v>0</v>
      </c>
      <c r="L796" t="n">
        <v>0</v>
      </c>
      <c r="M796" t="n">
        <v>0</v>
      </c>
      <c r="N796" t="n">
        <v>0</v>
      </c>
      <c r="O796" t="n">
        <v>0</v>
      </c>
      <c r="P796" t="n">
        <v>0</v>
      </c>
      <c r="Q796" t="n">
        <v>0</v>
      </c>
      <c r="R796" s="2" t="inlineStr"/>
    </row>
    <row r="797" ht="15" customHeight="1">
      <c r="A797" t="inlineStr">
        <is>
          <t>A 50278-2018</t>
        </is>
      </c>
      <c r="B797" s="1" t="n">
        <v>43376</v>
      </c>
      <c r="C797" s="1" t="n">
        <v>45190</v>
      </c>
      <c r="D797" t="inlineStr">
        <is>
          <t>KALMAR LÄN</t>
        </is>
      </c>
      <c r="E797" t="inlineStr">
        <is>
          <t>HÖGSBY</t>
        </is>
      </c>
      <c r="G797" t="n">
        <v>0.7</v>
      </c>
      <c r="H797" t="n">
        <v>0</v>
      </c>
      <c r="I797" t="n">
        <v>0</v>
      </c>
      <c r="J797" t="n">
        <v>0</v>
      </c>
      <c r="K797" t="n">
        <v>0</v>
      </c>
      <c r="L797" t="n">
        <v>0</v>
      </c>
      <c r="M797" t="n">
        <v>0</v>
      </c>
      <c r="N797" t="n">
        <v>0</v>
      </c>
      <c r="O797" t="n">
        <v>0</v>
      </c>
      <c r="P797" t="n">
        <v>0</v>
      </c>
      <c r="Q797" t="n">
        <v>0</v>
      </c>
      <c r="R797" s="2" t="inlineStr"/>
    </row>
    <row r="798" ht="15" customHeight="1">
      <c r="A798" t="inlineStr">
        <is>
          <t>A 50802-2018</t>
        </is>
      </c>
      <c r="B798" s="1" t="n">
        <v>43376</v>
      </c>
      <c r="C798" s="1" t="n">
        <v>45190</v>
      </c>
      <c r="D798" t="inlineStr">
        <is>
          <t>KALMAR LÄN</t>
        </is>
      </c>
      <c r="E798" t="inlineStr">
        <is>
          <t>VÄSTERVIK</t>
        </is>
      </c>
      <c r="G798" t="n">
        <v>0.8</v>
      </c>
      <c r="H798" t="n">
        <v>0</v>
      </c>
      <c r="I798" t="n">
        <v>0</v>
      </c>
      <c r="J798" t="n">
        <v>0</v>
      </c>
      <c r="K798" t="n">
        <v>0</v>
      </c>
      <c r="L798" t="n">
        <v>0</v>
      </c>
      <c r="M798" t="n">
        <v>0</v>
      </c>
      <c r="N798" t="n">
        <v>0</v>
      </c>
      <c r="O798" t="n">
        <v>0</v>
      </c>
      <c r="P798" t="n">
        <v>0</v>
      </c>
      <c r="Q798" t="n">
        <v>0</v>
      </c>
      <c r="R798" s="2" t="inlineStr"/>
    </row>
    <row r="799" ht="15" customHeight="1">
      <c r="A799" t="inlineStr">
        <is>
          <t>A 51206-2018</t>
        </is>
      </c>
      <c r="B799" s="1" t="n">
        <v>43377</v>
      </c>
      <c r="C799" s="1" t="n">
        <v>45190</v>
      </c>
      <c r="D799" t="inlineStr">
        <is>
          <t>KALMAR LÄN</t>
        </is>
      </c>
      <c r="E799" t="inlineStr">
        <is>
          <t>VÄSTERVIK</t>
        </is>
      </c>
      <c r="G799" t="n">
        <v>1</v>
      </c>
      <c r="H799" t="n">
        <v>0</v>
      </c>
      <c r="I799" t="n">
        <v>0</v>
      </c>
      <c r="J799" t="n">
        <v>0</v>
      </c>
      <c r="K799" t="n">
        <v>0</v>
      </c>
      <c r="L799" t="n">
        <v>0</v>
      </c>
      <c r="M799" t="n">
        <v>0</v>
      </c>
      <c r="N799" t="n">
        <v>0</v>
      </c>
      <c r="O799" t="n">
        <v>0</v>
      </c>
      <c r="P799" t="n">
        <v>0</v>
      </c>
      <c r="Q799" t="n">
        <v>0</v>
      </c>
      <c r="R799" s="2" t="inlineStr"/>
    </row>
    <row r="800" ht="15" customHeight="1">
      <c r="A800" t="inlineStr">
        <is>
          <t>A 49690-2018</t>
        </is>
      </c>
      <c r="B800" s="1" t="n">
        <v>43377</v>
      </c>
      <c r="C800" s="1" t="n">
        <v>45190</v>
      </c>
      <c r="D800" t="inlineStr">
        <is>
          <t>KALMAR LÄN</t>
        </is>
      </c>
      <c r="E800" t="inlineStr">
        <is>
          <t>NYBRO</t>
        </is>
      </c>
      <c r="G800" t="n">
        <v>2.4</v>
      </c>
      <c r="H800" t="n">
        <v>0</v>
      </c>
      <c r="I800" t="n">
        <v>0</v>
      </c>
      <c r="J800" t="n">
        <v>0</v>
      </c>
      <c r="K800" t="n">
        <v>0</v>
      </c>
      <c r="L800" t="n">
        <v>0</v>
      </c>
      <c r="M800" t="n">
        <v>0</v>
      </c>
      <c r="N800" t="n">
        <v>0</v>
      </c>
      <c r="O800" t="n">
        <v>0</v>
      </c>
      <c r="P800" t="n">
        <v>0</v>
      </c>
      <c r="Q800" t="n">
        <v>0</v>
      </c>
      <c r="R800" s="2" t="inlineStr"/>
    </row>
    <row r="801" ht="15" customHeight="1">
      <c r="A801" t="inlineStr">
        <is>
          <t>A 50198-2018</t>
        </is>
      </c>
      <c r="B801" s="1" t="n">
        <v>43377</v>
      </c>
      <c r="C801" s="1" t="n">
        <v>45190</v>
      </c>
      <c r="D801" t="inlineStr">
        <is>
          <t>KALMAR LÄN</t>
        </is>
      </c>
      <c r="E801" t="inlineStr">
        <is>
          <t>VIMMERBY</t>
        </is>
      </c>
      <c r="F801" t="inlineStr">
        <is>
          <t>Övriga statliga verk och myndigheter</t>
        </is>
      </c>
      <c r="G801" t="n">
        <v>2.2</v>
      </c>
      <c r="H801" t="n">
        <v>0</v>
      </c>
      <c r="I801" t="n">
        <v>0</v>
      </c>
      <c r="J801" t="n">
        <v>0</v>
      </c>
      <c r="K801" t="n">
        <v>0</v>
      </c>
      <c r="L801" t="n">
        <v>0</v>
      </c>
      <c r="M801" t="n">
        <v>0</v>
      </c>
      <c r="N801" t="n">
        <v>0</v>
      </c>
      <c r="O801" t="n">
        <v>0</v>
      </c>
      <c r="P801" t="n">
        <v>0</v>
      </c>
      <c r="Q801" t="n">
        <v>0</v>
      </c>
      <c r="R801" s="2" t="inlineStr"/>
    </row>
    <row r="802" ht="15" customHeight="1">
      <c r="A802" t="inlineStr">
        <is>
          <t>A 51044-2018</t>
        </is>
      </c>
      <c r="B802" s="1" t="n">
        <v>43377</v>
      </c>
      <c r="C802" s="1" t="n">
        <v>45190</v>
      </c>
      <c r="D802" t="inlineStr">
        <is>
          <t>KALMAR LÄN</t>
        </is>
      </c>
      <c r="E802" t="inlineStr">
        <is>
          <t>HULTSFRED</t>
        </is>
      </c>
      <c r="G802" t="n">
        <v>1.3</v>
      </c>
      <c r="H802" t="n">
        <v>0</v>
      </c>
      <c r="I802" t="n">
        <v>0</v>
      </c>
      <c r="J802" t="n">
        <v>0</v>
      </c>
      <c r="K802" t="n">
        <v>0</v>
      </c>
      <c r="L802" t="n">
        <v>0</v>
      </c>
      <c r="M802" t="n">
        <v>0</v>
      </c>
      <c r="N802" t="n">
        <v>0</v>
      </c>
      <c r="O802" t="n">
        <v>0</v>
      </c>
      <c r="P802" t="n">
        <v>0</v>
      </c>
      <c r="Q802" t="n">
        <v>0</v>
      </c>
      <c r="R802" s="2" t="inlineStr"/>
    </row>
    <row r="803" ht="15" customHeight="1">
      <c r="A803" t="inlineStr">
        <is>
          <t>A 51149-2018</t>
        </is>
      </c>
      <c r="B803" s="1" t="n">
        <v>43377</v>
      </c>
      <c r="C803" s="1" t="n">
        <v>45190</v>
      </c>
      <c r="D803" t="inlineStr">
        <is>
          <t>KALMAR LÄN</t>
        </is>
      </c>
      <c r="E803" t="inlineStr">
        <is>
          <t>VIMMERBY</t>
        </is>
      </c>
      <c r="G803" t="n">
        <v>2.4</v>
      </c>
      <c r="H803" t="n">
        <v>0</v>
      </c>
      <c r="I803" t="n">
        <v>0</v>
      </c>
      <c r="J803" t="n">
        <v>0</v>
      </c>
      <c r="K803" t="n">
        <v>0</v>
      </c>
      <c r="L803" t="n">
        <v>0</v>
      </c>
      <c r="M803" t="n">
        <v>0</v>
      </c>
      <c r="N803" t="n">
        <v>0</v>
      </c>
      <c r="O803" t="n">
        <v>0</v>
      </c>
      <c r="P803" t="n">
        <v>0</v>
      </c>
      <c r="Q803" t="n">
        <v>0</v>
      </c>
      <c r="R803" s="2" t="inlineStr"/>
    </row>
    <row r="804" ht="15" customHeight="1">
      <c r="A804" t="inlineStr">
        <is>
          <t>A 51587-2018</t>
        </is>
      </c>
      <c r="B804" s="1" t="n">
        <v>43377</v>
      </c>
      <c r="C804" s="1" t="n">
        <v>45190</v>
      </c>
      <c r="D804" t="inlineStr">
        <is>
          <t>KALMAR LÄN</t>
        </is>
      </c>
      <c r="E804" t="inlineStr">
        <is>
          <t>MÖNSTERÅS</t>
        </is>
      </c>
      <c r="G804" t="n">
        <v>10.6</v>
      </c>
      <c r="H804" t="n">
        <v>0</v>
      </c>
      <c r="I804" t="n">
        <v>0</v>
      </c>
      <c r="J804" t="n">
        <v>0</v>
      </c>
      <c r="K804" t="n">
        <v>0</v>
      </c>
      <c r="L804" t="n">
        <v>0</v>
      </c>
      <c r="M804" t="n">
        <v>0</v>
      </c>
      <c r="N804" t="n">
        <v>0</v>
      </c>
      <c r="O804" t="n">
        <v>0</v>
      </c>
      <c r="P804" t="n">
        <v>0</v>
      </c>
      <c r="Q804" t="n">
        <v>0</v>
      </c>
      <c r="R804" s="2" t="inlineStr"/>
    </row>
    <row r="805" ht="15" customHeight="1">
      <c r="A805" t="inlineStr">
        <is>
          <t>A 49744-2018</t>
        </is>
      </c>
      <c r="B805" s="1" t="n">
        <v>43377</v>
      </c>
      <c r="C805" s="1" t="n">
        <v>45190</v>
      </c>
      <c r="D805" t="inlineStr">
        <is>
          <t>KALMAR LÄN</t>
        </is>
      </c>
      <c r="E805" t="inlineStr">
        <is>
          <t>VÄSTERVIK</t>
        </is>
      </c>
      <c r="G805" t="n">
        <v>4.1</v>
      </c>
      <c r="H805" t="n">
        <v>0</v>
      </c>
      <c r="I805" t="n">
        <v>0</v>
      </c>
      <c r="J805" t="n">
        <v>0</v>
      </c>
      <c r="K805" t="n">
        <v>0</v>
      </c>
      <c r="L805" t="n">
        <v>0</v>
      </c>
      <c r="M805" t="n">
        <v>0</v>
      </c>
      <c r="N805" t="n">
        <v>0</v>
      </c>
      <c r="O805" t="n">
        <v>0</v>
      </c>
      <c r="P805" t="n">
        <v>0</v>
      </c>
      <c r="Q805" t="n">
        <v>0</v>
      </c>
      <c r="R805" s="2" t="inlineStr"/>
    </row>
    <row r="806" ht="15" customHeight="1">
      <c r="A806" t="inlineStr">
        <is>
          <t>A 51198-2018</t>
        </is>
      </c>
      <c r="B806" s="1" t="n">
        <v>43377</v>
      </c>
      <c r="C806" s="1" t="n">
        <v>45190</v>
      </c>
      <c r="D806" t="inlineStr">
        <is>
          <t>KALMAR LÄN</t>
        </is>
      </c>
      <c r="E806" t="inlineStr">
        <is>
          <t>VÄSTERVIK</t>
        </is>
      </c>
      <c r="G806" t="n">
        <v>1.8</v>
      </c>
      <c r="H806" t="n">
        <v>0</v>
      </c>
      <c r="I806" t="n">
        <v>0</v>
      </c>
      <c r="J806" t="n">
        <v>0</v>
      </c>
      <c r="K806" t="n">
        <v>0</v>
      </c>
      <c r="L806" t="n">
        <v>0</v>
      </c>
      <c r="M806" t="n">
        <v>0</v>
      </c>
      <c r="N806" t="n">
        <v>0</v>
      </c>
      <c r="O806" t="n">
        <v>0</v>
      </c>
      <c r="P806" t="n">
        <v>0</v>
      </c>
      <c r="Q806" t="n">
        <v>0</v>
      </c>
      <c r="R806" s="2" t="inlineStr"/>
    </row>
    <row r="807" ht="15" customHeight="1">
      <c r="A807" t="inlineStr">
        <is>
          <t>A 50934-2018</t>
        </is>
      </c>
      <c r="B807" s="1" t="n">
        <v>43377</v>
      </c>
      <c r="C807" s="1" t="n">
        <v>45190</v>
      </c>
      <c r="D807" t="inlineStr">
        <is>
          <t>KALMAR LÄN</t>
        </is>
      </c>
      <c r="E807" t="inlineStr">
        <is>
          <t>OSKARSHAMN</t>
        </is>
      </c>
      <c r="G807" t="n">
        <v>4.3</v>
      </c>
      <c r="H807" t="n">
        <v>0</v>
      </c>
      <c r="I807" t="n">
        <v>0</v>
      </c>
      <c r="J807" t="n">
        <v>0</v>
      </c>
      <c r="K807" t="n">
        <v>0</v>
      </c>
      <c r="L807" t="n">
        <v>0</v>
      </c>
      <c r="M807" t="n">
        <v>0</v>
      </c>
      <c r="N807" t="n">
        <v>0</v>
      </c>
      <c r="O807" t="n">
        <v>0</v>
      </c>
      <c r="P807" t="n">
        <v>0</v>
      </c>
      <c r="Q807" t="n">
        <v>0</v>
      </c>
      <c r="R807" s="2" t="inlineStr"/>
    </row>
    <row r="808" ht="15" customHeight="1">
      <c r="A808" t="inlineStr">
        <is>
          <t>A 51093-2018</t>
        </is>
      </c>
      <c r="B808" s="1" t="n">
        <v>43377</v>
      </c>
      <c r="C808" s="1" t="n">
        <v>45190</v>
      </c>
      <c r="D808" t="inlineStr">
        <is>
          <t>KALMAR LÄN</t>
        </is>
      </c>
      <c r="E808" t="inlineStr">
        <is>
          <t>VIMMERBY</t>
        </is>
      </c>
      <c r="G808" t="n">
        <v>0.6</v>
      </c>
      <c r="H808" t="n">
        <v>0</v>
      </c>
      <c r="I808" t="n">
        <v>0</v>
      </c>
      <c r="J808" t="n">
        <v>0</v>
      </c>
      <c r="K808" t="n">
        <v>0</v>
      </c>
      <c r="L808" t="n">
        <v>0</v>
      </c>
      <c r="M808" t="n">
        <v>0</v>
      </c>
      <c r="N808" t="n">
        <v>0</v>
      </c>
      <c r="O808" t="n">
        <v>0</v>
      </c>
      <c r="P808" t="n">
        <v>0</v>
      </c>
      <c r="Q808" t="n">
        <v>0</v>
      </c>
      <c r="R808" s="2" t="inlineStr"/>
    </row>
    <row r="809" ht="15" customHeight="1">
      <c r="A809" t="inlineStr">
        <is>
          <t>A 50260-2018</t>
        </is>
      </c>
      <c r="B809" s="1" t="n">
        <v>43378</v>
      </c>
      <c r="C809" s="1" t="n">
        <v>45190</v>
      </c>
      <c r="D809" t="inlineStr">
        <is>
          <t>KALMAR LÄN</t>
        </is>
      </c>
      <c r="E809" t="inlineStr">
        <is>
          <t>NYBRO</t>
        </is>
      </c>
      <c r="G809" t="n">
        <v>1.2</v>
      </c>
      <c r="H809" t="n">
        <v>0</v>
      </c>
      <c r="I809" t="n">
        <v>0</v>
      </c>
      <c r="J809" t="n">
        <v>0</v>
      </c>
      <c r="K809" t="n">
        <v>0</v>
      </c>
      <c r="L809" t="n">
        <v>0</v>
      </c>
      <c r="M809" t="n">
        <v>0</v>
      </c>
      <c r="N809" t="n">
        <v>0</v>
      </c>
      <c r="O809" t="n">
        <v>0</v>
      </c>
      <c r="P809" t="n">
        <v>0</v>
      </c>
      <c r="Q809" t="n">
        <v>0</v>
      </c>
      <c r="R809" s="2" t="inlineStr"/>
    </row>
    <row r="810" ht="15" customHeight="1">
      <c r="A810" t="inlineStr">
        <is>
          <t>A 51085-2018</t>
        </is>
      </c>
      <c r="B810" s="1" t="n">
        <v>43378</v>
      </c>
      <c r="C810" s="1" t="n">
        <v>45190</v>
      </c>
      <c r="D810" t="inlineStr">
        <is>
          <t>KALMAR LÄN</t>
        </is>
      </c>
      <c r="E810" t="inlineStr">
        <is>
          <t>EMMABODA</t>
        </is>
      </c>
      <c r="G810" t="n">
        <v>0.8</v>
      </c>
      <c r="H810" t="n">
        <v>0</v>
      </c>
      <c r="I810" t="n">
        <v>0</v>
      </c>
      <c r="J810" t="n">
        <v>0</v>
      </c>
      <c r="K810" t="n">
        <v>0</v>
      </c>
      <c r="L810" t="n">
        <v>0</v>
      </c>
      <c r="M810" t="n">
        <v>0</v>
      </c>
      <c r="N810" t="n">
        <v>0</v>
      </c>
      <c r="O810" t="n">
        <v>0</v>
      </c>
      <c r="P810" t="n">
        <v>0</v>
      </c>
      <c r="Q810" t="n">
        <v>0</v>
      </c>
      <c r="R810" s="2" t="inlineStr"/>
    </row>
    <row r="811" ht="15" customHeight="1">
      <c r="A811" t="inlineStr">
        <is>
          <t>A 51109-2018</t>
        </is>
      </c>
      <c r="B811" s="1" t="n">
        <v>43378</v>
      </c>
      <c r="C811" s="1" t="n">
        <v>45190</v>
      </c>
      <c r="D811" t="inlineStr">
        <is>
          <t>KALMAR LÄN</t>
        </is>
      </c>
      <c r="E811" t="inlineStr">
        <is>
          <t>VÄSTERVIK</t>
        </is>
      </c>
      <c r="G811" t="n">
        <v>1.3</v>
      </c>
      <c r="H811" t="n">
        <v>0</v>
      </c>
      <c r="I811" t="n">
        <v>0</v>
      </c>
      <c r="J811" t="n">
        <v>0</v>
      </c>
      <c r="K811" t="n">
        <v>0</v>
      </c>
      <c r="L811" t="n">
        <v>0</v>
      </c>
      <c r="M811" t="n">
        <v>0</v>
      </c>
      <c r="N811" t="n">
        <v>0</v>
      </c>
      <c r="O811" t="n">
        <v>0</v>
      </c>
      <c r="P811" t="n">
        <v>0</v>
      </c>
      <c r="Q811" t="n">
        <v>0</v>
      </c>
      <c r="R811" s="2" t="inlineStr"/>
    </row>
    <row r="812" ht="15" customHeight="1">
      <c r="A812" t="inlineStr">
        <is>
          <t>A 51739-2018</t>
        </is>
      </c>
      <c r="B812" s="1" t="n">
        <v>43381</v>
      </c>
      <c r="C812" s="1" t="n">
        <v>45190</v>
      </c>
      <c r="D812" t="inlineStr">
        <is>
          <t>KALMAR LÄN</t>
        </is>
      </c>
      <c r="E812" t="inlineStr">
        <is>
          <t>EMMABODA</t>
        </is>
      </c>
      <c r="G812" t="n">
        <v>3</v>
      </c>
      <c r="H812" t="n">
        <v>0</v>
      </c>
      <c r="I812" t="n">
        <v>0</v>
      </c>
      <c r="J812" t="n">
        <v>0</v>
      </c>
      <c r="K812" t="n">
        <v>0</v>
      </c>
      <c r="L812" t="n">
        <v>0</v>
      </c>
      <c r="M812" t="n">
        <v>0</v>
      </c>
      <c r="N812" t="n">
        <v>0</v>
      </c>
      <c r="O812" t="n">
        <v>0</v>
      </c>
      <c r="P812" t="n">
        <v>0</v>
      </c>
      <c r="Q812" t="n">
        <v>0</v>
      </c>
      <c r="R812" s="2" t="inlineStr"/>
    </row>
    <row r="813" ht="15" customHeight="1">
      <c r="A813" t="inlineStr">
        <is>
          <t>A 50703-2018</t>
        </is>
      </c>
      <c r="B813" s="1" t="n">
        <v>43381</v>
      </c>
      <c r="C813" s="1" t="n">
        <v>45190</v>
      </c>
      <c r="D813" t="inlineStr">
        <is>
          <t>KALMAR LÄN</t>
        </is>
      </c>
      <c r="E813" t="inlineStr">
        <is>
          <t>TORSÅS</t>
        </is>
      </c>
      <c r="G813" t="n">
        <v>2.2</v>
      </c>
      <c r="H813" t="n">
        <v>0</v>
      </c>
      <c r="I813" t="n">
        <v>0</v>
      </c>
      <c r="J813" t="n">
        <v>0</v>
      </c>
      <c r="K813" t="n">
        <v>0</v>
      </c>
      <c r="L813" t="n">
        <v>0</v>
      </c>
      <c r="M813" t="n">
        <v>0</v>
      </c>
      <c r="N813" t="n">
        <v>0</v>
      </c>
      <c r="O813" t="n">
        <v>0</v>
      </c>
      <c r="P813" t="n">
        <v>0</v>
      </c>
      <c r="Q813" t="n">
        <v>0</v>
      </c>
      <c r="R813" s="2" t="inlineStr"/>
    </row>
    <row r="814" ht="15" customHeight="1">
      <c r="A814" t="inlineStr">
        <is>
          <t>A 50707-2018</t>
        </is>
      </c>
      <c r="B814" s="1" t="n">
        <v>43381</v>
      </c>
      <c r="C814" s="1" t="n">
        <v>45190</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51930-2018</t>
        </is>
      </c>
      <c r="B815" s="1" t="n">
        <v>43382</v>
      </c>
      <c r="C815" s="1" t="n">
        <v>45190</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51978-2018</t>
        </is>
      </c>
      <c r="B816" s="1" t="n">
        <v>43382</v>
      </c>
      <c r="C816" s="1" t="n">
        <v>45190</v>
      </c>
      <c r="D816" t="inlineStr">
        <is>
          <t>KALMAR LÄN</t>
        </is>
      </c>
      <c r="E816" t="inlineStr">
        <is>
          <t>VÄSTERVIK</t>
        </is>
      </c>
      <c r="G816" t="n">
        <v>4.3</v>
      </c>
      <c r="H816" t="n">
        <v>0</v>
      </c>
      <c r="I816" t="n">
        <v>0</v>
      </c>
      <c r="J816" t="n">
        <v>0</v>
      </c>
      <c r="K816" t="n">
        <v>0</v>
      </c>
      <c r="L816" t="n">
        <v>0</v>
      </c>
      <c r="M816" t="n">
        <v>0</v>
      </c>
      <c r="N816" t="n">
        <v>0</v>
      </c>
      <c r="O816" t="n">
        <v>0</v>
      </c>
      <c r="P816" t="n">
        <v>0</v>
      </c>
      <c r="Q816" t="n">
        <v>0</v>
      </c>
      <c r="R816" s="2" t="inlineStr"/>
    </row>
    <row r="817" ht="15" customHeight="1">
      <c r="A817" t="inlineStr">
        <is>
          <t>A 51944-2018</t>
        </is>
      </c>
      <c r="B817" s="1" t="n">
        <v>43382</v>
      </c>
      <c r="C817" s="1" t="n">
        <v>45190</v>
      </c>
      <c r="D817" t="inlineStr">
        <is>
          <t>KALMAR LÄN</t>
        </is>
      </c>
      <c r="E817" t="inlineStr">
        <is>
          <t>HÖGSBY</t>
        </is>
      </c>
      <c r="G817" t="n">
        <v>1.1</v>
      </c>
      <c r="H817" t="n">
        <v>0</v>
      </c>
      <c r="I817" t="n">
        <v>0</v>
      </c>
      <c r="J817" t="n">
        <v>0</v>
      </c>
      <c r="K817" t="n">
        <v>0</v>
      </c>
      <c r="L817" t="n">
        <v>0</v>
      </c>
      <c r="M817" t="n">
        <v>0</v>
      </c>
      <c r="N817" t="n">
        <v>0</v>
      </c>
      <c r="O817" t="n">
        <v>0</v>
      </c>
      <c r="P817" t="n">
        <v>0</v>
      </c>
      <c r="Q817" t="n">
        <v>0</v>
      </c>
      <c r="R817" s="2" t="inlineStr"/>
    </row>
    <row r="818" ht="15" customHeight="1">
      <c r="A818" t="inlineStr">
        <is>
          <t>A 51172-2018</t>
        </is>
      </c>
      <c r="B818" s="1" t="n">
        <v>43382</v>
      </c>
      <c r="C818" s="1" t="n">
        <v>45190</v>
      </c>
      <c r="D818" t="inlineStr">
        <is>
          <t>KALMAR LÄN</t>
        </is>
      </c>
      <c r="E818" t="inlineStr">
        <is>
          <t>VIMMERBY</t>
        </is>
      </c>
      <c r="G818" t="n">
        <v>1.2</v>
      </c>
      <c r="H818" t="n">
        <v>0</v>
      </c>
      <c r="I818" t="n">
        <v>0</v>
      </c>
      <c r="J818" t="n">
        <v>0</v>
      </c>
      <c r="K818" t="n">
        <v>0</v>
      </c>
      <c r="L818" t="n">
        <v>0</v>
      </c>
      <c r="M818" t="n">
        <v>0</v>
      </c>
      <c r="N818" t="n">
        <v>0</v>
      </c>
      <c r="O818" t="n">
        <v>0</v>
      </c>
      <c r="P818" t="n">
        <v>0</v>
      </c>
      <c r="Q818" t="n">
        <v>0</v>
      </c>
      <c r="R818" s="2" t="inlineStr"/>
    </row>
    <row r="819" ht="15" customHeight="1">
      <c r="A819" t="inlineStr">
        <is>
          <t>A 52774-2018</t>
        </is>
      </c>
      <c r="B819" s="1" t="n">
        <v>43383</v>
      </c>
      <c r="C819" s="1" t="n">
        <v>45190</v>
      </c>
      <c r="D819" t="inlineStr">
        <is>
          <t>KALMAR LÄN</t>
        </is>
      </c>
      <c r="E819" t="inlineStr">
        <is>
          <t>KALMAR</t>
        </is>
      </c>
      <c r="G819" t="n">
        <v>1.9</v>
      </c>
      <c r="H819" t="n">
        <v>0</v>
      </c>
      <c r="I819" t="n">
        <v>0</v>
      </c>
      <c r="J819" t="n">
        <v>0</v>
      </c>
      <c r="K819" t="n">
        <v>0</v>
      </c>
      <c r="L819" t="n">
        <v>0</v>
      </c>
      <c r="M819" t="n">
        <v>0</v>
      </c>
      <c r="N819" t="n">
        <v>0</v>
      </c>
      <c r="O819" t="n">
        <v>0</v>
      </c>
      <c r="P819" t="n">
        <v>0</v>
      </c>
      <c r="Q819" t="n">
        <v>0</v>
      </c>
      <c r="R819" s="2" t="inlineStr"/>
    </row>
    <row r="820" ht="15" customHeight="1">
      <c r="A820" t="inlineStr">
        <is>
          <t>A 51791-2018</t>
        </is>
      </c>
      <c r="B820" s="1" t="n">
        <v>43384</v>
      </c>
      <c r="C820" s="1" t="n">
        <v>45190</v>
      </c>
      <c r="D820" t="inlineStr">
        <is>
          <t>KALMAR LÄN</t>
        </is>
      </c>
      <c r="E820" t="inlineStr">
        <is>
          <t>VIMMERBY</t>
        </is>
      </c>
      <c r="G820" t="n">
        <v>35.5</v>
      </c>
      <c r="H820" t="n">
        <v>0</v>
      </c>
      <c r="I820" t="n">
        <v>0</v>
      </c>
      <c r="J820" t="n">
        <v>0</v>
      </c>
      <c r="K820" t="n">
        <v>0</v>
      </c>
      <c r="L820" t="n">
        <v>0</v>
      </c>
      <c r="M820" t="n">
        <v>0</v>
      </c>
      <c r="N820" t="n">
        <v>0</v>
      </c>
      <c r="O820" t="n">
        <v>0</v>
      </c>
      <c r="P820" t="n">
        <v>0</v>
      </c>
      <c r="Q820" t="n">
        <v>0</v>
      </c>
      <c r="R820" s="2" t="inlineStr"/>
    </row>
    <row r="821" ht="15" customHeight="1">
      <c r="A821" t="inlineStr">
        <is>
          <t>A 52874-2018</t>
        </is>
      </c>
      <c r="B821" s="1" t="n">
        <v>43384</v>
      </c>
      <c r="C821" s="1" t="n">
        <v>45190</v>
      </c>
      <c r="D821" t="inlineStr">
        <is>
          <t>KALMAR LÄN</t>
        </is>
      </c>
      <c r="E821" t="inlineStr">
        <is>
          <t>MÖNSTERÅS</t>
        </is>
      </c>
      <c r="F821" t="inlineStr">
        <is>
          <t>Övriga Aktiebolag</t>
        </is>
      </c>
      <c r="G821" t="n">
        <v>13.6</v>
      </c>
      <c r="H821" t="n">
        <v>0</v>
      </c>
      <c r="I821" t="n">
        <v>0</v>
      </c>
      <c r="J821" t="n">
        <v>0</v>
      </c>
      <c r="K821" t="n">
        <v>0</v>
      </c>
      <c r="L821" t="n">
        <v>0</v>
      </c>
      <c r="M821" t="n">
        <v>0</v>
      </c>
      <c r="N821" t="n">
        <v>0</v>
      </c>
      <c r="O821" t="n">
        <v>0</v>
      </c>
      <c r="P821" t="n">
        <v>0</v>
      </c>
      <c r="Q821" t="n">
        <v>0</v>
      </c>
      <c r="R821" s="2" t="inlineStr"/>
    </row>
    <row r="822" ht="15" customHeight="1">
      <c r="A822" t="inlineStr">
        <is>
          <t>A 52900-2018</t>
        </is>
      </c>
      <c r="B822" s="1" t="n">
        <v>43384</v>
      </c>
      <c r="C822" s="1" t="n">
        <v>45190</v>
      </c>
      <c r="D822" t="inlineStr">
        <is>
          <t>KALMAR LÄN</t>
        </is>
      </c>
      <c r="E822" t="inlineStr">
        <is>
          <t>EMMABODA</t>
        </is>
      </c>
      <c r="G822" t="n">
        <v>2.7</v>
      </c>
      <c r="H822" t="n">
        <v>0</v>
      </c>
      <c r="I822" t="n">
        <v>0</v>
      </c>
      <c r="J822" t="n">
        <v>0</v>
      </c>
      <c r="K822" t="n">
        <v>0</v>
      </c>
      <c r="L822" t="n">
        <v>0</v>
      </c>
      <c r="M822" t="n">
        <v>0</v>
      </c>
      <c r="N822" t="n">
        <v>0</v>
      </c>
      <c r="O822" t="n">
        <v>0</v>
      </c>
      <c r="P822" t="n">
        <v>0</v>
      </c>
      <c r="Q822" t="n">
        <v>0</v>
      </c>
      <c r="R822" s="2" t="inlineStr"/>
    </row>
    <row r="823" ht="15" customHeight="1">
      <c r="A823" t="inlineStr">
        <is>
          <t>A 52844-2018</t>
        </is>
      </c>
      <c r="B823" s="1" t="n">
        <v>43384</v>
      </c>
      <c r="C823" s="1" t="n">
        <v>45190</v>
      </c>
      <c r="D823" t="inlineStr">
        <is>
          <t>KALMAR LÄN</t>
        </is>
      </c>
      <c r="E823" t="inlineStr">
        <is>
          <t>MÖNSTERÅS</t>
        </is>
      </c>
      <c r="F823" t="inlineStr">
        <is>
          <t>Övriga Aktiebolag</t>
        </is>
      </c>
      <c r="G823" t="n">
        <v>2</v>
      </c>
      <c r="H823" t="n">
        <v>0</v>
      </c>
      <c r="I823" t="n">
        <v>0</v>
      </c>
      <c r="J823" t="n">
        <v>0</v>
      </c>
      <c r="K823" t="n">
        <v>0</v>
      </c>
      <c r="L823" t="n">
        <v>0</v>
      </c>
      <c r="M823" t="n">
        <v>0</v>
      </c>
      <c r="N823" t="n">
        <v>0</v>
      </c>
      <c r="O823" t="n">
        <v>0</v>
      </c>
      <c r="P823" t="n">
        <v>0</v>
      </c>
      <c r="Q823" t="n">
        <v>0</v>
      </c>
      <c r="R823" s="2" t="inlineStr"/>
    </row>
    <row r="824" ht="15" customHeight="1">
      <c r="A824" t="inlineStr">
        <is>
          <t>A 53780-2018</t>
        </is>
      </c>
      <c r="B824" s="1" t="n">
        <v>43385</v>
      </c>
      <c r="C824" s="1" t="n">
        <v>45190</v>
      </c>
      <c r="D824" t="inlineStr">
        <is>
          <t>KALMAR LÄN</t>
        </is>
      </c>
      <c r="E824" t="inlineStr">
        <is>
          <t>HÖGSBY</t>
        </is>
      </c>
      <c r="G824" t="n">
        <v>5</v>
      </c>
      <c r="H824" t="n">
        <v>0</v>
      </c>
      <c r="I824" t="n">
        <v>0</v>
      </c>
      <c r="J824" t="n">
        <v>0</v>
      </c>
      <c r="K824" t="n">
        <v>0</v>
      </c>
      <c r="L824" t="n">
        <v>0</v>
      </c>
      <c r="M824" t="n">
        <v>0</v>
      </c>
      <c r="N824" t="n">
        <v>0</v>
      </c>
      <c r="O824" t="n">
        <v>0</v>
      </c>
      <c r="P824" t="n">
        <v>0</v>
      </c>
      <c r="Q824" t="n">
        <v>0</v>
      </c>
      <c r="R824" s="2" t="inlineStr"/>
    </row>
    <row r="825" ht="15" customHeight="1">
      <c r="A825" t="inlineStr">
        <is>
          <t>A 51908-2018</t>
        </is>
      </c>
      <c r="B825" s="1" t="n">
        <v>43385</v>
      </c>
      <c r="C825" s="1" t="n">
        <v>45190</v>
      </c>
      <c r="D825" t="inlineStr">
        <is>
          <t>KALMAR LÄN</t>
        </is>
      </c>
      <c r="E825" t="inlineStr">
        <is>
          <t>HULTSFRED</t>
        </is>
      </c>
      <c r="G825" t="n">
        <v>1.2</v>
      </c>
      <c r="H825" t="n">
        <v>0</v>
      </c>
      <c r="I825" t="n">
        <v>0</v>
      </c>
      <c r="J825" t="n">
        <v>0</v>
      </c>
      <c r="K825" t="n">
        <v>0</v>
      </c>
      <c r="L825" t="n">
        <v>0</v>
      </c>
      <c r="M825" t="n">
        <v>0</v>
      </c>
      <c r="N825" t="n">
        <v>0</v>
      </c>
      <c r="O825" t="n">
        <v>0</v>
      </c>
      <c r="P825" t="n">
        <v>0</v>
      </c>
      <c r="Q825" t="n">
        <v>0</v>
      </c>
      <c r="R825" s="2" t="inlineStr"/>
    </row>
    <row r="826" ht="15" customHeight="1">
      <c r="A826" t="inlineStr">
        <is>
          <t>A 53785-2018</t>
        </is>
      </c>
      <c r="B826" s="1" t="n">
        <v>43385</v>
      </c>
      <c r="C826" s="1" t="n">
        <v>45190</v>
      </c>
      <c r="D826" t="inlineStr">
        <is>
          <t>KALMAR LÄN</t>
        </is>
      </c>
      <c r="E826" t="inlineStr">
        <is>
          <t>HÖGSBY</t>
        </is>
      </c>
      <c r="G826" t="n">
        <v>17</v>
      </c>
      <c r="H826" t="n">
        <v>0</v>
      </c>
      <c r="I826" t="n">
        <v>0</v>
      </c>
      <c r="J826" t="n">
        <v>0</v>
      </c>
      <c r="K826" t="n">
        <v>0</v>
      </c>
      <c r="L826" t="n">
        <v>0</v>
      </c>
      <c r="M826" t="n">
        <v>0</v>
      </c>
      <c r="N826" t="n">
        <v>0</v>
      </c>
      <c r="O826" t="n">
        <v>0</v>
      </c>
      <c r="P826" t="n">
        <v>0</v>
      </c>
      <c r="Q826" t="n">
        <v>0</v>
      </c>
      <c r="R826" s="2" t="inlineStr"/>
    </row>
    <row r="827" ht="15" customHeight="1">
      <c r="A827" t="inlineStr">
        <is>
          <t>A 52087-2018</t>
        </is>
      </c>
      <c r="B827" s="1" t="n">
        <v>43385</v>
      </c>
      <c r="C827" s="1" t="n">
        <v>45190</v>
      </c>
      <c r="D827" t="inlineStr">
        <is>
          <t>KALMAR LÄN</t>
        </is>
      </c>
      <c r="E827" t="inlineStr">
        <is>
          <t>VIMMERBY</t>
        </is>
      </c>
      <c r="G827" t="n">
        <v>0.7</v>
      </c>
      <c r="H827" t="n">
        <v>0</v>
      </c>
      <c r="I827" t="n">
        <v>0</v>
      </c>
      <c r="J827" t="n">
        <v>0</v>
      </c>
      <c r="K827" t="n">
        <v>0</v>
      </c>
      <c r="L827" t="n">
        <v>0</v>
      </c>
      <c r="M827" t="n">
        <v>0</v>
      </c>
      <c r="N827" t="n">
        <v>0</v>
      </c>
      <c r="O827" t="n">
        <v>0</v>
      </c>
      <c r="P827" t="n">
        <v>0</v>
      </c>
      <c r="Q827" t="n">
        <v>0</v>
      </c>
      <c r="R827" s="2" t="inlineStr"/>
    </row>
    <row r="828" ht="15" customHeight="1">
      <c r="A828" t="inlineStr">
        <is>
          <t>A 53565-2018</t>
        </is>
      </c>
      <c r="B828" s="1" t="n">
        <v>43388</v>
      </c>
      <c r="C828" s="1" t="n">
        <v>45190</v>
      </c>
      <c r="D828" t="inlineStr">
        <is>
          <t>KALMAR LÄN</t>
        </is>
      </c>
      <c r="E828" t="inlineStr">
        <is>
          <t>HULTSFRED</t>
        </is>
      </c>
      <c r="G828" t="n">
        <v>2.5</v>
      </c>
      <c r="H828" t="n">
        <v>0</v>
      </c>
      <c r="I828" t="n">
        <v>0</v>
      </c>
      <c r="J828" t="n">
        <v>0</v>
      </c>
      <c r="K828" t="n">
        <v>0</v>
      </c>
      <c r="L828" t="n">
        <v>0</v>
      </c>
      <c r="M828" t="n">
        <v>0</v>
      </c>
      <c r="N828" t="n">
        <v>0</v>
      </c>
      <c r="O828" t="n">
        <v>0</v>
      </c>
      <c r="P828" t="n">
        <v>0</v>
      </c>
      <c r="Q828" t="n">
        <v>0</v>
      </c>
      <c r="R828" s="2" t="inlineStr"/>
    </row>
    <row r="829" ht="15" customHeight="1">
      <c r="A829" t="inlineStr">
        <is>
          <t>A 52418-2018</t>
        </is>
      </c>
      <c r="B829" s="1" t="n">
        <v>43388</v>
      </c>
      <c r="C829" s="1" t="n">
        <v>45190</v>
      </c>
      <c r="D829" t="inlineStr">
        <is>
          <t>KALMAR LÄN</t>
        </is>
      </c>
      <c r="E829" t="inlineStr">
        <is>
          <t>EMMABODA</t>
        </is>
      </c>
      <c r="G829" t="n">
        <v>2</v>
      </c>
      <c r="H829" t="n">
        <v>0</v>
      </c>
      <c r="I829" t="n">
        <v>0</v>
      </c>
      <c r="J829" t="n">
        <v>0</v>
      </c>
      <c r="K829" t="n">
        <v>0</v>
      </c>
      <c r="L829" t="n">
        <v>0</v>
      </c>
      <c r="M829" t="n">
        <v>0</v>
      </c>
      <c r="N829" t="n">
        <v>0</v>
      </c>
      <c r="O829" t="n">
        <v>0</v>
      </c>
      <c r="P829" t="n">
        <v>0</v>
      </c>
      <c r="Q829" t="n">
        <v>0</v>
      </c>
      <c r="R829" s="2" t="inlineStr"/>
    </row>
    <row r="830" ht="15" customHeight="1">
      <c r="A830" t="inlineStr">
        <is>
          <t>A 52411-2018</t>
        </is>
      </c>
      <c r="B830" s="1" t="n">
        <v>43388</v>
      </c>
      <c r="C830" s="1" t="n">
        <v>45190</v>
      </c>
      <c r="D830" t="inlineStr">
        <is>
          <t>KALMAR LÄN</t>
        </is>
      </c>
      <c r="E830" t="inlineStr">
        <is>
          <t>VÄSTERVIK</t>
        </is>
      </c>
      <c r="G830" t="n">
        <v>7.5</v>
      </c>
      <c r="H830" t="n">
        <v>0</v>
      </c>
      <c r="I830" t="n">
        <v>0</v>
      </c>
      <c r="J830" t="n">
        <v>0</v>
      </c>
      <c r="K830" t="n">
        <v>0</v>
      </c>
      <c r="L830" t="n">
        <v>0</v>
      </c>
      <c r="M830" t="n">
        <v>0</v>
      </c>
      <c r="N830" t="n">
        <v>0</v>
      </c>
      <c r="O830" t="n">
        <v>0</v>
      </c>
      <c r="P830" t="n">
        <v>0</v>
      </c>
      <c r="Q830" t="n">
        <v>0</v>
      </c>
      <c r="R830" s="2" t="inlineStr"/>
    </row>
    <row r="831" ht="15" customHeight="1">
      <c r="A831" t="inlineStr">
        <is>
          <t>A 54001-2018</t>
        </is>
      </c>
      <c r="B831" s="1" t="n">
        <v>43389</v>
      </c>
      <c r="C831" s="1" t="n">
        <v>45190</v>
      </c>
      <c r="D831" t="inlineStr">
        <is>
          <t>KALMAR LÄN</t>
        </is>
      </c>
      <c r="E831" t="inlineStr">
        <is>
          <t>KALMAR</t>
        </is>
      </c>
      <c r="G831" t="n">
        <v>3.1</v>
      </c>
      <c r="H831" t="n">
        <v>0</v>
      </c>
      <c r="I831" t="n">
        <v>0</v>
      </c>
      <c r="J831" t="n">
        <v>0</v>
      </c>
      <c r="K831" t="n">
        <v>0</v>
      </c>
      <c r="L831" t="n">
        <v>0</v>
      </c>
      <c r="M831" t="n">
        <v>0</v>
      </c>
      <c r="N831" t="n">
        <v>0</v>
      </c>
      <c r="O831" t="n">
        <v>0</v>
      </c>
      <c r="P831" t="n">
        <v>0</v>
      </c>
      <c r="Q831" t="n">
        <v>0</v>
      </c>
      <c r="R831" s="2" t="inlineStr"/>
    </row>
    <row r="832" ht="15" customHeight="1">
      <c r="A832" t="inlineStr">
        <is>
          <t>A 54012-2018</t>
        </is>
      </c>
      <c r="B832" s="1" t="n">
        <v>43389</v>
      </c>
      <c r="C832" s="1" t="n">
        <v>45190</v>
      </c>
      <c r="D832" t="inlineStr">
        <is>
          <t>KALMAR LÄN</t>
        </is>
      </c>
      <c r="E832" t="inlineStr">
        <is>
          <t>NYBRO</t>
        </is>
      </c>
      <c r="G832" t="n">
        <v>4.9</v>
      </c>
      <c r="H832" t="n">
        <v>0</v>
      </c>
      <c r="I832" t="n">
        <v>0</v>
      </c>
      <c r="J832" t="n">
        <v>0</v>
      </c>
      <c r="K832" t="n">
        <v>0</v>
      </c>
      <c r="L832" t="n">
        <v>0</v>
      </c>
      <c r="M832" t="n">
        <v>0</v>
      </c>
      <c r="N832" t="n">
        <v>0</v>
      </c>
      <c r="O832" t="n">
        <v>0</v>
      </c>
      <c r="P832" t="n">
        <v>0</v>
      </c>
      <c r="Q832" t="n">
        <v>0</v>
      </c>
      <c r="R832" s="2" t="inlineStr"/>
    </row>
    <row r="833" ht="15" customHeight="1">
      <c r="A833" t="inlineStr">
        <is>
          <t>A 54146-2018</t>
        </is>
      </c>
      <c r="B833" s="1" t="n">
        <v>43389</v>
      </c>
      <c r="C833" s="1" t="n">
        <v>45190</v>
      </c>
      <c r="D833" t="inlineStr">
        <is>
          <t>KALMAR LÄN</t>
        </is>
      </c>
      <c r="E833" t="inlineStr">
        <is>
          <t>TORSÅS</t>
        </is>
      </c>
      <c r="G833" t="n">
        <v>1</v>
      </c>
      <c r="H833" t="n">
        <v>0</v>
      </c>
      <c r="I833" t="n">
        <v>0</v>
      </c>
      <c r="J833" t="n">
        <v>0</v>
      </c>
      <c r="K833" t="n">
        <v>0</v>
      </c>
      <c r="L833" t="n">
        <v>0</v>
      </c>
      <c r="M833" t="n">
        <v>0</v>
      </c>
      <c r="N833" t="n">
        <v>0</v>
      </c>
      <c r="O833" t="n">
        <v>0</v>
      </c>
      <c r="P833" t="n">
        <v>0</v>
      </c>
      <c r="Q833" t="n">
        <v>0</v>
      </c>
      <c r="R833" s="2" t="inlineStr"/>
    </row>
    <row r="834" ht="15" customHeight="1">
      <c r="A834" t="inlineStr">
        <is>
          <t>A 54018-2018</t>
        </is>
      </c>
      <c r="B834" s="1" t="n">
        <v>43389</v>
      </c>
      <c r="C834" s="1" t="n">
        <v>45190</v>
      </c>
      <c r="D834" t="inlineStr">
        <is>
          <t>KALMAR LÄN</t>
        </is>
      </c>
      <c r="E834" t="inlineStr">
        <is>
          <t>NYBRO</t>
        </is>
      </c>
      <c r="G834" t="n">
        <v>4.5</v>
      </c>
      <c r="H834" t="n">
        <v>0</v>
      </c>
      <c r="I834" t="n">
        <v>0</v>
      </c>
      <c r="J834" t="n">
        <v>0</v>
      </c>
      <c r="K834" t="n">
        <v>0</v>
      </c>
      <c r="L834" t="n">
        <v>0</v>
      </c>
      <c r="M834" t="n">
        <v>0</v>
      </c>
      <c r="N834" t="n">
        <v>0</v>
      </c>
      <c r="O834" t="n">
        <v>0</v>
      </c>
      <c r="P834" t="n">
        <v>0</v>
      </c>
      <c r="Q834" t="n">
        <v>0</v>
      </c>
      <c r="R834" s="2" t="inlineStr"/>
    </row>
    <row r="835" ht="15" customHeight="1">
      <c r="A835" t="inlineStr">
        <is>
          <t>A 53025-2018</t>
        </is>
      </c>
      <c r="B835" s="1" t="n">
        <v>43390</v>
      </c>
      <c r="C835" s="1" t="n">
        <v>45190</v>
      </c>
      <c r="D835" t="inlineStr">
        <is>
          <t>KALMAR LÄN</t>
        </is>
      </c>
      <c r="E835" t="inlineStr">
        <is>
          <t>HULTSFRED</t>
        </is>
      </c>
      <c r="G835" t="n">
        <v>6.2</v>
      </c>
      <c r="H835" t="n">
        <v>0</v>
      </c>
      <c r="I835" t="n">
        <v>0</v>
      </c>
      <c r="J835" t="n">
        <v>0</v>
      </c>
      <c r="K835" t="n">
        <v>0</v>
      </c>
      <c r="L835" t="n">
        <v>0</v>
      </c>
      <c r="M835" t="n">
        <v>0</v>
      </c>
      <c r="N835" t="n">
        <v>0</v>
      </c>
      <c r="O835" t="n">
        <v>0</v>
      </c>
      <c r="P835" t="n">
        <v>0</v>
      </c>
      <c r="Q835" t="n">
        <v>0</v>
      </c>
      <c r="R835" s="2" t="inlineStr"/>
    </row>
    <row r="836" ht="15" customHeight="1">
      <c r="A836" t="inlineStr">
        <is>
          <t>A 53461-2018</t>
        </is>
      </c>
      <c r="B836" s="1" t="n">
        <v>43390</v>
      </c>
      <c r="C836" s="1" t="n">
        <v>45190</v>
      </c>
      <c r="D836" t="inlineStr">
        <is>
          <t>KALMAR LÄN</t>
        </is>
      </c>
      <c r="E836" t="inlineStr">
        <is>
          <t>HÖGSBY</t>
        </is>
      </c>
      <c r="G836" t="n">
        <v>1.9</v>
      </c>
      <c r="H836" t="n">
        <v>0</v>
      </c>
      <c r="I836" t="n">
        <v>0</v>
      </c>
      <c r="J836" t="n">
        <v>0</v>
      </c>
      <c r="K836" t="n">
        <v>0</v>
      </c>
      <c r="L836" t="n">
        <v>0</v>
      </c>
      <c r="M836" t="n">
        <v>0</v>
      </c>
      <c r="N836" t="n">
        <v>0</v>
      </c>
      <c r="O836" t="n">
        <v>0</v>
      </c>
      <c r="P836" t="n">
        <v>0</v>
      </c>
      <c r="Q836" t="n">
        <v>0</v>
      </c>
      <c r="R836" s="2" t="inlineStr"/>
    </row>
    <row r="837" ht="15" customHeight="1">
      <c r="A837" t="inlineStr">
        <is>
          <t>A 55051-2018</t>
        </is>
      </c>
      <c r="B837" s="1" t="n">
        <v>43391</v>
      </c>
      <c r="C837" s="1" t="n">
        <v>45190</v>
      </c>
      <c r="D837" t="inlineStr">
        <is>
          <t>KALMAR LÄN</t>
        </is>
      </c>
      <c r="E837" t="inlineStr">
        <is>
          <t>EMMABODA</t>
        </is>
      </c>
      <c r="G837" t="n">
        <v>1.1</v>
      </c>
      <c r="H837" t="n">
        <v>0</v>
      </c>
      <c r="I837" t="n">
        <v>0</v>
      </c>
      <c r="J837" t="n">
        <v>0</v>
      </c>
      <c r="K837" t="n">
        <v>0</v>
      </c>
      <c r="L837" t="n">
        <v>0</v>
      </c>
      <c r="M837" t="n">
        <v>0</v>
      </c>
      <c r="N837" t="n">
        <v>0</v>
      </c>
      <c r="O837" t="n">
        <v>0</v>
      </c>
      <c r="P837" t="n">
        <v>0</v>
      </c>
      <c r="Q837" t="n">
        <v>0</v>
      </c>
      <c r="R837" s="2" t="inlineStr"/>
    </row>
    <row r="838" ht="15" customHeight="1">
      <c r="A838" t="inlineStr">
        <is>
          <t>A 55425-2018</t>
        </is>
      </c>
      <c r="B838" s="1" t="n">
        <v>43391</v>
      </c>
      <c r="C838" s="1" t="n">
        <v>45190</v>
      </c>
      <c r="D838" t="inlineStr">
        <is>
          <t>KALMAR LÄN</t>
        </is>
      </c>
      <c r="E838" t="inlineStr">
        <is>
          <t>TORSÅS</t>
        </is>
      </c>
      <c r="G838" t="n">
        <v>5.2</v>
      </c>
      <c r="H838" t="n">
        <v>0</v>
      </c>
      <c r="I838" t="n">
        <v>0</v>
      </c>
      <c r="J838" t="n">
        <v>0</v>
      </c>
      <c r="K838" t="n">
        <v>0</v>
      </c>
      <c r="L838" t="n">
        <v>0</v>
      </c>
      <c r="M838" t="n">
        <v>0</v>
      </c>
      <c r="N838" t="n">
        <v>0</v>
      </c>
      <c r="O838" t="n">
        <v>0</v>
      </c>
      <c r="P838" t="n">
        <v>0</v>
      </c>
      <c r="Q838" t="n">
        <v>0</v>
      </c>
      <c r="R838" s="2" t="inlineStr"/>
    </row>
    <row r="839" ht="15" customHeight="1">
      <c r="A839" t="inlineStr">
        <is>
          <t>A 53939-2018</t>
        </is>
      </c>
      <c r="B839" s="1" t="n">
        <v>43392</v>
      </c>
      <c r="C839" s="1" t="n">
        <v>45190</v>
      </c>
      <c r="D839" t="inlineStr">
        <is>
          <t>KALMAR LÄN</t>
        </is>
      </c>
      <c r="E839" t="inlineStr">
        <is>
          <t>HULTSFRED</t>
        </is>
      </c>
      <c r="G839" t="n">
        <v>1.8</v>
      </c>
      <c r="H839" t="n">
        <v>0</v>
      </c>
      <c r="I839" t="n">
        <v>0</v>
      </c>
      <c r="J839" t="n">
        <v>0</v>
      </c>
      <c r="K839" t="n">
        <v>0</v>
      </c>
      <c r="L839" t="n">
        <v>0</v>
      </c>
      <c r="M839" t="n">
        <v>0</v>
      </c>
      <c r="N839" t="n">
        <v>0</v>
      </c>
      <c r="O839" t="n">
        <v>0</v>
      </c>
      <c r="P839" t="n">
        <v>0</v>
      </c>
      <c r="Q839" t="n">
        <v>0</v>
      </c>
      <c r="R839" s="2" t="inlineStr"/>
    </row>
    <row r="840" ht="15" customHeight="1">
      <c r="A840" t="inlineStr">
        <is>
          <t>A 55374-2018</t>
        </is>
      </c>
      <c r="B840" s="1" t="n">
        <v>43392</v>
      </c>
      <c r="C840" s="1" t="n">
        <v>45190</v>
      </c>
      <c r="D840" t="inlineStr">
        <is>
          <t>KALMAR LÄN</t>
        </is>
      </c>
      <c r="E840" t="inlineStr">
        <is>
          <t>NYBRO</t>
        </is>
      </c>
      <c r="G840" t="n">
        <v>3.1</v>
      </c>
      <c r="H840" t="n">
        <v>0</v>
      </c>
      <c r="I840" t="n">
        <v>0</v>
      </c>
      <c r="J840" t="n">
        <v>0</v>
      </c>
      <c r="K840" t="n">
        <v>0</v>
      </c>
      <c r="L840" t="n">
        <v>0</v>
      </c>
      <c r="M840" t="n">
        <v>0</v>
      </c>
      <c r="N840" t="n">
        <v>0</v>
      </c>
      <c r="O840" t="n">
        <v>0</v>
      </c>
      <c r="P840" t="n">
        <v>0</v>
      </c>
      <c r="Q840" t="n">
        <v>0</v>
      </c>
      <c r="R840" s="2" t="inlineStr"/>
    </row>
    <row r="841" ht="15" customHeight="1">
      <c r="A841" t="inlineStr">
        <is>
          <t>A 54305-2018</t>
        </is>
      </c>
      <c r="B841" s="1" t="n">
        <v>43393</v>
      </c>
      <c r="C841" s="1" t="n">
        <v>45190</v>
      </c>
      <c r="D841" t="inlineStr">
        <is>
          <t>KALMAR LÄN</t>
        </is>
      </c>
      <c r="E841" t="inlineStr">
        <is>
          <t>VÄSTERVIK</t>
        </is>
      </c>
      <c r="G841" t="n">
        <v>4.1</v>
      </c>
      <c r="H841" t="n">
        <v>0</v>
      </c>
      <c r="I841" t="n">
        <v>0</v>
      </c>
      <c r="J841" t="n">
        <v>0</v>
      </c>
      <c r="K841" t="n">
        <v>0</v>
      </c>
      <c r="L841" t="n">
        <v>0</v>
      </c>
      <c r="M841" t="n">
        <v>0</v>
      </c>
      <c r="N841" t="n">
        <v>0</v>
      </c>
      <c r="O841" t="n">
        <v>0</v>
      </c>
      <c r="P841" t="n">
        <v>0</v>
      </c>
      <c r="Q841" t="n">
        <v>0</v>
      </c>
      <c r="R841" s="2" t="inlineStr"/>
    </row>
    <row r="842" ht="15" customHeight="1">
      <c r="A842" t="inlineStr">
        <is>
          <t>A 56201-2018</t>
        </is>
      </c>
      <c r="B842" s="1" t="n">
        <v>43394</v>
      </c>
      <c r="C842" s="1" t="n">
        <v>45190</v>
      </c>
      <c r="D842" t="inlineStr">
        <is>
          <t>KALMAR LÄN</t>
        </is>
      </c>
      <c r="E842" t="inlineStr">
        <is>
          <t>NYBRO</t>
        </is>
      </c>
      <c r="G842" t="n">
        <v>1.1</v>
      </c>
      <c r="H842" t="n">
        <v>0</v>
      </c>
      <c r="I842" t="n">
        <v>0</v>
      </c>
      <c r="J842" t="n">
        <v>0</v>
      </c>
      <c r="K842" t="n">
        <v>0</v>
      </c>
      <c r="L842" t="n">
        <v>0</v>
      </c>
      <c r="M842" t="n">
        <v>0</v>
      </c>
      <c r="N842" t="n">
        <v>0</v>
      </c>
      <c r="O842" t="n">
        <v>0</v>
      </c>
      <c r="P842" t="n">
        <v>0</v>
      </c>
      <c r="Q842" t="n">
        <v>0</v>
      </c>
      <c r="R842" s="2" t="inlineStr"/>
    </row>
    <row r="843" ht="15" customHeight="1">
      <c r="A843" t="inlineStr">
        <is>
          <t>A 54664-2018</t>
        </is>
      </c>
      <c r="B843" s="1" t="n">
        <v>43395</v>
      </c>
      <c r="C843" s="1" t="n">
        <v>45190</v>
      </c>
      <c r="D843" t="inlineStr">
        <is>
          <t>KALMAR LÄN</t>
        </is>
      </c>
      <c r="E843" t="inlineStr">
        <is>
          <t>HULTSFRED</t>
        </is>
      </c>
      <c r="G843" t="n">
        <v>0.7</v>
      </c>
      <c r="H843" t="n">
        <v>0</v>
      </c>
      <c r="I843" t="n">
        <v>0</v>
      </c>
      <c r="J843" t="n">
        <v>0</v>
      </c>
      <c r="K843" t="n">
        <v>0</v>
      </c>
      <c r="L843" t="n">
        <v>0</v>
      </c>
      <c r="M843" t="n">
        <v>0</v>
      </c>
      <c r="N843" t="n">
        <v>0</v>
      </c>
      <c r="O843" t="n">
        <v>0</v>
      </c>
      <c r="P843" t="n">
        <v>0</v>
      </c>
      <c r="Q843" t="n">
        <v>0</v>
      </c>
      <c r="R843" s="2" t="inlineStr"/>
    </row>
    <row r="844" ht="15" customHeight="1">
      <c r="A844" t="inlineStr">
        <is>
          <t>A 56282-2018</t>
        </is>
      </c>
      <c r="B844" s="1" t="n">
        <v>43395</v>
      </c>
      <c r="C844" s="1" t="n">
        <v>45190</v>
      </c>
      <c r="D844" t="inlineStr">
        <is>
          <t>KALMAR LÄN</t>
        </is>
      </c>
      <c r="E844" t="inlineStr">
        <is>
          <t>NYBRO</t>
        </is>
      </c>
      <c r="G844" t="n">
        <v>3.2</v>
      </c>
      <c r="H844" t="n">
        <v>0</v>
      </c>
      <c r="I844" t="n">
        <v>0</v>
      </c>
      <c r="J844" t="n">
        <v>0</v>
      </c>
      <c r="K844" t="n">
        <v>0</v>
      </c>
      <c r="L844" t="n">
        <v>0</v>
      </c>
      <c r="M844" t="n">
        <v>0</v>
      </c>
      <c r="N844" t="n">
        <v>0</v>
      </c>
      <c r="O844" t="n">
        <v>0</v>
      </c>
      <c r="P844" t="n">
        <v>0</v>
      </c>
      <c r="Q844" t="n">
        <v>0</v>
      </c>
      <c r="R844" s="2" t="inlineStr"/>
    </row>
    <row r="845" ht="15" customHeight="1">
      <c r="A845" t="inlineStr">
        <is>
          <t>A 54409-2018</t>
        </is>
      </c>
      <c r="B845" s="1" t="n">
        <v>43395</v>
      </c>
      <c r="C845" s="1" t="n">
        <v>45190</v>
      </c>
      <c r="D845" t="inlineStr">
        <is>
          <t>KALMAR LÄN</t>
        </is>
      </c>
      <c r="E845" t="inlineStr">
        <is>
          <t>NYBRO</t>
        </is>
      </c>
      <c r="G845" t="n">
        <v>2.3</v>
      </c>
      <c r="H845" t="n">
        <v>0</v>
      </c>
      <c r="I845" t="n">
        <v>0</v>
      </c>
      <c r="J845" t="n">
        <v>0</v>
      </c>
      <c r="K845" t="n">
        <v>0</v>
      </c>
      <c r="L845" t="n">
        <v>0</v>
      </c>
      <c r="M845" t="n">
        <v>0</v>
      </c>
      <c r="N845" t="n">
        <v>0</v>
      </c>
      <c r="O845" t="n">
        <v>0</v>
      </c>
      <c r="P845" t="n">
        <v>0</v>
      </c>
      <c r="Q845" t="n">
        <v>0</v>
      </c>
      <c r="R845" s="2" t="inlineStr"/>
    </row>
    <row r="846" ht="15" customHeight="1">
      <c r="A846" t="inlineStr">
        <is>
          <t>A 54601-2018</t>
        </is>
      </c>
      <c r="B846" s="1" t="n">
        <v>43395</v>
      </c>
      <c r="C846" s="1" t="n">
        <v>45190</v>
      </c>
      <c r="D846" t="inlineStr">
        <is>
          <t>KALMAR LÄN</t>
        </is>
      </c>
      <c r="E846" t="inlineStr">
        <is>
          <t>VÄSTERVIK</t>
        </is>
      </c>
      <c r="G846" t="n">
        <v>2.1</v>
      </c>
      <c r="H846" t="n">
        <v>0</v>
      </c>
      <c r="I846" t="n">
        <v>0</v>
      </c>
      <c r="J846" t="n">
        <v>0</v>
      </c>
      <c r="K846" t="n">
        <v>0</v>
      </c>
      <c r="L846" t="n">
        <v>0</v>
      </c>
      <c r="M846" t="n">
        <v>0</v>
      </c>
      <c r="N846" t="n">
        <v>0</v>
      </c>
      <c r="O846" t="n">
        <v>0</v>
      </c>
      <c r="P846" t="n">
        <v>0</v>
      </c>
      <c r="Q846" t="n">
        <v>0</v>
      </c>
      <c r="R846" s="2" t="inlineStr"/>
    </row>
    <row r="847" ht="15" customHeight="1">
      <c r="A847" t="inlineStr">
        <is>
          <t>A 54660-2018</t>
        </is>
      </c>
      <c r="B847" s="1" t="n">
        <v>43395</v>
      </c>
      <c r="C847" s="1" t="n">
        <v>45190</v>
      </c>
      <c r="D847" t="inlineStr">
        <is>
          <t>KALMAR LÄN</t>
        </is>
      </c>
      <c r="E847" t="inlineStr">
        <is>
          <t>HULTSFRED</t>
        </is>
      </c>
      <c r="G847" t="n">
        <v>1.7</v>
      </c>
      <c r="H847" t="n">
        <v>0</v>
      </c>
      <c r="I847" t="n">
        <v>0</v>
      </c>
      <c r="J847" t="n">
        <v>0</v>
      </c>
      <c r="K847" t="n">
        <v>0</v>
      </c>
      <c r="L847" t="n">
        <v>0</v>
      </c>
      <c r="M847" t="n">
        <v>0</v>
      </c>
      <c r="N847" t="n">
        <v>0</v>
      </c>
      <c r="O847" t="n">
        <v>0</v>
      </c>
      <c r="P847" t="n">
        <v>0</v>
      </c>
      <c r="Q847" t="n">
        <v>0</v>
      </c>
      <c r="R847" s="2" t="inlineStr"/>
    </row>
    <row r="848" ht="15" customHeight="1">
      <c r="A848" t="inlineStr">
        <is>
          <t>A 56258-2018</t>
        </is>
      </c>
      <c r="B848" s="1" t="n">
        <v>43395</v>
      </c>
      <c r="C848" s="1" t="n">
        <v>45190</v>
      </c>
      <c r="D848" t="inlineStr">
        <is>
          <t>KALMAR LÄN</t>
        </is>
      </c>
      <c r="E848" t="inlineStr">
        <is>
          <t>KALMAR</t>
        </is>
      </c>
      <c r="G848" t="n">
        <v>5.3</v>
      </c>
      <c r="H848" t="n">
        <v>0</v>
      </c>
      <c r="I848" t="n">
        <v>0</v>
      </c>
      <c r="J848" t="n">
        <v>0</v>
      </c>
      <c r="K848" t="n">
        <v>0</v>
      </c>
      <c r="L848" t="n">
        <v>0</v>
      </c>
      <c r="M848" t="n">
        <v>0</v>
      </c>
      <c r="N848" t="n">
        <v>0</v>
      </c>
      <c r="O848" t="n">
        <v>0</v>
      </c>
      <c r="P848" t="n">
        <v>0</v>
      </c>
      <c r="Q848" t="n">
        <v>0</v>
      </c>
      <c r="R848" s="2" t="inlineStr"/>
    </row>
    <row r="849" ht="15" customHeight="1">
      <c r="A849" t="inlineStr">
        <is>
          <t>A 54948-2018</t>
        </is>
      </c>
      <c r="B849" s="1" t="n">
        <v>43396</v>
      </c>
      <c r="C849" s="1" t="n">
        <v>45190</v>
      </c>
      <c r="D849" t="inlineStr">
        <is>
          <t>KALMAR LÄN</t>
        </is>
      </c>
      <c r="E849" t="inlineStr">
        <is>
          <t>HULTSFRED</t>
        </is>
      </c>
      <c r="G849" t="n">
        <v>0.7</v>
      </c>
      <c r="H849" t="n">
        <v>0</v>
      </c>
      <c r="I849" t="n">
        <v>0</v>
      </c>
      <c r="J849" t="n">
        <v>0</v>
      </c>
      <c r="K849" t="n">
        <v>0</v>
      </c>
      <c r="L849" t="n">
        <v>0</v>
      </c>
      <c r="M849" t="n">
        <v>0</v>
      </c>
      <c r="N849" t="n">
        <v>0</v>
      </c>
      <c r="O849" t="n">
        <v>0</v>
      </c>
      <c r="P849" t="n">
        <v>0</v>
      </c>
      <c r="Q849" t="n">
        <v>0</v>
      </c>
      <c r="R849" s="2" t="inlineStr"/>
    </row>
    <row r="850" ht="15" customHeight="1">
      <c r="A850" t="inlineStr">
        <is>
          <t>A 57160-2018</t>
        </is>
      </c>
      <c r="B850" s="1" t="n">
        <v>43396</v>
      </c>
      <c r="C850" s="1" t="n">
        <v>45190</v>
      </c>
      <c r="D850" t="inlineStr">
        <is>
          <t>KALMAR LÄN</t>
        </is>
      </c>
      <c r="E850" t="inlineStr">
        <is>
          <t>NYBRO</t>
        </is>
      </c>
      <c r="G850" t="n">
        <v>4.1</v>
      </c>
      <c r="H850" t="n">
        <v>0</v>
      </c>
      <c r="I850" t="n">
        <v>0</v>
      </c>
      <c r="J850" t="n">
        <v>0</v>
      </c>
      <c r="K850" t="n">
        <v>0</v>
      </c>
      <c r="L850" t="n">
        <v>0</v>
      </c>
      <c r="M850" t="n">
        <v>0</v>
      </c>
      <c r="N850" t="n">
        <v>0</v>
      </c>
      <c r="O850" t="n">
        <v>0</v>
      </c>
      <c r="P850" t="n">
        <v>0</v>
      </c>
      <c r="Q850" t="n">
        <v>0</v>
      </c>
      <c r="R850" s="2" t="inlineStr"/>
    </row>
    <row r="851" ht="15" customHeight="1">
      <c r="A851" t="inlineStr">
        <is>
          <t>A 57302-2018</t>
        </is>
      </c>
      <c r="B851" s="1" t="n">
        <v>43396</v>
      </c>
      <c r="C851" s="1" t="n">
        <v>45190</v>
      </c>
      <c r="D851" t="inlineStr">
        <is>
          <t>KALMAR LÄN</t>
        </is>
      </c>
      <c r="E851" t="inlineStr">
        <is>
          <t>NYBRO</t>
        </is>
      </c>
      <c r="G851" t="n">
        <v>1.1</v>
      </c>
      <c r="H851" t="n">
        <v>0</v>
      </c>
      <c r="I851" t="n">
        <v>0</v>
      </c>
      <c r="J851" t="n">
        <v>0</v>
      </c>
      <c r="K851" t="n">
        <v>0</v>
      </c>
      <c r="L851" t="n">
        <v>0</v>
      </c>
      <c r="M851" t="n">
        <v>0</v>
      </c>
      <c r="N851" t="n">
        <v>0</v>
      </c>
      <c r="O851" t="n">
        <v>0</v>
      </c>
      <c r="P851" t="n">
        <v>0</v>
      </c>
      <c r="Q851" t="n">
        <v>0</v>
      </c>
      <c r="R851" s="2" t="inlineStr"/>
    </row>
    <row r="852" ht="15" customHeight="1">
      <c r="A852" t="inlineStr">
        <is>
          <t>A 54912-2018</t>
        </is>
      </c>
      <c r="B852" s="1" t="n">
        <v>43396</v>
      </c>
      <c r="C852" s="1" t="n">
        <v>45190</v>
      </c>
      <c r="D852" t="inlineStr">
        <is>
          <t>KALMAR LÄN</t>
        </is>
      </c>
      <c r="E852" t="inlineStr">
        <is>
          <t>TORSÅS</t>
        </is>
      </c>
      <c r="G852" t="n">
        <v>2</v>
      </c>
      <c r="H852" t="n">
        <v>0</v>
      </c>
      <c r="I852" t="n">
        <v>0</v>
      </c>
      <c r="J852" t="n">
        <v>0</v>
      </c>
      <c r="K852" t="n">
        <v>0</v>
      </c>
      <c r="L852" t="n">
        <v>0</v>
      </c>
      <c r="M852" t="n">
        <v>0</v>
      </c>
      <c r="N852" t="n">
        <v>0</v>
      </c>
      <c r="O852" t="n">
        <v>0</v>
      </c>
      <c r="P852" t="n">
        <v>0</v>
      </c>
      <c r="Q852" t="n">
        <v>0</v>
      </c>
      <c r="R852" s="2" t="inlineStr"/>
    </row>
    <row r="853" ht="15" customHeight="1">
      <c r="A853" t="inlineStr">
        <is>
          <t>A 57314-2018</t>
        </is>
      </c>
      <c r="B853" s="1" t="n">
        <v>43396</v>
      </c>
      <c r="C853" s="1" t="n">
        <v>45190</v>
      </c>
      <c r="D853" t="inlineStr">
        <is>
          <t>KALMAR LÄN</t>
        </is>
      </c>
      <c r="E853" t="inlineStr">
        <is>
          <t>NYBRO</t>
        </is>
      </c>
      <c r="G853" t="n">
        <v>1.8</v>
      </c>
      <c r="H853" t="n">
        <v>0</v>
      </c>
      <c r="I853" t="n">
        <v>0</v>
      </c>
      <c r="J853" t="n">
        <v>0</v>
      </c>
      <c r="K853" t="n">
        <v>0</v>
      </c>
      <c r="L853" t="n">
        <v>0</v>
      </c>
      <c r="M853" t="n">
        <v>0</v>
      </c>
      <c r="N853" t="n">
        <v>0</v>
      </c>
      <c r="O853" t="n">
        <v>0</v>
      </c>
      <c r="P853" t="n">
        <v>0</v>
      </c>
      <c r="Q853" t="n">
        <v>0</v>
      </c>
      <c r="R853" s="2" t="inlineStr"/>
    </row>
    <row r="854" ht="15" customHeight="1">
      <c r="A854" t="inlineStr">
        <is>
          <t>A 55038-2018</t>
        </is>
      </c>
      <c r="B854" s="1" t="n">
        <v>43396</v>
      </c>
      <c r="C854" s="1" t="n">
        <v>45190</v>
      </c>
      <c r="D854" t="inlineStr">
        <is>
          <t>KALMAR LÄN</t>
        </is>
      </c>
      <c r="E854" t="inlineStr">
        <is>
          <t>TORSÅS</t>
        </is>
      </c>
      <c r="G854" t="n">
        <v>6.6</v>
      </c>
      <c r="H854" t="n">
        <v>0</v>
      </c>
      <c r="I854" t="n">
        <v>0</v>
      </c>
      <c r="J854" t="n">
        <v>0</v>
      </c>
      <c r="K854" t="n">
        <v>0</v>
      </c>
      <c r="L854" t="n">
        <v>0</v>
      </c>
      <c r="M854" t="n">
        <v>0</v>
      </c>
      <c r="N854" t="n">
        <v>0</v>
      </c>
      <c r="O854" t="n">
        <v>0</v>
      </c>
      <c r="P854" t="n">
        <v>0</v>
      </c>
      <c r="Q854" t="n">
        <v>0</v>
      </c>
      <c r="R854" s="2" t="inlineStr"/>
    </row>
    <row r="855" ht="15" customHeight="1">
      <c r="A855" t="inlineStr">
        <is>
          <t>A 56003-2018</t>
        </is>
      </c>
      <c r="B855" s="1" t="n">
        <v>43396</v>
      </c>
      <c r="C855" s="1" t="n">
        <v>45190</v>
      </c>
      <c r="D855" t="inlineStr">
        <is>
          <t>KALMAR LÄN</t>
        </is>
      </c>
      <c r="E855" t="inlineStr">
        <is>
          <t>TORSÅS</t>
        </is>
      </c>
      <c r="G855" t="n">
        <v>0.8</v>
      </c>
      <c r="H855" t="n">
        <v>0</v>
      </c>
      <c r="I855" t="n">
        <v>0</v>
      </c>
      <c r="J855" t="n">
        <v>0</v>
      </c>
      <c r="K855" t="n">
        <v>0</v>
      </c>
      <c r="L855" t="n">
        <v>0</v>
      </c>
      <c r="M855" t="n">
        <v>0</v>
      </c>
      <c r="N855" t="n">
        <v>0</v>
      </c>
      <c r="O855" t="n">
        <v>0</v>
      </c>
      <c r="P855" t="n">
        <v>0</v>
      </c>
      <c r="Q855" t="n">
        <v>0</v>
      </c>
      <c r="R855" s="2" t="inlineStr"/>
    </row>
    <row r="856" ht="15" customHeight="1">
      <c r="A856" t="inlineStr">
        <is>
          <t>A 57155-2018</t>
        </is>
      </c>
      <c r="B856" s="1" t="n">
        <v>43396</v>
      </c>
      <c r="C856" s="1" t="n">
        <v>45190</v>
      </c>
      <c r="D856" t="inlineStr">
        <is>
          <t>KALMAR LÄN</t>
        </is>
      </c>
      <c r="E856" t="inlineStr">
        <is>
          <t>NYBRO</t>
        </is>
      </c>
      <c r="G856" t="n">
        <v>4.8</v>
      </c>
      <c r="H856" t="n">
        <v>0</v>
      </c>
      <c r="I856" t="n">
        <v>0</v>
      </c>
      <c r="J856" t="n">
        <v>0</v>
      </c>
      <c r="K856" t="n">
        <v>0</v>
      </c>
      <c r="L856" t="n">
        <v>0</v>
      </c>
      <c r="M856" t="n">
        <v>0</v>
      </c>
      <c r="N856" t="n">
        <v>0</v>
      </c>
      <c r="O856" t="n">
        <v>0</v>
      </c>
      <c r="P856" t="n">
        <v>0</v>
      </c>
      <c r="Q856" t="n">
        <v>0</v>
      </c>
      <c r="R856" s="2" t="inlineStr"/>
    </row>
    <row r="857" ht="15" customHeight="1">
      <c r="A857" t="inlineStr">
        <is>
          <t>A 57753-2018</t>
        </is>
      </c>
      <c r="B857" s="1" t="n">
        <v>43397</v>
      </c>
      <c r="C857" s="1" t="n">
        <v>45190</v>
      </c>
      <c r="D857" t="inlineStr">
        <is>
          <t>KALMAR LÄN</t>
        </is>
      </c>
      <c r="E857" t="inlineStr">
        <is>
          <t>VÄSTERVIK</t>
        </is>
      </c>
      <c r="G857" t="n">
        <v>2.7</v>
      </c>
      <c r="H857" t="n">
        <v>0</v>
      </c>
      <c r="I857" t="n">
        <v>0</v>
      </c>
      <c r="J857" t="n">
        <v>0</v>
      </c>
      <c r="K857" t="n">
        <v>0</v>
      </c>
      <c r="L857" t="n">
        <v>0</v>
      </c>
      <c r="M857" t="n">
        <v>0</v>
      </c>
      <c r="N857" t="n">
        <v>0</v>
      </c>
      <c r="O857" t="n">
        <v>0</v>
      </c>
      <c r="P857" t="n">
        <v>0</v>
      </c>
      <c r="Q857" t="n">
        <v>0</v>
      </c>
      <c r="R857" s="2" t="inlineStr"/>
    </row>
    <row r="858" ht="15" customHeight="1">
      <c r="A858" t="inlineStr">
        <is>
          <t>A 55680-2018</t>
        </is>
      </c>
      <c r="B858" s="1" t="n">
        <v>43398</v>
      </c>
      <c r="C858" s="1" t="n">
        <v>45190</v>
      </c>
      <c r="D858" t="inlineStr">
        <is>
          <t>KALMAR LÄN</t>
        </is>
      </c>
      <c r="E858" t="inlineStr">
        <is>
          <t>TORSÅS</t>
        </is>
      </c>
      <c r="G858" t="n">
        <v>3</v>
      </c>
      <c r="H858" t="n">
        <v>0</v>
      </c>
      <c r="I858" t="n">
        <v>0</v>
      </c>
      <c r="J858" t="n">
        <v>0</v>
      </c>
      <c r="K858" t="n">
        <v>0</v>
      </c>
      <c r="L858" t="n">
        <v>0</v>
      </c>
      <c r="M858" t="n">
        <v>0</v>
      </c>
      <c r="N858" t="n">
        <v>0</v>
      </c>
      <c r="O858" t="n">
        <v>0</v>
      </c>
      <c r="P858" t="n">
        <v>0</v>
      </c>
      <c r="Q858" t="n">
        <v>0</v>
      </c>
      <c r="R858" s="2" t="inlineStr"/>
    </row>
    <row r="859" ht="15" customHeight="1">
      <c r="A859" t="inlineStr">
        <is>
          <t>A 55817-2018</t>
        </is>
      </c>
      <c r="B859" s="1" t="n">
        <v>43398</v>
      </c>
      <c r="C859" s="1" t="n">
        <v>45190</v>
      </c>
      <c r="D859" t="inlineStr">
        <is>
          <t>KALMAR LÄN</t>
        </is>
      </c>
      <c r="E859" t="inlineStr">
        <is>
          <t>VIMMERBY</t>
        </is>
      </c>
      <c r="G859" t="n">
        <v>3.2</v>
      </c>
      <c r="H859" t="n">
        <v>0</v>
      </c>
      <c r="I859" t="n">
        <v>0</v>
      </c>
      <c r="J859" t="n">
        <v>0</v>
      </c>
      <c r="K859" t="n">
        <v>0</v>
      </c>
      <c r="L859" t="n">
        <v>0</v>
      </c>
      <c r="M859" t="n">
        <v>0</v>
      </c>
      <c r="N859" t="n">
        <v>0</v>
      </c>
      <c r="O859" t="n">
        <v>0</v>
      </c>
      <c r="P859" t="n">
        <v>0</v>
      </c>
      <c r="Q859" t="n">
        <v>0</v>
      </c>
      <c r="R859" s="2" t="inlineStr"/>
    </row>
    <row r="860" ht="15" customHeight="1">
      <c r="A860" t="inlineStr">
        <is>
          <t>A 55842-2018</t>
        </is>
      </c>
      <c r="B860" s="1" t="n">
        <v>43398</v>
      </c>
      <c r="C860" s="1" t="n">
        <v>45190</v>
      </c>
      <c r="D860" t="inlineStr">
        <is>
          <t>KALMAR LÄN</t>
        </is>
      </c>
      <c r="E860" t="inlineStr">
        <is>
          <t>VIMMERBY</t>
        </is>
      </c>
      <c r="G860" t="n">
        <v>5.9</v>
      </c>
      <c r="H860" t="n">
        <v>0</v>
      </c>
      <c r="I860" t="n">
        <v>0</v>
      </c>
      <c r="J860" t="n">
        <v>0</v>
      </c>
      <c r="K860" t="n">
        <v>0</v>
      </c>
      <c r="L860" t="n">
        <v>0</v>
      </c>
      <c r="M860" t="n">
        <v>0</v>
      </c>
      <c r="N860" t="n">
        <v>0</v>
      </c>
      <c r="O860" t="n">
        <v>0</v>
      </c>
      <c r="P860" t="n">
        <v>0</v>
      </c>
      <c r="Q860" t="n">
        <v>0</v>
      </c>
      <c r="R860" s="2" t="inlineStr"/>
    </row>
    <row r="861" ht="15" customHeight="1">
      <c r="A861" t="inlineStr">
        <is>
          <t>A 57829-2018</t>
        </is>
      </c>
      <c r="B861" s="1" t="n">
        <v>43398</v>
      </c>
      <c r="C861" s="1" t="n">
        <v>45190</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58654-2018</t>
        </is>
      </c>
      <c r="B862" s="1" t="n">
        <v>43399</v>
      </c>
      <c r="C862" s="1" t="n">
        <v>45190</v>
      </c>
      <c r="D862" t="inlineStr">
        <is>
          <t>KALMAR LÄN</t>
        </is>
      </c>
      <c r="E862" t="inlineStr">
        <is>
          <t>VÄSTERVIK</t>
        </is>
      </c>
      <c r="G862" t="n">
        <v>4.7</v>
      </c>
      <c r="H862" t="n">
        <v>0</v>
      </c>
      <c r="I862" t="n">
        <v>0</v>
      </c>
      <c r="J862" t="n">
        <v>0</v>
      </c>
      <c r="K862" t="n">
        <v>0</v>
      </c>
      <c r="L862" t="n">
        <v>0</v>
      </c>
      <c r="M862" t="n">
        <v>0</v>
      </c>
      <c r="N862" t="n">
        <v>0</v>
      </c>
      <c r="O862" t="n">
        <v>0</v>
      </c>
      <c r="P862" t="n">
        <v>0</v>
      </c>
      <c r="Q862" t="n">
        <v>0</v>
      </c>
      <c r="R862" s="2" t="inlineStr"/>
    </row>
    <row r="863" ht="15" customHeight="1">
      <c r="A863" t="inlineStr">
        <is>
          <t>A 58980-2018</t>
        </is>
      </c>
      <c r="B863" s="1" t="n">
        <v>43402</v>
      </c>
      <c r="C863" s="1" t="n">
        <v>45190</v>
      </c>
      <c r="D863" t="inlineStr">
        <is>
          <t>KALMAR LÄN</t>
        </is>
      </c>
      <c r="E863" t="inlineStr">
        <is>
          <t>VÄSTERVIK</t>
        </is>
      </c>
      <c r="G863" t="n">
        <v>3.4</v>
      </c>
      <c r="H863" t="n">
        <v>0</v>
      </c>
      <c r="I863" t="n">
        <v>0</v>
      </c>
      <c r="J863" t="n">
        <v>0</v>
      </c>
      <c r="K863" t="n">
        <v>0</v>
      </c>
      <c r="L863" t="n">
        <v>0</v>
      </c>
      <c r="M863" t="n">
        <v>0</v>
      </c>
      <c r="N863" t="n">
        <v>0</v>
      </c>
      <c r="O863" t="n">
        <v>0</v>
      </c>
      <c r="P863" t="n">
        <v>0</v>
      </c>
      <c r="Q863" t="n">
        <v>0</v>
      </c>
      <c r="R863" s="2" t="inlineStr"/>
    </row>
    <row r="864" ht="15" customHeight="1">
      <c r="A864" t="inlineStr">
        <is>
          <t>A 56757-2018</t>
        </is>
      </c>
      <c r="B864" s="1" t="n">
        <v>43402</v>
      </c>
      <c r="C864" s="1" t="n">
        <v>45190</v>
      </c>
      <c r="D864" t="inlineStr">
        <is>
          <t>KALMAR LÄN</t>
        </is>
      </c>
      <c r="E864" t="inlineStr">
        <is>
          <t>KALMAR</t>
        </is>
      </c>
      <c r="G864" t="n">
        <v>10.1</v>
      </c>
      <c r="H864" t="n">
        <v>0</v>
      </c>
      <c r="I864" t="n">
        <v>0</v>
      </c>
      <c r="J864" t="n">
        <v>0</v>
      </c>
      <c r="K864" t="n">
        <v>0</v>
      </c>
      <c r="L864" t="n">
        <v>0</v>
      </c>
      <c r="M864" t="n">
        <v>0</v>
      </c>
      <c r="N864" t="n">
        <v>0</v>
      </c>
      <c r="O864" t="n">
        <v>0</v>
      </c>
      <c r="P864" t="n">
        <v>0</v>
      </c>
      <c r="Q864" t="n">
        <v>0</v>
      </c>
      <c r="R864" s="2" t="inlineStr"/>
    </row>
    <row r="865" ht="15" customHeight="1">
      <c r="A865" t="inlineStr">
        <is>
          <t>A 58989-2018</t>
        </is>
      </c>
      <c r="B865" s="1" t="n">
        <v>43402</v>
      </c>
      <c r="C865" s="1" t="n">
        <v>45190</v>
      </c>
      <c r="D865" t="inlineStr">
        <is>
          <t>KALMAR LÄN</t>
        </is>
      </c>
      <c r="E865" t="inlineStr">
        <is>
          <t>VÄSTERVIK</t>
        </is>
      </c>
      <c r="G865" t="n">
        <v>0.5</v>
      </c>
      <c r="H865" t="n">
        <v>0</v>
      </c>
      <c r="I865" t="n">
        <v>0</v>
      </c>
      <c r="J865" t="n">
        <v>0</v>
      </c>
      <c r="K865" t="n">
        <v>0</v>
      </c>
      <c r="L865" t="n">
        <v>0</v>
      </c>
      <c r="M865" t="n">
        <v>0</v>
      </c>
      <c r="N865" t="n">
        <v>0</v>
      </c>
      <c r="O865" t="n">
        <v>0</v>
      </c>
      <c r="P865" t="n">
        <v>0</v>
      </c>
      <c r="Q865" t="n">
        <v>0</v>
      </c>
      <c r="R865" s="2" t="inlineStr"/>
    </row>
    <row r="866" ht="15" customHeight="1">
      <c r="A866" t="inlineStr">
        <is>
          <t>A 59018-2018</t>
        </is>
      </c>
      <c r="B866" s="1" t="n">
        <v>43402</v>
      </c>
      <c r="C866" s="1" t="n">
        <v>45190</v>
      </c>
      <c r="D866" t="inlineStr">
        <is>
          <t>KALMAR LÄN</t>
        </is>
      </c>
      <c r="E866" t="inlineStr">
        <is>
          <t>HULTSFRED</t>
        </is>
      </c>
      <c r="G866" t="n">
        <v>1.5</v>
      </c>
      <c r="H866" t="n">
        <v>0</v>
      </c>
      <c r="I866" t="n">
        <v>0</v>
      </c>
      <c r="J866" t="n">
        <v>0</v>
      </c>
      <c r="K866" t="n">
        <v>0</v>
      </c>
      <c r="L866" t="n">
        <v>0</v>
      </c>
      <c r="M866" t="n">
        <v>0</v>
      </c>
      <c r="N866" t="n">
        <v>0</v>
      </c>
      <c r="O866" t="n">
        <v>0</v>
      </c>
      <c r="P866" t="n">
        <v>0</v>
      </c>
      <c r="Q866" t="n">
        <v>0</v>
      </c>
      <c r="R866" s="2" t="inlineStr"/>
    </row>
    <row r="867" ht="15" customHeight="1">
      <c r="A867" t="inlineStr">
        <is>
          <t>A 56759-2018</t>
        </is>
      </c>
      <c r="B867" s="1" t="n">
        <v>43402</v>
      </c>
      <c r="C867" s="1" t="n">
        <v>45190</v>
      </c>
      <c r="D867" t="inlineStr">
        <is>
          <t>KALMAR LÄN</t>
        </is>
      </c>
      <c r="E867" t="inlineStr">
        <is>
          <t>KALMAR</t>
        </is>
      </c>
      <c r="G867" t="n">
        <v>1.3</v>
      </c>
      <c r="H867" t="n">
        <v>0</v>
      </c>
      <c r="I867" t="n">
        <v>0</v>
      </c>
      <c r="J867" t="n">
        <v>0</v>
      </c>
      <c r="K867" t="n">
        <v>0</v>
      </c>
      <c r="L867" t="n">
        <v>0</v>
      </c>
      <c r="M867" t="n">
        <v>0</v>
      </c>
      <c r="N867" t="n">
        <v>0</v>
      </c>
      <c r="O867" t="n">
        <v>0</v>
      </c>
      <c r="P867" t="n">
        <v>0</v>
      </c>
      <c r="Q867" t="n">
        <v>0</v>
      </c>
      <c r="R867" s="2" t="inlineStr"/>
    </row>
    <row r="868" ht="15" customHeight="1">
      <c r="A868" t="inlineStr">
        <is>
          <t>A 59017-2018</t>
        </is>
      </c>
      <c r="B868" s="1" t="n">
        <v>43402</v>
      </c>
      <c r="C868" s="1" t="n">
        <v>45190</v>
      </c>
      <c r="D868" t="inlineStr">
        <is>
          <t>KALMAR LÄN</t>
        </is>
      </c>
      <c r="E868" t="inlineStr">
        <is>
          <t>OSKARSHAMN</t>
        </is>
      </c>
      <c r="G868" t="n">
        <v>5.1</v>
      </c>
      <c r="H868" t="n">
        <v>0</v>
      </c>
      <c r="I868" t="n">
        <v>0</v>
      </c>
      <c r="J868" t="n">
        <v>0</v>
      </c>
      <c r="K868" t="n">
        <v>0</v>
      </c>
      <c r="L868" t="n">
        <v>0</v>
      </c>
      <c r="M868" t="n">
        <v>0</v>
      </c>
      <c r="N868" t="n">
        <v>0</v>
      </c>
      <c r="O868" t="n">
        <v>0</v>
      </c>
      <c r="P868" t="n">
        <v>0</v>
      </c>
      <c r="Q868" t="n">
        <v>0</v>
      </c>
      <c r="R868" s="2" t="inlineStr"/>
    </row>
    <row r="869" ht="15" customHeight="1">
      <c r="A869" t="inlineStr">
        <is>
          <t>A 57145-2018</t>
        </is>
      </c>
      <c r="B869" s="1" t="n">
        <v>43403</v>
      </c>
      <c r="C869" s="1" t="n">
        <v>45190</v>
      </c>
      <c r="D869" t="inlineStr">
        <is>
          <t>KALMAR LÄN</t>
        </is>
      </c>
      <c r="E869" t="inlineStr">
        <is>
          <t>VIMMERBY</t>
        </is>
      </c>
      <c r="G869" t="n">
        <v>2.3</v>
      </c>
      <c r="H869" t="n">
        <v>0</v>
      </c>
      <c r="I869" t="n">
        <v>0</v>
      </c>
      <c r="J869" t="n">
        <v>0</v>
      </c>
      <c r="K869" t="n">
        <v>0</v>
      </c>
      <c r="L869" t="n">
        <v>0</v>
      </c>
      <c r="M869" t="n">
        <v>0</v>
      </c>
      <c r="N869" t="n">
        <v>0</v>
      </c>
      <c r="O869" t="n">
        <v>0</v>
      </c>
      <c r="P869" t="n">
        <v>0</v>
      </c>
      <c r="Q869" t="n">
        <v>0</v>
      </c>
      <c r="R869" s="2" t="inlineStr"/>
    </row>
    <row r="870" ht="15" customHeight="1">
      <c r="A870" t="inlineStr">
        <is>
          <t>A 57211-2018</t>
        </is>
      </c>
      <c r="B870" s="1" t="n">
        <v>43403</v>
      </c>
      <c r="C870" s="1" t="n">
        <v>45190</v>
      </c>
      <c r="D870" t="inlineStr">
        <is>
          <t>KALMAR LÄN</t>
        </is>
      </c>
      <c r="E870" t="inlineStr">
        <is>
          <t>BORGHOLM</t>
        </is>
      </c>
      <c r="G870" t="n">
        <v>0.5</v>
      </c>
      <c r="H870" t="n">
        <v>0</v>
      </c>
      <c r="I870" t="n">
        <v>0</v>
      </c>
      <c r="J870" t="n">
        <v>0</v>
      </c>
      <c r="K870" t="n">
        <v>0</v>
      </c>
      <c r="L870" t="n">
        <v>0</v>
      </c>
      <c r="M870" t="n">
        <v>0</v>
      </c>
      <c r="N870" t="n">
        <v>0</v>
      </c>
      <c r="O870" t="n">
        <v>0</v>
      </c>
      <c r="P870" t="n">
        <v>0</v>
      </c>
      <c r="Q870" t="n">
        <v>0</v>
      </c>
      <c r="R870" s="2" t="inlineStr"/>
    </row>
    <row r="871" ht="15" customHeight="1">
      <c r="A871" t="inlineStr">
        <is>
          <t>A 57219-2018</t>
        </is>
      </c>
      <c r="B871" s="1" t="n">
        <v>43403</v>
      </c>
      <c r="C871" s="1" t="n">
        <v>45190</v>
      </c>
      <c r="D871" t="inlineStr">
        <is>
          <t>KALMAR LÄN</t>
        </is>
      </c>
      <c r="E871" t="inlineStr">
        <is>
          <t>BORGHOLM</t>
        </is>
      </c>
      <c r="G871" t="n">
        <v>0.4</v>
      </c>
      <c r="H871" t="n">
        <v>0</v>
      </c>
      <c r="I871" t="n">
        <v>0</v>
      </c>
      <c r="J871" t="n">
        <v>0</v>
      </c>
      <c r="K871" t="n">
        <v>0</v>
      </c>
      <c r="L871" t="n">
        <v>0</v>
      </c>
      <c r="M871" t="n">
        <v>0</v>
      </c>
      <c r="N871" t="n">
        <v>0</v>
      </c>
      <c r="O871" t="n">
        <v>0</v>
      </c>
      <c r="P871" t="n">
        <v>0</v>
      </c>
      <c r="Q871" t="n">
        <v>0</v>
      </c>
      <c r="R871" s="2" t="inlineStr"/>
    </row>
    <row r="872" ht="15" customHeight="1">
      <c r="A872" t="inlineStr">
        <is>
          <t>A 59240-2018</t>
        </is>
      </c>
      <c r="B872" s="1" t="n">
        <v>43403</v>
      </c>
      <c r="C872" s="1" t="n">
        <v>45190</v>
      </c>
      <c r="D872" t="inlineStr">
        <is>
          <t>KALMAR LÄN</t>
        </is>
      </c>
      <c r="E872" t="inlineStr">
        <is>
          <t>OSKARSHAMN</t>
        </is>
      </c>
      <c r="G872" t="n">
        <v>2.3</v>
      </c>
      <c r="H872" t="n">
        <v>0</v>
      </c>
      <c r="I872" t="n">
        <v>0</v>
      </c>
      <c r="J872" t="n">
        <v>0</v>
      </c>
      <c r="K872" t="n">
        <v>0</v>
      </c>
      <c r="L872" t="n">
        <v>0</v>
      </c>
      <c r="M872" t="n">
        <v>0</v>
      </c>
      <c r="N872" t="n">
        <v>0</v>
      </c>
      <c r="O872" t="n">
        <v>0</v>
      </c>
      <c r="P872" t="n">
        <v>0</v>
      </c>
      <c r="Q872" t="n">
        <v>0</v>
      </c>
      <c r="R872" s="2" t="inlineStr"/>
    </row>
    <row r="873" ht="15" customHeight="1">
      <c r="A873" t="inlineStr">
        <is>
          <t>A 59250-2018</t>
        </is>
      </c>
      <c r="B873" s="1" t="n">
        <v>43403</v>
      </c>
      <c r="C873" s="1" t="n">
        <v>45190</v>
      </c>
      <c r="D873" t="inlineStr">
        <is>
          <t>KALMAR LÄN</t>
        </is>
      </c>
      <c r="E873" t="inlineStr">
        <is>
          <t>HULTSFRED</t>
        </is>
      </c>
      <c r="G873" t="n">
        <v>0.8</v>
      </c>
      <c r="H873" t="n">
        <v>0</v>
      </c>
      <c r="I873" t="n">
        <v>0</v>
      </c>
      <c r="J873" t="n">
        <v>0</v>
      </c>
      <c r="K873" t="n">
        <v>0</v>
      </c>
      <c r="L873" t="n">
        <v>0</v>
      </c>
      <c r="M873" t="n">
        <v>0</v>
      </c>
      <c r="N873" t="n">
        <v>0</v>
      </c>
      <c r="O873" t="n">
        <v>0</v>
      </c>
      <c r="P873" t="n">
        <v>0</v>
      </c>
      <c r="Q873" t="n">
        <v>0</v>
      </c>
      <c r="R873" s="2" t="inlineStr"/>
    </row>
    <row r="874" ht="15" customHeight="1">
      <c r="A874" t="inlineStr">
        <is>
          <t>A 59559-2018</t>
        </is>
      </c>
      <c r="B874" s="1" t="n">
        <v>43403</v>
      </c>
      <c r="C874" s="1" t="n">
        <v>45190</v>
      </c>
      <c r="D874" t="inlineStr">
        <is>
          <t>KALMAR LÄN</t>
        </is>
      </c>
      <c r="E874" t="inlineStr">
        <is>
          <t>HULTSFRED</t>
        </is>
      </c>
      <c r="G874" t="n">
        <v>5</v>
      </c>
      <c r="H874" t="n">
        <v>0</v>
      </c>
      <c r="I874" t="n">
        <v>0</v>
      </c>
      <c r="J874" t="n">
        <v>0</v>
      </c>
      <c r="K874" t="n">
        <v>0</v>
      </c>
      <c r="L874" t="n">
        <v>0</v>
      </c>
      <c r="M874" t="n">
        <v>0</v>
      </c>
      <c r="N874" t="n">
        <v>0</v>
      </c>
      <c r="O874" t="n">
        <v>0</v>
      </c>
      <c r="P874" t="n">
        <v>0</v>
      </c>
      <c r="Q874" t="n">
        <v>0</v>
      </c>
      <c r="R874" s="2" t="inlineStr"/>
    </row>
    <row r="875" ht="15" customHeight="1">
      <c r="A875" t="inlineStr">
        <is>
          <t>A 57029-2018</t>
        </is>
      </c>
      <c r="B875" s="1" t="n">
        <v>43403</v>
      </c>
      <c r="C875" s="1" t="n">
        <v>45190</v>
      </c>
      <c r="D875" t="inlineStr">
        <is>
          <t>KALMAR LÄN</t>
        </is>
      </c>
      <c r="E875" t="inlineStr">
        <is>
          <t>VIMMERBY</t>
        </is>
      </c>
      <c r="G875" t="n">
        <v>2.3</v>
      </c>
      <c r="H875" t="n">
        <v>0</v>
      </c>
      <c r="I875" t="n">
        <v>0</v>
      </c>
      <c r="J875" t="n">
        <v>0</v>
      </c>
      <c r="K875" t="n">
        <v>0</v>
      </c>
      <c r="L875" t="n">
        <v>0</v>
      </c>
      <c r="M875" t="n">
        <v>0</v>
      </c>
      <c r="N875" t="n">
        <v>0</v>
      </c>
      <c r="O875" t="n">
        <v>0</v>
      </c>
      <c r="P875" t="n">
        <v>0</v>
      </c>
      <c r="Q875" t="n">
        <v>0</v>
      </c>
      <c r="R875" s="2" t="inlineStr"/>
    </row>
    <row r="876" ht="15" customHeight="1">
      <c r="A876" t="inlineStr">
        <is>
          <t>A 57192-2018</t>
        </is>
      </c>
      <c r="B876" s="1" t="n">
        <v>43403</v>
      </c>
      <c r="C876" s="1" t="n">
        <v>45190</v>
      </c>
      <c r="D876" t="inlineStr">
        <is>
          <t>KALMAR LÄN</t>
        </is>
      </c>
      <c r="E876" t="inlineStr">
        <is>
          <t>NYBRO</t>
        </is>
      </c>
      <c r="G876" t="n">
        <v>3.4</v>
      </c>
      <c r="H876" t="n">
        <v>0</v>
      </c>
      <c r="I876" t="n">
        <v>0</v>
      </c>
      <c r="J876" t="n">
        <v>0</v>
      </c>
      <c r="K876" t="n">
        <v>0</v>
      </c>
      <c r="L876" t="n">
        <v>0</v>
      </c>
      <c r="M876" t="n">
        <v>0</v>
      </c>
      <c r="N876" t="n">
        <v>0</v>
      </c>
      <c r="O876" t="n">
        <v>0</v>
      </c>
      <c r="P876" t="n">
        <v>0</v>
      </c>
      <c r="Q876" t="n">
        <v>0</v>
      </c>
      <c r="R876" s="2" t="inlineStr"/>
    </row>
    <row r="877" ht="15" customHeight="1">
      <c r="A877" t="inlineStr">
        <is>
          <t>A 57213-2018</t>
        </is>
      </c>
      <c r="B877" s="1" t="n">
        <v>43403</v>
      </c>
      <c r="C877" s="1" t="n">
        <v>45190</v>
      </c>
      <c r="D877" t="inlineStr">
        <is>
          <t>KALMAR LÄN</t>
        </is>
      </c>
      <c r="E877" t="inlineStr">
        <is>
          <t>BORGHOLM</t>
        </is>
      </c>
      <c r="G877" t="n">
        <v>0.7</v>
      </c>
      <c r="H877" t="n">
        <v>0</v>
      </c>
      <c r="I877" t="n">
        <v>0</v>
      </c>
      <c r="J877" t="n">
        <v>0</v>
      </c>
      <c r="K877" t="n">
        <v>0</v>
      </c>
      <c r="L877" t="n">
        <v>0</v>
      </c>
      <c r="M877" t="n">
        <v>0</v>
      </c>
      <c r="N877" t="n">
        <v>0</v>
      </c>
      <c r="O877" t="n">
        <v>0</v>
      </c>
      <c r="P877" t="n">
        <v>0</v>
      </c>
      <c r="Q877" t="n">
        <v>0</v>
      </c>
      <c r="R877" s="2" t="inlineStr"/>
    </row>
    <row r="878" ht="15" customHeight="1">
      <c r="A878" t="inlineStr">
        <is>
          <t>A 56927-2018</t>
        </is>
      </c>
      <c r="B878" s="1" t="n">
        <v>43403</v>
      </c>
      <c r="C878" s="1" t="n">
        <v>45190</v>
      </c>
      <c r="D878" t="inlineStr">
        <is>
          <t>KALMAR LÄN</t>
        </is>
      </c>
      <c r="E878" t="inlineStr">
        <is>
          <t>NYBRO</t>
        </is>
      </c>
      <c r="G878" t="n">
        <v>2</v>
      </c>
      <c r="H878" t="n">
        <v>0</v>
      </c>
      <c r="I878" t="n">
        <v>0</v>
      </c>
      <c r="J878" t="n">
        <v>0</v>
      </c>
      <c r="K878" t="n">
        <v>0</v>
      </c>
      <c r="L878" t="n">
        <v>0</v>
      </c>
      <c r="M878" t="n">
        <v>0</v>
      </c>
      <c r="N878" t="n">
        <v>0</v>
      </c>
      <c r="O878" t="n">
        <v>0</v>
      </c>
      <c r="P878" t="n">
        <v>0</v>
      </c>
      <c r="Q878" t="n">
        <v>0</v>
      </c>
      <c r="R878" s="2" t="inlineStr"/>
    </row>
    <row r="879" ht="15" customHeight="1">
      <c r="A879" t="inlineStr">
        <is>
          <t>A 57153-2018</t>
        </is>
      </c>
      <c r="B879" s="1" t="n">
        <v>43403</v>
      </c>
      <c r="C879" s="1" t="n">
        <v>45190</v>
      </c>
      <c r="D879" t="inlineStr">
        <is>
          <t>KALMAR LÄN</t>
        </is>
      </c>
      <c r="E879" t="inlineStr">
        <is>
          <t>OSKARSHAMN</t>
        </is>
      </c>
      <c r="G879" t="n">
        <v>2.1</v>
      </c>
      <c r="H879" t="n">
        <v>0</v>
      </c>
      <c r="I879" t="n">
        <v>0</v>
      </c>
      <c r="J879" t="n">
        <v>0</v>
      </c>
      <c r="K879" t="n">
        <v>0</v>
      </c>
      <c r="L879" t="n">
        <v>0</v>
      </c>
      <c r="M879" t="n">
        <v>0</v>
      </c>
      <c r="N879" t="n">
        <v>0</v>
      </c>
      <c r="O879" t="n">
        <v>0</v>
      </c>
      <c r="P879" t="n">
        <v>0</v>
      </c>
      <c r="Q879" t="n">
        <v>0</v>
      </c>
      <c r="R879" s="2" t="inlineStr"/>
    </row>
    <row r="880" ht="15" customHeight="1">
      <c r="A880" t="inlineStr">
        <is>
          <t>A 59565-2018</t>
        </is>
      </c>
      <c r="B880" s="1" t="n">
        <v>43403</v>
      </c>
      <c r="C880" s="1" t="n">
        <v>45190</v>
      </c>
      <c r="D880" t="inlineStr">
        <is>
          <t>KALMAR LÄN</t>
        </is>
      </c>
      <c r="E880" t="inlineStr">
        <is>
          <t>HULTSFRED</t>
        </is>
      </c>
      <c r="G880" t="n">
        <v>3.7</v>
      </c>
      <c r="H880" t="n">
        <v>0</v>
      </c>
      <c r="I880" t="n">
        <v>0</v>
      </c>
      <c r="J880" t="n">
        <v>0</v>
      </c>
      <c r="K880" t="n">
        <v>0</v>
      </c>
      <c r="L880" t="n">
        <v>0</v>
      </c>
      <c r="M880" t="n">
        <v>0</v>
      </c>
      <c r="N880" t="n">
        <v>0</v>
      </c>
      <c r="O880" t="n">
        <v>0</v>
      </c>
      <c r="P880" t="n">
        <v>0</v>
      </c>
      <c r="Q880" t="n">
        <v>0</v>
      </c>
      <c r="R880" s="2" t="inlineStr"/>
    </row>
    <row r="881" ht="15" customHeight="1">
      <c r="A881" t="inlineStr">
        <is>
          <t>A 57283-2018</t>
        </is>
      </c>
      <c r="B881" s="1" t="n">
        <v>43404</v>
      </c>
      <c r="C881" s="1" t="n">
        <v>45190</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57503-2018</t>
        </is>
      </c>
      <c r="B882" s="1" t="n">
        <v>43404</v>
      </c>
      <c r="C882" s="1" t="n">
        <v>45190</v>
      </c>
      <c r="D882" t="inlineStr">
        <is>
          <t>KALMAR LÄN</t>
        </is>
      </c>
      <c r="E882" t="inlineStr">
        <is>
          <t>VIMMERBY</t>
        </is>
      </c>
      <c r="G882" t="n">
        <v>5.4</v>
      </c>
      <c r="H882" t="n">
        <v>0</v>
      </c>
      <c r="I882" t="n">
        <v>0</v>
      </c>
      <c r="J882" t="n">
        <v>0</v>
      </c>
      <c r="K882" t="n">
        <v>0</v>
      </c>
      <c r="L882" t="n">
        <v>0</v>
      </c>
      <c r="M882" t="n">
        <v>0</v>
      </c>
      <c r="N882" t="n">
        <v>0</v>
      </c>
      <c r="O882" t="n">
        <v>0</v>
      </c>
      <c r="P882" t="n">
        <v>0</v>
      </c>
      <c r="Q882" t="n">
        <v>0</v>
      </c>
      <c r="R882" s="2" t="inlineStr"/>
    </row>
    <row r="883" ht="15" customHeight="1">
      <c r="A883" t="inlineStr">
        <is>
          <t>A 59468-2018</t>
        </is>
      </c>
      <c r="B883" s="1" t="n">
        <v>43404</v>
      </c>
      <c r="C883" s="1" t="n">
        <v>45190</v>
      </c>
      <c r="D883" t="inlineStr">
        <is>
          <t>KALMAR LÄN</t>
        </is>
      </c>
      <c r="E883" t="inlineStr">
        <is>
          <t>OSKARSHAMN</t>
        </is>
      </c>
      <c r="G883" t="n">
        <v>2.8</v>
      </c>
      <c r="H883" t="n">
        <v>0</v>
      </c>
      <c r="I883" t="n">
        <v>0</v>
      </c>
      <c r="J883" t="n">
        <v>0</v>
      </c>
      <c r="K883" t="n">
        <v>0</v>
      </c>
      <c r="L883" t="n">
        <v>0</v>
      </c>
      <c r="M883" t="n">
        <v>0</v>
      </c>
      <c r="N883" t="n">
        <v>0</v>
      </c>
      <c r="O883" t="n">
        <v>0</v>
      </c>
      <c r="P883" t="n">
        <v>0</v>
      </c>
      <c r="Q883" t="n">
        <v>0</v>
      </c>
      <c r="R883" s="2" t="inlineStr"/>
    </row>
    <row r="884" ht="15" customHeight="1">
      <c r="A884" t="inlineStr">
        <is>
          <t>A 57429-2018</t>
        </is>
      </c>
      <c r="B884" s="1" t="n">
        <v>43404</v>
      </c>
      <c r="C884" s="1" t="n">
        <v>45190</v>
      </c>
      <c r="D884" t="inlineStr">
        <is>
          <t>KALMAR LÄN</t>
        </is>
      </c>
      <c r="E884" t="inlineStr">
        <is>
          <t>EMMABODA</t>
        </is>
      </c>
      <c r="G884" t="n">
        <v>10.1</v>
      </c>
      <c r="H884" t="n">
        <v>0</v>
      </c>
      <c r="I884" t="n">
        <v>0</v>
      </c>
      <c r="J884" t="n">
        <v>0</v>
      </c>
      <c r="K884" t="n">
        <v>0</v>
      </c>
      <c r="L884" t="n">
        <v>0</v>
      </c>
      <c r="M884" t="n">
        <v>0</v>
      </c>
      <c r="N884" t="n">
        <v>0</v>
      </c>
      <c r="O884" t="n">
        <v>0</v>
      </c>
      <c r="P884" t="n">
        <v>0</v>
      </c>
      <c r="Q884" t="n">
        <v>0</v>
      </c>
      <c r="R884" s="2" t="inlineStr"/>
    </row>
    <row r="885" ht="15" customHeight="1">
      <c r="A885" t="inlineStr">
        <is>
          <t>A 59465-2018</t>
        </is>
      </c>
      <c r="B885" s="1" t="n">
        <v>43404</v>
      </c>
      <c r="C885" s="1" t="n">
        <v>45190</v>
      </c>
      <c r="D885" t="inlineStr">
        <is>
          <t>KALMAR LÄN</t>
        </is>
      </c>
      <c r="E885" t="inlineStr">
        <is>
          <t>OSKARSHAMN</t>
        </is>
      </c>
      <c r="G885" t="n">
        <v>3.5</v>
      </c>
      <c r="H885" t="n">
        <v>0</v>
      </c>
      <c r="I885" t="n">
        <v>0</v>
      </c>
      <c r="J885" t="n">
        <v>0</v>
      </c>
      <c r="K885" t="n">
        <v>0</v>
      </c>
      <c r="L885" t="n">
        <v>0</v>
      </c>
      <c r="M885" t="n">
        <v>0</v>
      </c>
      <c r="N885" t="n">
        <v>0</v>
      </c>
      <c r="O885" t="n">
        <v>0</v>
      </c>
      <c r="P885" t="n">
        <v>0</v>
      </c>
      <c r="Q885" t="n">
        <v>0</v>
      </c>
      <c r="R885" s="2" t="inlineStr"/>
    </row>
    <row r="886" ht="15" customHeight="1">
      <c r="A886" t="inlineStr">
        <is>
          <t>A 57807-2018</t>
        </is>
      </c>
      <c r="B886" s="1" t="n">
        <v>43405</v>
      </c>
      <c r="C886" s="1" t="n">
        <v>45190</v>
      </c>
      <c r="D886" t="inlineStr">
        <is>
          <t>KALMAR LÄN</t>
        </is>
      </c>
      <c r="E886" t="inlineStr">
        <is>
          <t>KALMAR</t>
        </is>
      </c>
      <c r="G886" t="n">
        <v>1.4</v>
      </c>
      <c r="H886" t="n">
        <v>0</v>
      </c>
      <c r="I886" t="n">
        <v>0</v>
      </c>
      <c r="J886" t="n">
        <v>0</v>
      </c>
      <c r="K886" t="n">
        <v>0</v>
      </c>
      <c r="L886" t="n">
        <v>0</v>
      </c>
      <c r="M886" t="n">
        <v>0</v>
      </c>
      <c r="N886" t="n">
        <v>0</v>
      </c>
      <c r="O886" t="n">
        <v>0</v>
      </c>
      <c r="P886" t="n">
        <v>0</v>
      </c>
      <c r="Q886" t="n">
        <v>0</v>
      </c>
      <c r="R886" s="2" t="inlineStr"/>
    </row>
    <row r="887" ht="15" customHeight="1">
      <c r="A887" t="inlineStr">
        <is>
          <t>A 57719-2018</t>
        </is>
      </c>
      <c r="B887" s="1" t="n">
        <v>43405</v>
      </c>
      <c r="C887" s="1" t="n">
        <v>45190</v>
      </c>
      <c r="D887" t="inlineStr">
        <is>
          <t>KALMAR LÄN</t>
        </is>
      </c>
      <c r="E887" t="inlineStr">
        <is>
          <t>VIMMERBY</t>
        </is>
      </c>
      <c r="G887" t="n">
        <v>0.6</v>
      </c>
      <c r="H887" t="n">
        <v>0</v>
      </c>
      <c r="I887" t="n">
        <v>0</v>
      </c>
      <c r="J887" t="n">
        <v>0</v>
      </c>
      <c r="K887" t="n">
        <v>0</v>
      </c>
      <c r="L887" t="n">
        <v>0</v>
      </c>
      <c r="M887" t="n">
        <v>0</v>
      </c>
      <c r="N887" t="n">
        <v>0</v>
      </c>
      <c r="O887" t="n">
        <v>0</v>
      </c>
      <c r="P887" t="n">
        <v>0</v>
      </c>
      <c r="Q887" t="n">
        <v>0</v>
      </c>
      <c r="R887" s="2" t="inlineStr"/>
    </row>
    <row r="888" ht="15" customHeight="1">
      <c r="A888" t="inlineStr">
        <is>
          <t>A 60171-2018</t>
        </is>
      </c>
      <c r="B888" s="1" t="n">
        <v>43405</v>
      </c>
      <c r="C888" s="1" t="n">
        <v>45190</v>
      </c>
      <c r="D888" t="inlineStr">
        <is>
          <t>KALMAR LÄN</t>
        </is>
      </c>
      <c r="E888" t="inlineStr">
        <is>
          <t>HULTSFRED</t>
        </is>
      </c>
      <c r="G888" t="n">
        <v>4.3</v>
      </c>
      <c r="H888" t="n">
        <v>0</v>
      </c>
      <c r="I888" t="n">
        <v>0</v>
      </c>
      <c r="J888" t="n">
        <v>0</v>
      </c>
      <c r="K888" t="n">
        <v>0</v>
      </c>
      <c r="L888" t="n">
        <v>0</v>
      </c>
      <c r="M888" t="n">
        <v>0</v>
      </c>
      <c r="N888" t="n">
        <v>0</v>
      </c>
      <c r="O888" t="n">
        <v>0</v>
      </c>
      <c r="P888" t="n">
        <v>0</v>
      </c>
      <c r="Q888" t="n">
        <v>0</v>
      </c>
      <c r="R888" s="2" t="inlineStr"/>
    </row>
    <row r="889" ht="15" customHeight="1">
      <c r="A889" t="inlineStr">
        <is>
          <t>A 57820-2018</t>
        </is>
      </c>
      <c r="B889" s="1" t="n">
        <v>43405</v>
      </c>
      <c r="C889" s="1" t="n">
        <v>45190</v>
      </c>
      <c r="D889" t="inlineStr">
        <is>
          <t>KALMAR LÄN</t>
        </is>
      </c>
      <c r="E889" t="inlineStr">
        <is>
          <t>KALMAR</t>
        </is>
      </c>
      <c r="G889" t="n">
        <v>1.7</v>
      </c>
      <c r="H889" t="n">
        <v>0</v>
      </c>
      <c r="I889" t="n">
        <v>0</v>
      </c>
      <c r="J889" t="n">
        <v>0</v>
      </c>
      <c r="K889" t="n">
        <v>0</v>
      </c>
      <c r="L889" t="n">
        <v>0</v>
      </c>
      <c r="M889" t="n">
        <v>0</v>
      </c>
      <c r="N889" t="n">
        <v>0</v>
      </c>
      <c r="O889" t="n">
        <v>0</v>
      </c>
      <c r="P889" t="n">
        <v>0</v>
      </c>
      <c r="Q889" t="n">
        <v>0</v>
      </c>
      <c r="R889" s="2" t="inlineStr"/>
    </row>
    <row r="890" ht="15" customHeight="1">
      <c r="A890" t="inlineStr">
        <is>
          <t>A 57852-2018</t>
        </is>
      </c>
      <c r="B890" s="1" t="n">
        <v>43405</v>
      </c>
      <c r="C890" s="1" t="n">
        <v>45190</v>
      </c>
      <c r="D890" t="inlineStr">
        <is>
          <t>KALMAR LÄN</t>
        </is>
      </c>
      <c r="E890" t="inlineStr">
        <is>
          <t>KALMAR</t>
        </is>
      </c>
      <c r="G890" t="n">
        <v>0.6</v>
      </c>
      <c r="H890" t="n">
        <v>0</v>
      </c>
      <c r="I890" t="n">
        <v>0</v>
      </c>
      <c r="J890" t="n">
        <v>0</v>
      </c>
      <c r="K890" t="n">
        <v>0</v>
      </c>
      <c r="L890" t="n">
        <v>0</v>
      </c>
      <c r="M890" t="n">
        <v>0</v>
      </c>
      <c r="N890" t="n">
        <v>0</v>
      </c>
      <c r="O890" t="n">
        <v>0</v>
      </c>
      <c r="P890" t="n">
        <v>0</v>
      </c>
      <c r="Q890" t="n">
        <v>0</v>
      </c>
      <c r="R890" s="2" t="inlineStr"/>
    </row>
    <row r="891" ht="15" customHeight="1">
      <c r="A891" t="inlineStr">
        <is>
          <t>A 58183-2018</t>
        </is>
      </c>
      <c r="B891" s="1" t="n">
        <v>43407</v>
      </c>
      <c r="C891" s="1" t="n">
        <v>45190</v>
      </c>
      <c r="D891" t="inlineStr">
        <is>
          <t>KALMAR LÄN</t>
        </is>
      </c>
      <c r="E891" t="inlineStr">
        <is>
          <t>EMMABODA</t>
        </is>
      </c>
      <c r="G891" t="n">
        <v>5.9</v>
      </c>
      <c r="H891" t="n">
        <v>0</v>
      </c>
      <c r="I891" t="n">
        <v>0</v>
      </c>
      <c r="J891" t="n">
        <v>0</v>
      </c>
      <c r="K891" t="n">
        <v>0</v>
      </c>
      <c r="L891" t="n">
        <v>0</v>
      </c>
      <c r="M891" t="n">
        <v>0</v>
      </c>
      <c r="N891" t="n">
        <v>0</v>
      </c>
      <c r="O891" t="n">
        <v>0</v>
      </c>
      <c r="P891" t="n">
        <v>0</v>
      </c>
      <c r="Q891" t="n">
        <v>0</v>
      </c>
      <c r="R891" s="2" t="inlineStr"/>
    </row>
    <row r="892" ht="15" customHeight="1">
      <c r="A892" t="inlineStr">
        <is>
          <t>A 58519-2018</t>
        </is>
      </c>
      <c r="B892" s="1" t="n">
        <v>43409</v>
      </c>
      <c r="C892" s="1" t="n">
        <v>45190</v>
      </c>
      <c r="D892" t="inlineStr">
        <is>
          <t>KALMAR LÄN</t>
        </is>
      </c>
      <c r="E892" t="inlineStr">
        <is>
          <t>VIMMERBY</t>
        </is>
      </c>
      <c r="G892" t="n">
        <v>5</v>
      </c>
      <c r="H892" t="n">
        <v>0</v>
      </c>
      <c r="I892" t="n">
        <v>0</v>
      </c>
      <c r="J892" t="n">
        <v>0</v>
      </c>
      <c r="K892" t="n">
        <v>0</v>
      </c>
      <c r="L892" t="n">
        <v>0</v>
      </c>
      <c r="M892" t="n">
        <v>0</v>
      </c>
      <c r="N892" t="n">
        <v>0</v>
      </c>
      <c r="O892" t="n">
        <v>0</v>
      </c>
      <c r="P892" t="n">
        <v>0</v>
      </c>
      <c r="Q892" t="n">
        <v>0</v>
      </c>
      <c r="R892" s="2" t="inlineStr"/>
    </row>
    <row r="893" ht="15" customHeight="1">
      <c r="A893" t="inlineStr">
        <is>
          <t>A 58438-2018</t>
        </is>
      </c>
      <c r="B893" s="1" t="n">
        <v>43409</v>
      </c>
      <c r="C893" s="1" t="n">
        <v>45190</v>
      </c>
      <c r="D893" t="inlineStr">
        <is>
          <t>KALMAR LÄN</t>
        </is>
      </c>
      <c r="E893" t="inlineStr">
        <is>
          <t>NYBRO</t>
        </is>
      </c>
      <c r="G893" t="n">
        <v>1</v>
      </c>
      <c r="H893" t="n">
        <v>0</v>
      </c>
      <c r="I893" t="n">
        <v>0</v>
      </c>
      <c r="J893" t="n">
        <v>0</v>
      </c>
      <c r="K893" t="n">
        <v>0</v>
      </c>
      <c r="L893" t="n">
        <v>0</v>
      </c>
      <c r="M893" t="n">
        <v>0</v>
      </c>
      <c r="N893" t="n">
        <v>0</v>
      </c>
      <c r="O893" t="n">
        <v>0</v>
      </c>
      <c r="P893" t="n">
        <v>0</v>
      </c>
      <c r="Q893" t="n">
        <v>0</v>
      </c>
      <c r="R893" s="2" t="inlineStr"/>
    </row>
    <row r="894" ht="15" customHeight="1">
      <c r="A894" t="inlineStr">
        <is>
          <t>A 60750-2018</t>
        </is>
      </c>
      <c r="B894" s="1" t="n">
        <v>43409</v>
      </c>
      <c r="C894" s="1" t="n">
        <v>45190</v>
      </c>
      <c r="D894" t="inlineStr">
        <is>
          <t>KALMAR LÄN</t>
        </is>
      </c>
      <c r="E894" t="inlineStr">
        <is>
          <t>HÖGSBY</t>
        </is>
      </c>
      <c r="G894" t="n">
        <v>5.3</v>
      </c>
      <c r="H894" t="n">
        <v>0</v>
      </c>
      <c r="I894" t="n">
        <v>0</v>
      </c>
      <c r="J894" t="n">
        <v>0</v>
      </c>
      <c r="K894" t="n">
        <v>0</v>
      </c>
      <c r="L894" t="n">
        <v>0</v>
      </c>
      <c r="M894" t="n">
        <v>0</v>
      </c>
      <c r="N894" t="n">
        <v>0</v>
      </c>
      <c r="O894" t="n">
        <v>0</v>
      </c>
      <c r="P894" t="n">
        <v>0</v>
      </c>
      <c r="Q894" t="n">
        <v>0</v>
      </c>
      <c r="R894" s="2" t="inlineStr"/>
    </row>
    <row r="895" ht="15" customHeight="1">
      <c r="A895" t="inlineStr">
        <is>
          <t>A 58433-2018</t>
        </is>
      </c>
      <c r="B895" s="1" t="n">
        <v>43409</v>
      </c>
      <c r="C895" s="1" t="n">
        <v>45190</v>
      </c>
      <c r="D895" t="inlineStr">
        <is>
          <t>KALMAR LÄN</t>
        </is>
      </c>
      <c r="E895" t="inlineStr">
        <is>
          <t>NYBRO</t>
        </is>
      </c>
      <c r="G895" t="n">
        <v>1.6</v>
      </c>
      <c r="H895" t="n">
        <v>0</v>
      </c>
      <c r="I895" t="n">
        <v>0</v>
      </c>
      <c r="J895" t="n">
        <v>0</v>
      </c>
      <c r="K895" t="n">
        <v>0</v>
      </c>
      <c r="L895" t="n">
        <v>0</v>
      </c>
      <c r="M895" t="n">
        <v>0</v>
      </c>
      <c r="N895" t="n">
        <v>0</v>
      </c>
      <c r="O895" t="n">
        <v>0</v>
      </c>
      <c r="P895" t="n">
        <v>0</v>
      </c>
      <c r="Q895" t="n">
        <v>0</v>
      </c>
      <c r="R895" s="2" t="inlineStr"/>
    </row>
    <row r="896" ht="15" customHeight="1">
      <c r="A896" t="inlineStr">
        <is>
          <t>A 58787-2018</t>
        </is>
      </c>
      <c r="B896" s="1" t="n">
        <v>43410</v>
      </c>
      <c r="C896" s="1" t="n">
        <v>45190</v>
      </c>
      <c r="D896" t="inlineStr">
        <is>
          <t>KALMAR LÄN</t>
        </is>
      </c>
      <c r="E896" t="inlineStr">
        <is>
          <t>VIMMERBY</t>
        </is>
      </c>
      <c r="G896" t="n">
        <v>5</v>
      </c>
      <c r="H896" t="n">
        <v>0</v>
      </c>
      <c r="I896" t="n">
        <v>0</v>
      </c>
      <c r="J896" t="n">
        <v>0</v>
      </c>
      <c r="K896" t="n">
        <v>0</v>
      </c>
      <c r="L896" t="n">
        <v>0</v>
      </c>
      <c r="M896" t="n">
        <v>0</v>
      </c>
      <c r="N896" t="n">
        <v>0</v>
      </c>
      <c r="O896" t="n">
        <v>0</v>
      </c>
      <c r="P896" t="n">
        <v>0</v>
      </c>
      <c r="Q896" t="n">
        <v>0</v>
      </c>
      <c r="R896" s="2" t="inlineStr"/>
    </row>
    <row r="897" ht="15" customHeight="1">
      <c r="A897" t="inlineStr">
        <is>
          <t>A 58803-2018</t>
        </is>
      </c>
      <c r="B897" s="1" t="n">
        <v>43410</v>
      </c>
      <c r="C897" s="1" t="n">
        <v>45190</v>
      </c>
      <c r="D897" t="inlineStr">
        <is>
          <t>KALMAR LÄN</t>
        </is>
      </c>
      <c r="E897" t="inlineStr">
        <is>
          <t>KALMAR</t>
        </is>
      </c>
      <c r="G897" t="n">
        <v>1.3</v>
      </c>
      <c r="H897" t="n">
        <v>0</v>
      </c>
      <c r="I897" t="n">
        <v>0</v>
      </c>
      <c r="J897" t="n">
        <v>0</v>
      </c>
      <c r="K897" t="n">
        <v>0</v>
      </c>
      <c r="L897" t="n">
        <v>0</v>
      </c>
      <c r="M897" t="n">
        <v>0</v>
      </c>
      <c r="N897" t="n">
        <v>0</v>
      </c>
      <c r="O897" t="n">
        <v>0</v>
      </c>
      <c r="P897" t="n">
        <v>0</v>
      </c>
      <c r="Q897" t="n">
        <v>0</v>
      </c>
      <c r="R897" s="2" t="inlineStr"/>
    </row>
    <row r="898" ht="15" customHeight="1">
      <c r="A898" t="inlineStr">
        <is>
          <t>A 60775-2018</t>
        </is>
      </c>
      <c r="B898" s="1" t="n">
        <v>43410</v>
      </c>
      <c r="C898" s="1" t="n">
        <v>45190</v>
      </c>
      <c r="D898" t="inlineStr">
        <is>
          <t>KALMAR LÄN</t>
        </is>
      </c>
      <c r="E898" t="inlineStr">
        <is>
          <t>NYBRO</t>
        </is>
      </c>
      <c r="G898" t="n">
        <v>6.5</v>
      </c>
      <c r="H898" t="n">
        <v>0</v>
      </c>
      <c r="I898" t="n">
        <v>0</v>
      </c>
      <c r="J898" t="n">
        <v>0</v>
      </c>
      <c r="K898" t="n">
        <v>0</v>
      </c>
      <c r="L898" t="n">
        <v>0</v>
      </c>
      <c r="M898" t="n">
        <v>0</v>
      </c>
      <c r="N898" t="n">
        <v>0</v>
      </c>
      <c r="O898" t="n">
        <v>0</v>
      </c>
      <c r="P898" t="n">
        <v>0</v>
      </c>
      <c r="Q898" t="n">
        <v>0</v>
      </c>
      <c r="R898" s="2" t="inlineStr"/>
    </row>
    <row r="899" ht="15" customHeight="1">
      <c r="A899" t="inlineStr">
        <is>
          <t>A 58681-2018</t>
        </is>
      </c>
      <c r="B899" s="1" t="n">
        <v>43410</v>
      </c>
      <c r="C899" s="1" t="n">
        <v>45190</v>
      </c>
      <c r="D899" t="inlineStr">
        <is>
          <t>KALMAR LÄN</t>
        </is>
      </c>
      <c r="E899" t="inlineStr">
        <is>
          <t>HULTSFRED</t>
        </is>
      </c>
      <c r="G899" t="n">
        <v>2.2</v>
      </c>
      <c r="H899" t="n">
        <v>0</v>
      </c>
      <c r="I899" t="n">
        <v>0</v>
      </c>
      <c r="J899" t="n">
        <v>0</v>
      </c>
      <c r="K899" t="n">
        <v>0</v>
      </c>
      <c r="L899" t="n">
        <v>0</v>
      </c>
      <c r="M899" t="n">
        <v>0</v>
      </c>
      <c r="N899" t="n">
        <v>0</v>
      </c>
      <c r="O899" t="n">
        <v>0</v>
      </c>
      <c r="P899" t="n">
        <v>0</v>
      </c>
      <c r="Q899" t="n">
        <v>0</v>
      </c>
      <c r="R899" s="2" t="inlineStr"/>
    </row>
    <row r="900" ht="15" customHeight="1">
      <c r="A900" t="inlineStr">
        <is>
          <t>A 58834-2018</t>
        </is>
      </c>
      <c r="B900" s="1" t="n">
        <v>43410</v>
      </c>
      <c r="C900" s="1" t="n">
        <v>45190</v>
      </c>
      <c r="D900" t="inlineStr">
        <is>
          <t>KALMAR LÄN</t>
        </is>
      </c>
      <c r="E900" t="inlineStr">
        <is>
          <t>VIMMERBY</t>
        </is>
      </c>
      <c r="G900" t="n">
        <v>0.5</v>
      </c>
      <c r="H900" t="n">
        <v>0</v>
      </c>
      <c r="I900" t="n">
        <v>0</v>
      </c>
      <c r="J900" t="n">
        <v>0</v>
      </c>
      <c r="K900" t="n">
        <v>0</v>
      </c>
      <c r="L900" t="n">
        <v>0</v>
      </c>
      <c r="M900" t="n">
        <v>0</v>
      </c>
      <c r="N900" t="n">
        <v>0</v>
      </c>
      <c r="O900" t="n">
        <v>0</v>
      </c>
      <c r="P900" t="n">
        <v>0</v>
      </c>
      <c r="Q900" t="n">
        <v>0</v>
      </c>
      <c r="R900" s="2" t="inlineStr"/>
    </row>
    <row r="901" ht="15" customHeight="1">
      <c r="A901" t="inlineStr">
        <is>
          <t>A 59815-2018</t>
        </is>
      </c>
      <c r="B901" s="1" t="n">
        <v>43411</v>
      </c>
      <c r="C901" s="1" t="n">
        <v>45190</v>
      </c>
      <c r="D901" t="inlineStr">
        <is>
          <t>KALMAR LÄN</t>
        </is>
      </c>
      <c r="E901" t="inlineStr">
        <is>
          <t>NYBRO</t>
        </is>
      </c>
      <c r="G901" t="n">
        <v>0.5</v>
      </c>
      <c r="H901" t="n">
        <v>0</v>
      </c>
      <c r="I901" t="n">
        <v>0</v>
      </c>
      <c r="J901" t="n">
        <v>0</v>
      </c>
      <c r="K901" t="n">
        <v>0</v>
      </c>
      <c r="L901" t="n">
        <v>0</v>
      </c>
      <c r="M901" t="n">
        <v>0</v>
      </c>
      <c r="N901" t="n">
        <v>0</v>
      </c>
      <c r="O901" t="n">
        <v>0</v>
      </c>
      <c r="P901" t="n">
        <v>0</v>
      </c>
      <c r="Q901" t="n">
        <v>0</v>
      </c>
      <c r="R901" s="2" t="inlineStr"/>
    </row>
    <row r="902" ht="15" customHeight="1">
      <c r="A902" t="inlineStr">
        <is>
          <t>A 59132-2018</t>
        </is>
      </c>
      <c r="B902" s="1" t="n">
        <v>43411</v>
      </c>
      <c r="C902" s="1" t="n">
        <v>45190</v>
      </c>
      <c r="D902" t="inlineStr">
        <is>
          <t>KALMAR LÄN</t>
        </is>
      </c>
      <c r="E902" t="inlineStr">
        <is>
          <t>HULTSFRED</t>
        </is>
      </c>
      <c r="F902" t="inlineStr">
        <is>
          <t>Kyrkan</t>
        </is>
      </c>
      <c r="G902" t="n">
        <v>3.9</v>
      </c>
      <c r="H902" t="n">
        <v>0</v>
      </c>
      <c r="I902" t="n">
        <v>0</v>
      </c>
      <c r="J902" t="n">
        <v>0</v>
      </c>
      <c r="K902" t="n">
        <v>0</v>
      </c>
      <c r="L902" t="n">
        <v>0</v>
      </c>
      <c r="M902" t="n">
        <v>0</v>
      </c>
      <c r="N902" t="n">
        <v>0</v>
      </c>
      <c r="O902" t="n">
        <v>0</v>
      </c>
      <c r="P902" t="n">
        <v>0</v>
      </c>
      <c r="Q902" t="n">
        <v>0</v>
      </c>
      <c r="R902" s="2" t="inlineStr"/>
    </row>
    <row r="903" ht="15" customHeight="1">
      <c r="A903" t="inlineStr">
        <is>
          <t>A 59785-2018</t>
        </is>
      </c>
      <c r="B903" s="1" t="n">
        <v>43411</v>
      </c>
      <c r="C903" s="1" t="n">
        <v>45190</v>
      </c>
      <c r="D903" t="inlineStr">
        <is>
          <t>KALMAR LÄN</t>
        </is>
      </c>
      <c r="E903" t="inlineStr">
        <is>
          <t>HÖGSBY</t>
        </is>
      </c>
      <c r="G903" t="n">
        <v>0.8</v>
      </c>
      <c r="H903" t="n">
        <v>0</v>
      </c>
      <c r="I903" t="n">
        <v>0</v>
      </c>
      <c r="J903" t="n">
        <v>0</v>
      </c>
      <c r="K903" t="n">
        <v>0</v>
      </c>
      <c r="L903" t="n">
        <v>0</v>
      </c>
      <c r="M903" t="n">
        <v>0</v>
      </c>
      <c r="N903" t="n">
        <v>0</v>
      </c>
      <c r="O903" t="n">
        <v>0</v>
      </c>
      <c r="P903" t="n">
        <v>0</v>
      </c>
      <c r="Q903" t="n">
        <v>0</v>
      </c>
      <c r="R903" s="2" t="inlineStr"/>
    </row>
    <row r="904" ht="15" customHeight="1">
      <c r="A904" t="inlineStr">
        <is>
          <t>A 59797-2018</t>
        </is>
      </c>
      <c r="B904" s="1" t="n">
        <v>43411</v>
      </c>
      <c r="C904" s="1" t="n">
        <v>45190</v>
      </c>
      <c r="D904" t="inlineStr">
        <is>
          <t>KALMAR LÄN</t>
        </is>
      </c>
      <c r="E904" t="inlineStr">
        <is>
          <t>VÄSTERVIK</t>
        </is>
      </c>
      <c r="G904" t="n">
        <v>0.5</v>
      </c>
      <c r="H904" t="n">
        <v>0</v>
      </c>
      <c r="I904" t="n">
        <v>0</v>
      </c>
      <c r="J904" t="n">
        <v>0</v>
      </c>
      <c r="K904" t="n">
        <v>0</v>
      </c>
      <c r="L904" t="n">
        <v>0</v>
      </c>
      <c r="M904" t="n">
        <v>0</v>
      </c>
      <c r="N904" t="n">
        <v>0</v>
      </c>
      <c r="O904" t="n">
        <v>0</v>
      </c>
      <c r="P904" t="n">
        <v>0</v>
      </c>
      <c r="Q904" t="n">
        <v>0</v>
      </c>
      <c r="R904" s="2" t="inlineStr"/>
    </row>
    <row r="905" ht="15" customHeight="1">
      <c r="A905" t="inlineStr">
        <is>
          <t>A 59317-2018</t>
        </is>
      </c>
      <c r="B905" s="1" t="n">
        <v>43411</v>
      </c>
      <c r="C905" s="1" t="n">
        <v>45190</v>
      </c>
      <c r="D905" t="inlineStr">
        <is>
          <t>KALMAR LÄN</t>
        </is>
      </c>
      <c r="E905" t="inlineStr">
        <is>
          <t>HULTSFRED</t>
        </is>
      </c>
      <c r="F905" t="inlineStr">
        <is>
          <t>Kyrkan</t>
        </is>
      </c>
      <c r="G905" t="n">
        <v>2.6</v>
      </c>
      <c r="H905" t="n">
        <v>0</v>
      </c>
      <c r="I905" t="n">
        <v>0</v>
      </c>
      <c r="J905" t="n">
        <v>0</v>
      </c>
      <c r="K905" t="n">
        <v>0</v>
      </c>
      <c r="L905" t="n">
        <v>0</v>
      </c>
      <c r="M905" t="n">
        <v>0</v>
      </c>
      <c r="N905" t="n">
        <v>0</v>
      </c>
      <c r="O905" t="n">
        <v>0</v>
      </c>
      <c r="P905" t="n">
        <v>0</v>
      </c>
      <c r="Q905" t="n">
        <v>0</v>
      </c>
      <c r="R905" s="2" t="inlineStr"/>
    </row>
    <row r="906" ht="15" customHeight="1">
      <c r="A906" t="inlineStr">
        <is>
          <t>A 59730-2018</t>
        </is>
      </c>
      <c r="B906" s="1" t="n">
        <v>43411</v>
      </c>
      <c r="C906" s="1" t="n">
        <v>45190</v>
      </c>
      <c r="D906" t="inlineStr">
        <is>
          <t>KALMAR LÄN</t>
        </is>
      </c>
      <c r="E906" t="inlineStr">
        <is>
          <t>HULTSFRED</t>
        </is>
      </c>
      <c r="F906" t="inlineStr">
        <is>
          <t>Kyrkan</t>
        </is>
      </c>
      <c r="G906" t="n">
        <v>0.7</v>
      </c>
      <c r="H906" t="n">
        <v>0</v>
      </c>
      <c r="I906" t="n">
        <v>0</v>
      </c>
      <c r="J906" t="n">
        <v>0</v>
      </c>
      <c r="K906" t="n">
        <v>0</v>
      </c>
      <c r="L906" t="n">
        <v>0</v>
      </c>
      <c r="M906" t="n">
        <v>0</v>
      </c>
      <c r="N906" t="n">
        <v>0</v>
      </c>
      <c r="O906" t="n">
        <v>0</v>
      </c>
      <c r="P906" t="n">
        <v>0</v>
      </c>
      <c r="Q906" t="n">
        <v>0</v>
      </c>
      <c r="R906" s="2" t="inlineStr"/>
    </row>
    <row r="907" ht="15" customHeight="1">
      <c r="A907" t="inlineStr">
        <is>
          <t>A 59794-2018</t>
        </is>
      </c>
      <c r="B907" s="1" t="n">
        <v>43411</v>
      </c>
      <c r="C907" s="1" t="n">
        <v>45190</v>
      </c>
      <c r="D907" t="inlineStr">
        <is>
          <t>KALMAR LÄN</t>
        </is>
      </c>
      <c r="E907" t="inlineStr">
        <is>
          <t>EMMABODA</t>
        </is>
      </c>
      <c r="G907" t="n">
        <v>0.6</v>
      </c>
      <c r="H907" t="n">
        <v>0</v>
      </c>
      <c r="I907" t="n">
        <v>0</v>
      </c>
      <c r="J907" t="n">
        <v>0</v>
      </c>
      <c r="K907" t="n">
        <v>0</v>
      </c>
      <c r="L907" t="n">
        <v>0</v>
      </c>
      <c r="M907" t="n">
        <v>0</v>
      </c>
      <c r="N907" t="n">
        <v>0</v>
      </c>
      <c r="O907" t="n">
        <v>0</v>
      </c>
      <c r="P907" t="n">
        <v>0</v>
      </c>
      <c r="Q907" t="n">
        <v>0</v>
      </c>
      <c r="R907" s="2" t="inlineStr"/>
    </row>
    <row r="908" ht="15" customHeight="1">
      <c r="A908" t="inlineStr">
        <is>
          <t>A 60025-2018</t>
        </is>
      </c>
      <c r="B908" s="1" t="n">
        <v>43412</v>
      </c>
      <c r="C908" s="1" t="n">
        <v>45190</v>
      </c>
      <c r="D908" t="inlineStr">
        <is>
          <t>KALMAR LÄN</t>
        </is>
      </c>
      <c r="E908" t="inlineStr">
        <is>
          <t>NYBRO</t>
        </is>
      </c>
      <c r="G908" t="n">
        <v>2.3</v>
      </c>
      <c r="H908" t="n">
        <v>0</v>
      </c>
      <c r="I908" t="n">
        <v>0</v>
      </c>
      <c r="J908" t="n">
        <v>0</v>
      </c>
      <c r="K908" t="n">
        <v>0</v>
      </c>
      <c r="L908" t="n">
        <v>0</v>
      </c>
      <c r="M908" t="n">
        <v>0</v>
      </c>
      <c r="N908" t="n">
        <v>0</v>
      </c>
      <c r="O908" t="n">
        <v>0</v>
      </c>
      <c r="P908" t="n">
        <v>0</v>
      </c>
      <c r="Q908" t="n">
        <v>0</v>
      </c>
      <c r="R908" s="2" t="inlineStr"/>
    </row>
    <row r="909" ht="15" customHeight="1">
      <c r="A909" t="inlineStr">
        <is>
          <t>A 61113-2018</t>
        </is>
      </c>
      <c r="B909" s="1" t="n">
        <v>43412</v>
      </c>
      <c r="C909" s="1" t="n">
        <v>45190</v>
      </c>
      <c r="D909" t="inlineStr">
        <is>
          <t>KALMAR LÄN</t>
        </is>
      </c>
      <c r="E909" t="inlineStr">
        <is>
          <t>EMMABODA</t>
        </is>
      </c>
      <c r="G909" t="n">
        <v>8.4</v>
      </c>
      <c r="H909" t="n">
        <v>0</v>
      </c>
      <c r="I909" t="n">
        <v>0</v>
      </c>
      <c r="J909" t="n">
        <v>0</v>
      </c>
      <c r="K909" t="n">
        <v>0</v>
      </c>
      <c r="L909" t="n">
        <v>0</v>
      </c>
      <c r="M909" t="n">
        <v>0</v>
      </c>
      <c r="N909" t="n">
        <v>0</v>
      </c>
      <c r="O909" t="n">
        <v>0</v>
      </c>
      <c r="P909" t="n">
        <v>0</v>
      </c>
      <c r="Q909" t="n">
        <v>0</v>
      </c>
      <c r="R909" s="2" t="inlineStr"/>
    </row>
    <row r="910" ht="15" customHeight="1">
      <c r="A910" t="inlineStr">
        <is>
          <t>A 60024-2018</t>
        </is>
      </c>
      <c r="B910" s="1" t="n">
        <v>43412</v>
      </c>
      <c r="C910" s="1" t="n">
        <v>45190</v>
      </c>
      <c r="D910" t="inlineStr">
        <is>
          <t>KALMAR LÄN</t>
        </is>
      </c>
      <c r="E910" t="inlineStr">
        <is>
          <t>NYBRO</t>
        </is>
      </c>
      <c r="G910" t="n">
        <v>0.9</v>
      </c>
      <c r="H910" t="n">
        <v>0</v>
      </c>
      <c r="I910" t="n">
        <v>0</v>
      </c>
      <c r="J910" t="n">
        <v>0</v>
      </c>
      <c r="K910" t="n">
        <v>0</v>
      </c>
      <c r="L910" t="n">
        <v>0</v>
      </c>
      <c r="M910" t="n">
        <v>0</v>
      </c>
      <c r="N910" t="n">
        <v>0</v>
      </c>
      <c r="O910" t="n">
        <v>0</v>
      </c>
      <c r="P910" t="n">
        <v>0</v>
      </c>
      <c r="Q910" t="n">
        <v>0</v>
      </c>
      <c r="R910" s="2" t="inlineStr"/>
    </row>
    <row r="911" ht="15" customHeight="1">
      <c r="A911" t="inlineStr">
        <is>
          <t>A 60112-2018</t>
        </is>
      </c>
      <c r="B911" s="1" t="n">
        <v>43412</v>
      </c>
      <c r="C911" s="1" t="n">
        <v>45190</v>
      </c>
      <c r="D911" t="inlineStr">
        <is>
          <t>KALMAR LÄN</t>
        </is>
      </c>
      <c r="E911" t="inlineStr">
        <is>
          <t>EMMABODA</t>
        </is>
      </c>
      <c r="G911" t="n">
        <v>1.5</v>
      </c>
      <c r="H911" t="n">
        <v>0</v>
      </c>
      <c r="I911" t="n">
        <v>0</v>
      </c>
      <c r="J911" t="n">
        <v>0</v>
      </c>
      <c r="K911" t="n">
        <v>0</v>
      </c>
      <c r="L911" t="n">
        <v>0</v>
      </c>
      <c r="M911" t="n">
        <v>0</v>
      </c>
      <c r="N911" t="n">
        <v>0</v>
      </c>
      <c r="O911" t="n">
        <v>0</v>
      </c>
      <c r="P911" t="n">
        <v>0</v>
      </c>
      <c r="Q911" t="n">
        <v>0</v>
      </c>
      <c r="R911" s="2" t="inlineStr"/>
    </row>
    <row r="912" ht="15" customHeight="1">
      <c r="A912" t="inlineStr">
        <is>
          <t>A 60126-2018</t>
        </is>
      </c>
      <c r="B912" s="1" t="n">
        <v>43412</v>
      </c>
      <c r="C912" s="1" t="n">
        <v>45190</v>
      </c>
      <c r="D912" t="inlineStr">
        <is>
          <t>KALMAR LÄN</t>
        </is>
      </c>
      <c r="E912" t="inlineStr">
        <is>
          <t>TORSÅS</t>
        </is>
      </c>
      <c r="G912" t="n">
        <v>10.5</v>
      </c>
      <c r="H912" t="n">
        <v>0</v>
      </c>
      <c r="I912" t="n">
        <v>0</v>
      </c>
      <c r="J912" t="n">
        <v>0</v>
      </c>
      <c r="K912" t="n">
        <v>0</v>
      </c>
      <c r="L912" t="n">
        <v>0</v>
      </c>
      <c r="M912" t="n">
        <v>0</v>
      </c>
      <c r="N912" t="n">
        <v>0</v>
      </c>
      <c r="O912" t="n">
        <v>0</v>
      </c>
      <c r="P912" t="n">
        <v>0</v>
      </c>
      <c r="Q912" t="n">
        <v>0</v>
      </c>
      <c r="R912" s="2" t="inlineStr"/>
    </row>
    <row r="913" ht="15" customHeight="1">
      <c r="A913" t="inlineStr">
        <is>
          <t>A 60239-2018</t>
        </is>
      </c>
      <c r="B913" s="1" t="n">
        <v>43412</v>
      </c>
      <c r="C913" s="1" t="n">
        <v>45190</v>
      </c>
      <c r="D913" t="inlineStr">
        <is>
          <t>KALMAR LÄN</t>
        </is>
      </c>
      <c r="E913" t="inlineStr">
        <is>
          <t>NYBRO</t>
        </is>
      </c>
      <c r="G913" t="n">
        <v>2.8</v>
      </c>
      <c r="H913" t="n">
        <v>0</v>
      </c>
      <c r="I913" t="n">
        <v>0</v>
      </c>
      <c r="J913" t="n">
        <v>0</v>
      </c>
      <c r="K913" t="n">
        <v>0</v>
      </c>
      <c r="L913" t="n">
        <v>0</v>
      </c>
      <c r="M913" t="n">
        <v>0</v>
      </c>
      <c r="N913" t="n">
        <v>0</v>
      </c>
      <c r="O913" t="n">
        <v>0</v>
      </c>
      <c r="P913" t="n">
        <v>0</v>
      </c>
      <c r="Q913" t="n">
        <v>0</v>
      </c>
      <c r="R913" s="2" t="inlineStr"/>
    </row>
    <row r="914" ht="15" customHeight="1">
      <c r="A914" t="inlineStr">
        <is>
          <t>A 61688-2018</t>
        </is>
      </c>
      <c r="B914" s="1" t="n">
        <v>43413</v>
      </c>
      <c r="C914" s="1" t="n">
        <v>45190</v>
      </c>
      <c r="D914" t="inlineStr">
        <is>
          <t>KALMAR LÄN</t>
        </is>
      </c>
      <c r="E914" t="inlineStr">
        <is>
          <t>VIMMERBY</t>
        </is>
      </c>
      <c r="G914" t="n">
        <v>1.8</v>
      </c>
      <c r="H914" t="n">
        <v>0</v>
      </c>
      <c r="I914" t="n">
        <v>0</v>
      </c>
      <c r="J914" t="n">
        <v>0</v>
      </c>
      <c r="K914" t="n">
        <v>0</v>
      </c>
      <c r="L914" t="n">
        <v>0</v>
      </c>
      <c r="M914" t="n">
        <v>0</v>
      </c>
      <c r="N914" t="n">
        <v>0</v>
      </c>
      <c r="O914" t="n">
        <v>0</v>
      </c>
      <c r="P914" t="n">
        <v>0</v>
      </c>
      <c r="Q914" t="n">
        <v>0</v>
      </c>
      <c r="R914" s="2" t="inlineStr"/>
    </row>
    <row r="915" ht="15" customHeight="1">
      <c r="A915" t="inlineStr">
        <is>
          <t>A 61950-2018</t>
        </is>
      </c>
      <c r="B915" s="1" t="n">
        <v>43413</v>
      </c>
      <c r="C915" s="1" t="n">
        <v>45190</v>
      </c>
      <c r="D915" t="inlineStr">
        <is>
          <t>KALMAR LÄN</t>
        </is>
      </c>
      <c r="E915" t="inlineStr">
        <is>
          <t>OSKARSHAMN</t>
        </is>
      </c>
      <c r="G915" t="n">
        <v>1.2</v>
      </c>
      <c r="H915" t="n">
        <v>0</v>
      </c>
      <c r="I915" t="n">
        <v>0</v>
      </c>
      <c r="J915" t="n">
        <v>0</v>
      </c>
      <c r="K915" t="n">
        <v>0</v>
      </c>
      <c r="L915" t="n">
        <v>0</v>
      </c>
      <c r="M915" t="n">
        <v>0</v>
      </c>
      <c r="N915" t="n">
        <v>0</v>
      </c>
      <c r="O915" t="n">
        <v>0</v>
      </c>
      <c r="P915" t="n">
        <v>0</v>
      </c>
      <c r="Q915" t="n">
        <v>0</v>
      </c>
      <c r="R915" s="2" t="inlineStr"/>
    </row>
    <row r="916" ht="15" customHeight="1">
      <c r="A916" t="inlineStr">
        <is>
          <t>A 62663-2018</t>
        </is>
      </c>
      <c r="B916" s="1" t="n">
        <v>43413</v>
      </c>
      <c r="C916" s="1" t="n">
        <v>45190</v>
      </c>
      <c r="D916" t="inlineStr">
        <is>
          <t>KALMAR LÄN</t>
        </is>
      </c>
      <c r="E916" t="inlineStr">
        <is>
          <t>HULTSFRED</t>
        </is>
      </c>
      <c r="G916" t="n">
        <v>0.8</v>
      </c>
      <c r="H916" t="n">
        <v>0</v>
      </c>
      <c r="I916" t="n">
        <v>0</v>
      </c>
      <c r="J916" t="n">
        <v>0</v>
      </c>
      <c r="K916" t="n">
        <v>0</v>
      </c>
      <c r="L916" t="n">
        <v>0</v>
      </c>
      <c r="M916" t="n">
        <v>0</v>
      </c>
      <c r="N916" t="n">
        <v>0</v>
      </c>
      <c r="O916" t="n">
        <v>0</v>
      </c>
      <c r="P916" t="n">
        <v>0</v>
      </c>
      <c r="Q916" t="n">
        <v>0</v>
      </c>
      <c r="R916" s="2" t="inlineStr"/>
    </row>
    <row r="917" ht="15" customHeight="1">
      <c r="A917" t="inlineStr">
        <is>
          <t>A 60278-2018</t>
        </is>
      </c>
      <c r="B917" s="1" t="n">
        <v>43413</v>
      </c>
      <c r="C917" s="1" t="n">
        <v>45190</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62697-2018</t>
        </is>
      </c>
      <c r="B918" s="1" t="n">
        <v>43413</v>
      </c>
      <c r="C918" s="1" t="n">
        <v>45190</v>
      </c>
      <c r="D918" t="inlineStr">
        <is>
          <t>KALMAR LÄN</t>
        </is>
      </c>
      <c r="E918" t="inlineStr">
        <is>
          <t>MÖNSTERÅS</t>
        </is>
      </c>
      <c r="G918" t="n">
        <v>1.2</v>
      </c>
      <c r="H918" t="n">
        <v>0</v>
      </c>
      <c r="I918" t="n">
        <v>0</v>
      </c>
      <c r="J918" t="n">
        <v>0</v>
      </c>
      <c r="K918" t="n">
        <v>0</v>
      </c>
      <c r="L918" t="n">
        <v>0</v>
      </c>
      <c r="M918" t="n">
        <v>0</v>
      </c>
      <c r="N918" t="n">
        <v>0</v>
      </c>
      <c r="O918" t="n">
        <v>0</v>
      </c>
      <c r="P918" t="n">
        <v>0</v>
      </c>
      <c r="Q918" t="n">
        <v>0</v>
      </c>
      <c r="R918" s="2" t="inlineStr"/>
    </row>
    <row r="919" ht="15" customHeight="1">
      <c r="A919" t="inlineStr">
        <is>
          <t>A 62657-2018</t>
        </is>
      </c>
      <c r="B919" s="1" t="n">
        <v>43413</v>
      </c>
      <c r="C919" s="1" t="n">
        <v>45190</v>
      </c>
      <c r="D919" t="inlineStr">
        <is>
          <t>KALMAR LÄN</t>
        </is>
      </c>
      <c r="E919" t="inlineStr">
        <is>
          <t>NYBRO</t>
        </is>
      </c>
      <c r="G919" t="n">
        <v>0.8</v>
      </c>
      <c r="H919" t="n">
        <v>0</v>
      </c>
      <c r="I919" t="n">
        <v>0</v>
      </c>
      <c r="J919" t="n">
        <v>0</v>
      </c>
      <c r="K919" t="n">
        <v>0</v>
      </c>
      <c r="L919" t="n">
        <v>0</v>
      </c>
      <c r="M919" t="n">
        <v>0</v>
      </c>
      <c r="N919" t="n">
        <v>0</v>
      </c>
      <c r="O919" t="n">
        <v>0</v>
      </c>
      <c r="P919" t="n">
        <v>0</v>
      </c>
      <c r="Q919" t="n">
        <v>0</v>
      </c>
      <c r="R919" s="2" t="inlineStr"/>
    </row>
    <row r="920" ht="15" customHeight="1">
      <c r="A920" t="inlineStr">
        <is>
          <t>A 62483-2018</t>
        </is>
      </c>
      <c r="B920" s="1" t="n">
        <v>43415</v>
      </c>
      <c r="C920" s="1" t="n">
        <v>45190</v>
      </c>
      <c r="D920" t="inlineStr">
        <is>
          <t>KALMAR LÄN</t>
        </is>
      </c>
      <c r="E920" t="inlineStr">
        <is>
          <t>HULTSFRED</t>
        </is>
      </c>
      <c r="G920" t="n">
        <v>1.6</v>
      </c>
      <c r="H920" t="n">
        <v>0</v>
      </c>
      <c r="I920" t="n">
        <v>0</v>
      </c>
      <c r="J920" t="n">
        <v>0</v>
      </c>
      <c r="K920" t="n">
        <v>0</v>
      </c>
      <c r="L920" t="n">
        <v>0</v>
      </c>
      <c r="M920" t="n">
        <v>0</v>
      </c>
      <c r="N920" t="n">
        <v>0</v>
      </c>
      <c r="O920" t="n">
        <v>0</v>
      </c>
      <c r="P920" t="n">
        <v>0</v>
      </c>
      <c r="Q920" t="n">
        <v>0</v>
      </c>
      <c r="R920" s="2" t="inlineStr"/>
    </row>
    <row r="921" ht="15" customHeight="1">
      <c r="A921" t="inlineStr">
        <is>
          <t>A 62481-2018</t>
        </is>
      </c>
      <c r="B921" s="1" t="n">
        <v>43415</v>
      </c>
      <c r="C921" s="1" t="n">
        <v>45190</v>
      </c>
      <c r="D921" t="inlineStr">
        <is>
          <t>KALMAR LÄN</t>
        </is>
      </c>
      <c r="E921" t="inlineStr">
        <is>
          <t>VIMMERBY</t>
        </is>
      </c>
      <c r="G921" t="n">
        <v>1.5</v>
      </c>
      <c r="H921" t="n">
        <v>0</v>
      </c>
      <c r="I921" t="n">
        <v>0</v>
      </c>
      <c r="J921" t="n">
        <v>0</v>
      </c>
      <c r="K921" t="n">
        <v>0</v>
      </c>
      <c r="L921" t="n">
        <v>0</v>
      </c>
      <c r="M921" t="n">
        <v>0</v>
      </c>
      <c r="N921" t="n">
        <v>0</v>
      </c>
      <c r="O921" t="n">
        <v>0</v>
      </c>
      <c r="P921" t="n">
        <v>0</v>
      </c>
      <c r="Q921" t="n">
        <v>0</v>
      </c>
      <c r="R921" s="2" t="inlineStr"/>
    </row>
    <row r="922" ht="15" customHeight="1">
      <c r="A922" t="inlineStr">
        <is>
          <t>A 62091-2018</t>
        </is>
      </c>
      <c r="B922" s="1" t="n">
        <v>43416</v>
      </c>
      <c r="C922" s="1" t="n">
        <v>45190</v>
      </c>
      <c r="D922" t="inlineStr">
        <is>
          <t>KALMAR LÄN</t>
        </is>
      </c>
      <c r="E922" t="inlineStr">
        <is>
          <t>MÖNSTERÅS</t>
        </is>
      </c>
      <c r="G922" t="n">
        <v>0.8</v>
      </c>
      <c r="H922" t="n">
        <v>0</v>
      </c>
      <c r="I922" t="n">
        <v>0</v>
      </c>
      <c r="J922" t="n">
        <v>0</v>
      </c>
      <c r="K922" t="n">
        <v>0</v>
      </c>
      <c r="L922" t="n">
        <v>0</v>
      </c>
      <c r="M922" t="n">
        <v>0</v>
      </c>
      <c r="N922" t="n">
        <v>0</v>
      </c>
      <c r="O922" t="n">
        <v>0</v>
      </c>
      <c r="P922" t="n">
        <v>0</v>
      </c>
      <c r="Q922" t="n">
        <v>0</v>
      </c>
      <c r="R922" s="2" t="inlineStr"/>
    </row>
    <row r="923" ht="15" customHeight="1">
      <c r="A923" t="inlineStr">
        <is>
          <t>A 62104-2018</t>
        </is>
      </c>
      <c r="B923" s="1" t="n">
        <v>43416</v>
      </c>
      <c r="C923" s="1" t="n">
        <v>45190</v>
      </c>
      <c r="D923" t="inlineStr">
        <is>
          <t>KALMAR LÄN</t>
        </is>
      </c>
      <c r="E923" t="inlineStr">
        <is>
          <t>EMMABODA</t>
        </is>
      </c>
      <c r="G923" t="n">
        <v>1.3</v>
      </c>
      <c r="H923" t="n">
        <v>0</v>
      </c>
      <c r="I923" t="n">
        <v>0</v>
      </c>
      <c r="J923" t="n">
        <v>0</v>
      </c>
      <c r="K923" t="n">
        <v>0</v>
      </c>
      <c r="L923" t="n">
        <v>0</v>
      </c>
      <c r="M923" t="n">
        <v>0</v>
      </c>
      <c r="N923" t="n">
        <v>0</v>
      </c>
      <c r="O923" t="n">
        <v>0</v>
      </c>
      <c r="P923" t="n">
        <v>0</v>
      </c>
      <c r="Q923" t="n">
        <v>0</v>
      </c>
      <c r="R923" s="2" t="inlineStr"/>
    </row>
    <row r="924" ht="15" customHeight="1">
      <c r="A924" t="inlineStr">
        <is>
          <t>A 62401-2018</t>
        </is>
      </c>
      <c r="B924" s="1" t="n">
        <v>43416</v>
      </c>
      <c r="C924" s="1" t="n">
        <v>45190</v>
      </c>
      <c r="D924" t="inlineStr">
        <is>
          <t>KALMAR LÄN</t>
        </is>
      </c>
      <c r="E924" t="inlineStr">
        <is>
          <t>HULTSFRED</t>
        </is>
      </c>
      <c r="G924" t="n">
        <v>6.1</v>
      </c>
      <c r="H924" t="n">
        <v>0</v>
      </c>
      <c r="I924" t="n">
        <v>0</v>
      </c>
      <c r="J924" t="n">
        <v>0</v>
      </c>
      <c r="K924" t="n">
        <v>0</v>
      </c>
      <c r="L924" t="n">
        <v>0</v>
      </c>
      <c r="M924" t="n">
        <v>0</v>
      </c>
      <c r="N924" t="n">
        <v>0</v>
      </c>
      <c r="O924" t="n">
        <v>0</v>
      </c>
      <c r="P924" t="n">
        <v>0</v>
      </c>
      <c r="Q924" t="n">
        <v>0</v>
      </c>
      <c r="R924" s="2" t="inlineStr"/>
    </row>
    <row r="925" ht="15" customHeight="1">
      <c r="A925" t="inlineStr">
        <is>
          <t>A 62032-2018</t>
        </is>
      </c>
      <c r="B925" s="1" t="n">
        <v>43416</v>
      </c>
      <c r="C925" s="1" t="n">
        <v>45190</v>
      </c>
      <c r="D925" t="inlineStr">
        <is>
          <t>KALMAR LÄN</t>
        </is>
      </c>
      <c r="E925" t="inlineStr">
        <is>
          <t>MÖNSTERÅS</t>
        </is>
      </c>
      <c r="G925" t="n">
        <v>2.2</v>
      </c>
      <c r="H925" t="n">
        <v>0</v>
      </c>
      <c r="I925" t="n">
        <v>0</v>
      </c>
      <c r="J925" t="n">
        <v>0</v>
      </c>
      <c r="K925" t="n">
        <v>0</v>
      </c>
      <c r="L925" t="n">
        <v>0</v>
      </c>
      <c r="M925" t="n">
        <v>0</v>
      </c>
      <c r="N925" t="n">
        <v>0</v>
      </c>
      <c r="O925" t="n">
        <v>0</v>
      </c>
      <c r="P925" t="n">
        <v>0</v>
      </c>
      <c r="Q925" t="n">
        <v>0</v>
      </c>
      <c r="R925" s="2" t="inlineStr"/>
    </row>
    <row r="926" ht="15" customHeight="1">
      <c r="A926" t="inlineStr">
        <is>
          <t>A 62110-2018</t>
        </is>
      </c>
      <c r="B926" s="1" t="n">
        <v>43416</v>
      </c>
      <c r="C926" s="1" t="n">
        <v>45190</v>
      </c>
      <c r="D926" t="inlineStr">
        <is>
          <t>KALMAR LÄN</t>
        </is>
      </c>
      <c r="E926" t="inlineStr">
        <is>
          <t>VÄSTERVIK</t>
        </is>
      </c>
      <c r="G926" t="n">
        <v>0.5</v>
      </c>
      <c r="H926" t="n">
        <v>0</v>
      </c>
      <c r="I926" t="n">
        <v>0</v>
      </c>
      <c r="J926" t="n">
        <v>0</v>
      </c>
      <c r="K926" t="n">
        <v>0</v>
      </c>
      <c r="L926" t="n">
        <v>0</v>
      </c>
      <c r="M926" t="n">
        <v>0</v>
      </c>
      <c r="N926" t="n">
        <v>0</v>
      </c>
      <c r="O926" t="n">
        <v>0</v>
      </c>
      <c r="P926" t="n">
        <v>0</v>
      </c>
      <c r="Q926" t="n">
        <v>0</v>
      </c>
      <c r="R926" s="2" t="inlineStr"/>
    </row>
    <row r="927" ht="15" customHeight="1">
      <c r="A927" t="inlineStr">
        <is>
          <t>A 62410-2018</t>
        </is>
      </c>
      <c r="B927" s="1" t="n">
        <v>43416</v>
      </c>
      <c r="C927" s="1" t="n">
        <v>45190</v>
      </c>
      <c r="D927" t="inlineStr">
        <is>
          <t>KALMAR LÄN</t>
        </is>
      </c>
      <c r="E927" t="inlineStr">
        <is>
          <t>HULTSFRED</t>
        </is>
      </c>
      <c r="G927" t="n">
        <v>2</v>
      </c>
      <c r="H927" t="n">
        <v>0</v>
      </c>
      <c r="I927" t="n">
        <v>0</v>
      </c>
      <c r="J927" t="n">
        <v>0</v>
      </c>
      <c r="K927" t="n">
        <v>0</v>
      </c>
      <c r="L927" t="n">
        <v>0</v>
      </c>
      <c r="M927" t="n">
        <v>0</v>
      </c>
      <c r="N927" t="n">
        <v>0</v>
      </c>
      <c r="O927" t="n">
        <v>0</v>
      </c>
      <c r="P927" t="n">
        <v>0</v>
      </c>
      <c r="Q927" t="n">
        <v>0</v>
      </c>
      <c r="R927" s="2" t="inlineStr"/>
    </row>
    <row r="928" ht="15" customHeight="1">
      <c r="A928" t="inlineStr">
        <is>
          <t>A 61218-2018</t>
        </is>
      </c>
      <c r="B928" s="1" t="n">
        <v>43416</v>
      </c>
      <c r="C928" s="1" t="n">
        <v>45190</v>
      </c>
      <c r="D928" t="inlineStr">
        <is>
          <t>KALMAR LÄN</t>
        </is>
      </c>
      <c r="E928" t="inlineStr">
        <is>
          <t>VÄSTERVIK</t>
        </is>
      </c>
      <c r="G928" t="n">
        <v>0.4</v>
      </c>
      <c r="H928" t="n">
        <v>0</v>
      </c>
      <c r="I928" t="n">
        <v>0</v>
      </c>
      <c r="J928" t="n">
        <v>0</v>
      </c>
      <c r="K928" t="n">
        <v>0</v>
      </c>
      <c r="L928" t="n">
        <v>0</v>
      </c>
      <c r="M928" t="n">
        <v>0</v>
      </c>
      <c r="N928" t="n">
        <v>0</v>
      </c>
      <c r="O928" t="n">
        <v>0</v>
      </c>
      <c r="P928" t="n">
        <v>0</v>
      </c>
      <c r="Q928" t="n">
        <v>0</v>
      </c>
      <c r="R928" s="2" t="inlineStr"/>
    </row>
    <row r="929" ht="15" customHeight="1">
      <c r="A929" t="inlineStr">
        <is>
          <t>A 62121-2018</t>
        </is>
      </c>
      <c r="B929" s="1" t="n">
        <v>43416</v>
      </c>
      <c r="C929" s="1" t="n">
        <v>45190</v>
      </c>
      <c r="D929" t="inlineStr">
        <is>
          <t>KALMAR LÄN</t>
        </is>
      </c>
      <c r="E929" t="inlineStr">
        <is>
          <t>VÄSTERVIK</t>
        </is>
      </c>
      <c r="G929" t="n">
        <v>6</v>
      </c>
      <c r="H929" t="n">
        <v>0</v>
      </c>
      <c r="I929" t="n">
        <v>0</v>
      </c>
      <c r="J929" t="n">
        <v>0</v>
      </c>
      <c r="K929" t="n">
        <v>0</v>
      </c>
      <c r="L929" t="n">
        <v>0</v>
      </c>
      <c r="M929" t="n">
        <v>0</v>
      </c>
      <c r="N929" t="n">
        <v>0</v>
      </c>
      <c r="O929" t="n">
        <v>0</v>
      </c>
      <c r="P929" t="n">
        <v>0</v>
      </c>
      <c r="Q929" t="n">
        <v>0</v>
      </c>
      <c r="R929" s="2" t="inlineStr"/>
    </row>
    <row r="930" ht="15" customHeight="1">
      <c r="A930" t="inlineStr">
        <is>
          <t>A 61206-2018</t>
        </is>
      </c>
      <c r="B930" s="1" t="n">
        <v>43416</v>
      </c>
      <c r="C930" s="1" t="n">
        <v>45190</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62766-2018</t>
        </is>
      </c>
      <c r="B931" s="1" t="n">
        <v>43417</v>
      </c>
      <c r="C931" s="1" t="n">
        <v>45190</v>
      </c>
      <c r="D931" t="inlineStr">
        <is>
          <t>KALMAR LÄN</t>
        </is>
      </c>
      <c r="E931" t="inlineStr">
        <is>
          <t>HULTSFRED</t>
        </is>
      </c>
      <c r="G931" t="n">
        <v>0.8</v>
      </c>
      <c r="H931" t="n">
        <v>0</v>
      </c>
      <c r="I931" t="n">
        <v>0</v>
      </c>
      <c r="J931" t="n">
        <v>0</v>
      </c>
      <c r="K931" t="n">
        <v>0</v>
      </c>
      <c r="L931" t="n">
        <v>0</v>
      </c>
      <c r="M931" t="n">
        <v>0</v>
      </c>
      <c r="N931" t="n">
        <v>0</v>
      </c>
      <c r="O931" t="n">
        <v>0</v>
      </c>
      <c r="P931" t="n">
        <v>0</v>
      </c>
      <c r="Q931" t="n">
        <v>0</v>
      </c>
      <c r="R931" s="2" t="inlineStr"/>
    </row>
    <row r="932" ht="15" customHeight="1">
      <c r="A932" t="inlineStr">
        <is>
          <t>A 62810-2018</t>
        </is>
      </c>
      <c r="B932" s="1" t="n">
        <v>43417</v>
      </c>
      <c r="C932" s="1" t="n">
        <v>45190</v>
      </c>
      <c r="D932" t="inlineStr">
        <is>
          <t>KALMAR LÄN</t>
        </is>
      </c>
      <c r="E932" t="inlineStr">
        <is>
          <t>VÄSTERVIK</t>
        </is>
      </c>
      <c r="G932" t="n">
        <v>0.4</v>
      </c>
      <c r="H932" t="n">
        <v>0</v>
      </c>
      <c r="I932" t="n">
        <v>0</v>
      </c>
      <c r="J932" t="n">
        <v>0</v>
      </c>
      <c r="K932" t="n">
        <v>0</v>
      </c>
      <c r="L932" t="n">
        <v>0</v>
      </c>
      <c r="M932" t="n">
        <v>0</v>
      </c>
      <c r="N932" t="n">
        <v>0</v>
      </c>
      <c r="O932" t="n">
        <v>0</v>
      </c>
      <c r="P932" t="n">
        <v>0</v>
      </c>
      <c r="Q932" t="n">
        <v>0</v>
      </c>
      <c r="R932" s="2" t="inlineStr"/>
    </row>
    <row r="933" ht="15" customHeight="1">
      <c r="A933" t="inlineStr">
        <is>
          <t>A 62954-2018</t>
        </is>
      </c>
      <c r="B933" s="1" t="n">
        <v>43417</v>
      </c>
      <c r="C933" s="1" t="n">
        <v>45190</v>
      </c>
      <c r="D933" t="inlineStr">
        <is>
          <t>KALMAR LÄN</t>
        </is>
      </c>
      <c r="E933" t="inlineStr">
        <is>
          <t>VIMMERBY</t>
        </is>
      </c>
      <c r="G933" t="n">
        <v>2.5</v>
      </c>
      <c r="H933" t="n">
        <v>0</v>
      </c>
      <c r="I933" t="n">
        <v>0</v>
      </c>
      <c r="J933" t="n">
        <v>0</v>
      </c>
      <c r="K933" t="n">
        <v>0</v>
      </c>
      <c r="L933" t="n">
        <v>0</v>
      </c>
      <c r="M933" t="n">
        <v>0</v>
      </c>
      <c r="N933" t="n">
        <v>0</v>
      </c>
      <c r="O933" t="n">
        <v>0</v>
      </c>
      <c r="P933" t="n">
        <v>0</v>
      </c>
      <c r="Q933" t="n">
        <v>0</v>
      </c>
      <c r="R933" s="2" t="inlineStr"/>
    </row>
    <row r="934" ht="15" customHeight="1">
      <c r="A934" t="inlineStr">
        <is>
          <t>A 59183-2018</t>
        </is>
      </c>
      <c r="B934" s="1" t="n">
        <v>43417</v>
      </c>
      <c r="C934" s="1" t="n">
        <v>45190</v>
      </c>
      <c r="D934" t="inlineStr">
        <is>
          <t>KALMAR LÄN</t>
        </is>
      </c>
      <c r="E934" t="inlineStr">
        <is>
          <t>OSKARSHAMN</t>
        </is>
      </c>
      <c r="G934" t="n">
        <v>0.6</v>
      </c>
      <c r="H934" t="n">
        <v>0</v>
      </c>
      <c r="I934" t="n">
        <v>0</v>
      </c>
      <c r="J934" t="n">
        <v>0</v>
      </c>
      <c r="K934" t="n">
        <v>0</v>
      </c>
      <c r="L934" t="n">
        <v>0</v>
      </c>
      <c r="M934" t="n">
        <v>0</v>
      </c>
      <c r="N934" t="n">
        <v>0</v>
      </c>
      <c r="O934" t="n">
        <v>0</v>
      </c>
      <c r="P934" t="n">
        <v>0</v>
      </c>
      <c r="Q934" t="n">
        <v>0</v>
      </c>
      <c r="R934" s="2" t="inlineStr"/>
    </row>
    <row r="935" ht="15" customHeight="1">
      <c r="A935" t="inlineStr">
        <is>
          <t>A 59217-2018</t>
        </is>
      </c>
      <c r="B935" s="1" t="n">
        <v>43417</v>
      </c>
      <c r="C935" s="1" t="n">
        <v>45190</v>
      </c>
      <c r="D935" t="inlineStr">
        <is>
          <t>KALMAR LÄN</t>
        </is>
      </c>
      <c r="E935" t="inlineStr">
        <is>
          <t>HÖGSBY</t>
        </is>
      </c>
      <c r="G935" t="n">
        <v>1.1</v>
      </c>
      <c r="H935" t="n">
        <v>0</v>
      </c>
      <c r="I935" t="n">
        <v>0</v>
      </c>
      <c r="J935" t="n">
        <v>0</v>
      </c>
      <c r="K935" t="n">
        <v>0</v>
      </c>
      <c r="L935" t="n">
        <v>0</v>
      </c>
      <c r="M935" t="n">
        <v>0</v>
      </c>
      <c r="N935" t="n">
        <v>0</v>
      </c>
      <c r="O935" t="n">
        <v>0</v>
      </c>
      <c r="P935" t="n">
        <v>0</v>
      </c>
      <c r="Q935" t="n">
        <v>0</v>
      </c>
      <c r="R935" s="2" t="inlineStr"/>
    </row>
    <row r="936" ht="15" customHeight="1">
      <c r="A936" t="inlineStr">
        <is>
          <t>A 62951-2018</t>
        </is>
      </c>
      <c r="B936" s="1" t="n">
        <v>43417</v>
      </c>
      <c r="C936" s="1" t="n">
        <v>45190</v>
      </c>
      <c r="D936" t="inlineStr">
        <is>
          <t>KALMAR LÄN</t>
        </is>
      </c>
      <c r="E936" t="inlineStr">
        <is>
          <t>VÄSTERVIK</t>
        </is>
      </c>
      <c r="G936" t="n">
        <v>3.6</v>
      </c>
      <c r="H936" t="n">
        <v>0</v>
      </c>
      <c r="I936" t="n">
        <v>0</v>
      </c>
      <c r="J936" t="n">
        <v>0</v>
      </c>
      <c r="K936" t="n">
        <v>0</v>
      </c>
      <c r="L936" t="n">
        <v>0</v>
      </c>
      <c r="M936" t="n">
        <v>0</v>
      </c>
      <c r="N936" t="n">
        <v>0</v>
      </c>
      <c r="O936" t="n">
        <v>0</v>
      </c>
      <c r="P936" t="n">
        <v>0</v>
      </c>
      <c r="Q936" t="n">
        <v>0</v>
      </c>
      <c r="R936" s="2" t="inlineStr"/>
    </row>
    <row r="937" ht="15" customHeight="1">
      <c r="A937" t="inlineStr">
        <is>
          <t>A 59170-2018</t>
        </is>
      </c>
      <c r="B937" s="1" t="n">
        <v>43417</v>
      </c>
      <c r="C937" s="1" t="n">
        <v>45190</v>
      </c>
      <c r="D937" t="inlineStr">
        <is>
          <t>KALMAR LÄN</t>
        </is>
      </c>
      <c r="E937" t="inlineStr">
        <is>
          <t>HULTSFRED</t>
        </is>
      </c>
      <c r="G937" t="n">
        <v>7.3</v>
      </c>
      <c r="H937" t="n">
        <v>0</v>
      </c>
      <c r="I937" t="n">
        <v>0</v>
      </c>
      <c r="J937" t="n">
        <v>0</v>
      </c>
      <c r="K937" t="n">
        <v>0</v>
      </c>
      <c r="L937" t="n">
        <v>0</v>
      </c>
      <c r="M937" t="n">
        <v>0</v>
      </c>
      <c r="N937" t="n">
        <v>0</v>
      </c>
      <c r="O937" t="n">
        <v>0</v>
      </c>
      <c r="P937" t="n">
        <v>0</v>
      </c>
      <c r="Q937" t="n">
        <v>0</v>
      </c>
      <c r="R937" s="2" t="inlineStr"/>
    </row>
    <row r="938" ht="15" customHeight="1">
      <c r="A938" t="inlineStr">
        <is>
          <t>A 61996-2018</t>
        </is>
      </c>
      <c r="B938" s="1" t="n">
        <v>43417</v>
      </c>
      <c r="C938" s="1" t="n">
        <v>45190</v>
      </c>
      <c r="D938" t="inlineStr">
        <is>
          <t>KALMAR LÄN</t>
        </is>
      </c>
      <c r="E938" t="inlineStr">
        <is>
          <t>VIMMERBY</t>
        </is>
      </c>
      <c r="G938" t="n">
        <v>2.2</v>
      </c>
      <c r="H938" t="n">
        <v>0</v>
      </c>
      <c r="I938" t="n">
        <v>0</v>
      </c>
      <c r="J938" t="n">
        <v>0</v>
      </c>
      <c r="K938" t="n">
        <v>0</v>
      </c>
      <c r="L938" t="n">
        <v>0</v>
      </c>
      <c r="M938" t="n">
        <v>0</v>
      </c>
      <c r="N938" t="n">
        <v>0</v>
      </c>
      <c r="O938" t="n">
        <v>0</v>
      </c>
      <c r="P938" t="n">
        <v>0</v>
      </c>
      <c r="Q938" t="n">
        <v>0</v>
      </c>
      <c r="R938" s="2" t="inlineStr"/>
    </row>
    <row r="939" ht="15" customHeight="1">
      <c r="A939" t="inlineStr">
        <is>
          <t>A 62953-2018</t>
        </is>
      </c>
      <c r="B939" s="1" t="n">
        <v>43417</v>
      </c>
      <c r="C939" s="1" t="n">
        <v>45190</v>
      </c>
      <c r="D939" t="inlineStr">
        <is>
          <t>KALMAR LÄN</t>
        </is>
      </c>
      <c r="E939" t="inlineStr">
        <is>
          <t>VIMMERBY</t>
        </is>
      </c>
      <c r="G939" t="n">
        <v>1.8</v>
      </c>
      <c r="H939" t="n">
        <v>0</v>
      </c>
      <c r="I939" t="n">
        <v>0</v>
      </c>
      <c r="J939" t="n">
        <v>0</v>
      </c>
      <c r="K939" t="n">
        <v>0</v>
      </c>
      <c r="L939" t="n">
        <v>0</v>
      </c>
      <c r="M939" t="n">
        <v>0</v>
      </c>
      <c r="N939" t="n">
        <v>0</v>
      </c>
      <c r="O939" t="n">
        <v>0</v>
      </c>
      <c r="P939" t="n">
        <v>0</v>
      </c>
      <c r="Q939" t="n">
        <v>0</v>
      </c>
      <c r="R939" s="2" t="inlineStr"/>
    </row>
    <row r="940" ht="15" customHeight="1">
      <c r="A940" t="inlineStr">
        <is>
          <t>A 59355-2018</t>
        </is>
      </c>
      <c r="B940" s="1" t="n">
        <v>43418</v>
      </c>
      <c r="C940" s="1" t="n">
        <v>45190</v>
      </c>
      <c r="D940" t="inlineStr">
        <is>
          <t>KALMAR LÄN</t>
        </is>
      </c>
      <c r="E940" t="inlineStr">
        <is>
          <t>HULTSFRED</t>
        </is>
      </c>
      <c r="G940" t="n">
        <v>0.8</v>
      </c>
      <c r="H940" t="n">
        <v>0</v>
      </c>
      <c r="I940" t="n">
        <v>0</v>
      </c>
      <c r="J940" t="n">
        <v>0</v>
      </c>
      <c r="K940" t="n">
        <v>0</v>
      </c>
      <c r="L940" t="n">
        <v>0</v>
      </c>
      <c r="M940" t="n">
        <v>0</v>
      </c>
      <c r="N940" t="n">
        <v>0</v>
      </c>
      <c r="O940" t="n">
        <v>0</v>
      </c>
      <c r="P940" t="n">
        <v>0</v>
      </c>
      <c r="Q940" t="n">
        <v>0</v>
      </c>
      <c r="R940" s="2" t="inlineStr"/>
    </row>
    <row r="941" ht="15" customHeight="1">
      <c r="A941" t="inlineStr">
        <is>
          <t>A 59386-2018</t>
        </is>
      </c>
      <c r="B941" s="1" t="n">
        <v>43418</v>
      </c>
      <c r="C941" s="1" t="n">
        <v>45190</v>
      </c>
      <c r="D941" t="inlineStr">
        <is>
          <t>KALMAR LÄN</t>
        </is>
      </c>
      <c r="E941" t="inlineStr">
        <is>
          <t>KALMAR</t>
        </is>
      </c>
      <c r="G941" t="n">
        <v>3.8</v>
      </c>
      <c r="H941" t="n">
        <v>0</v>
      </c>
      <c r="I941" t="n">
        <v>0</v>
      </c>
      <c r="J941" t="n">
        <v>0</v>
      </c>
      <c r="K941" t="n">
        <v>0</v>
      </c>
      <c r="L941" t="n">
        <v>0</v>
      </c>
      <c r="M941" t="n">
        <v>0</v>
      </c>
      <c r="N941" t="n">
        <v>0</v>
      </c>
      <c r="O941" t="n">
        <v>0</v>
      </c>
      <c r="P941" t="n">
        <v>0</v>
      </c>
      <c r="Q941" t="n">
        <v>0</v>
      </c>
      <c r="R941" s="2" t="inlineStr"/>
    </row>
    <row r="942" ht="15" customHeight="1">
      <c r="A942" t="inlineStr">
        <is>
          <t>A 63069-2018</t>
        </is>
      </c>
      <c r="B942" s="1" t="n">
        <v>43418</v>
      </c>
      <c r="C942" s="1" t="n">
        <v>45190</v>
      </c>
      <c r="D942" t="inlineStr">
        <is>
          <t>KALMAR LÄN</t>
        </is>
      </c>
      <c r="E942" t="inlineStr">
        <is>
          <t>MÖNSTERÅS</t>
        </is>
      </c>
      <c r="G942" t="n">
        <v>10.8</v>
      </c>
      <c r="H942" t="n">
        <v>0</v>
      </c>
      <c r="I942" t="n">
        <v>0</v>
      </c>
      <c r="J942" t="n">
        <v>0</v>
      </c>
      <c r="K942" t="n">
        <v>0</v>
      </c>
      <c r="L942" t="n">
        <v>0</v>
      </c>
      <c r="M942" t="n">
        <v>0</v>
      </c>
      <c r="N942" t="n">
        <v>0</v>
      </c>
      <c r="O942" t="n">
        <v>0</v>
      </c>
      <c r="P942" t="n">
        <v>0</v>
      </c>
      <c r="Q942" t="n">
        <v>0</v>
      </c>
      <c r="R942" s="2" t="inlineStr"/>
    </row>
    <row r="943" ht="15" customHeight="1">
      <c r="A943" t="inlineStr">
        <is>
          <t>A 63151-2018</t>
        </is>
      </c>
      <c r="B943" s="1" t="n">
        <v>43418</v>
      </c>
      <c r="C943" s="1" t="n">
        <v>45190</v>
      </c>
      <c r="D943" t="inlineStr">
        <is>
          <t>KALMAR LÄN</t>
        </is>
      </c>
      <c r="E943" t="inlineStr">
        <is>
          <t>VIMMERBY</t>
        </is>
      </c>
      <c r="G943" t="n">
        <v>0.6</v>
      </c>
      <c r="H943" t="n">
        <v>0</v>
      </c>
      <c r="I943" t="n">
        <v>0</v>
      </c>
      <c r="J943" t="n">
        <v>0</v>
      </c>
      <c r="K943" t="n">
        <v>0</v>
      </c>
      <c r="L943" t="n">
        <v>0</v>
      </c>
      <c r="M943" t="n">
        <v>0</v>
      </c>
      <c r="N943" t="n">
        <v>0</v>
      </c>
      <c r="O943" t="n">
        <v>0</v>
      </c>
      <c r="P943" t="n">
        <v>0</v>
      </c>
      <c r="Q943" t="n">
        <v>0</v>
      </c>
      <c r="R943" s="2" t="inlineStr"/>
    </row>
    <row r="944" ht="15" customHeight="1">
      <c r="A944" t="inlineStr">
        <is>
          <t>A 63157-2018</t>
        </is>
      </c>
      <c r="B944" s="1" t="n">
        <v>43418</v>
      </c>
      <c r="C944" s="1" t="n">
        <v>45190</v>
      </c>
      <c r="D944" t="inlineStr">
        <is>
          <t>KALMAR LÄN</t>
        </is>
      </c>
      <c r="E944" t="inlineStr">
        <is>
          <t>NYBRO</t>
        </is>
      </c>
      <c r="G944" t="n">
        <v>1.8</v>
      </c>
      <c r="H944" t="n">
        <v>0</v>
      </c>
      <c r="I944" t="n">
        <v>0</v>
      </c>
      <c r="J944" t="n">
        <v>0</v>
      </c>
      <c r="K944" t="n">
        <v>0</v>
      </c>
      <c r="L944" t="n">
        <v>0</v>
      </c>
      <c r="M944" t="n">
        <v>0</v>
      </c>
      <c r="N944" t="n">
        <v>0</v>
      </c>
      <c r="O944" t="n">
        <v>0</v>
      </c>
      <c r="P944" t="n">
        <v>0</v>
      </c>
      <c r="Q944" t="n">
        <v>0</v>
      </c>
      <c r="R944" s="2" t="inlineStr"/>
    </row>
    <row r="945" ht="15" customHeight="1">
      <c r="A945" t="inlineStr">
        <is>
          <t>A 63159-2018</t>
        </is>
      </c>
      <c r="B945" s="1" t="n">
        <v>43418</v>
      </c>
      <c r="C945" s="1" t="n">
        <v>45190</v>
      </c>
      <c r="D945" t="inlineStr">
        <is>
          <t>KALMAR LÄN</t>
        </is>
      </c>
      <c r="E945" t="inlineStr">
        <is>
          <t>NYBRO</t>
        </is>
      </c>
      <c r="G945" t="n">
        <v>0.4</v>
      </c>
      <c r="H945" t="n">
        <v>0</v>
      </c>
      <c r="I945" t="n">
        <v>0</v>
      </c>
      <c r="J945" t="n">
        <v>0</v>
      </c>
      <c r="K945" t="n">
        <v>0</v>
      </c>
      <c r="L945" t="n">
        <v>0</v>
      </c>
      <c r="M945" t="n">
        <v>0</v>
      </c>
      <c r="N945" t="n">
        <v>0</v>
      </c>
      <c r="O945" t="n">
        <v>0</v>
      </c>
      <c r="P945" t="n">
        <v>0</v>
      </c>
      <c r="Q945" t="n">
        <v>0</v>
      </c>
      <c r="R945" s="2" t="inlineStr"/>
    </row>
    <row r="946" ht="15" customHeight="1">
      <c r="A946" t="inlineStr">
        <is>
          <t>A 63194-2018</t>
        </is>
      </c>
      <c r="B946" s="1" t="n">
        <v>43418</v>
      </c>
      <c r="C946" s="1" t="n">
        <v>45190</v>
      </c>
      <c r="D946" t="inlineStr">
        <is>
          <t>KALMAR LÄN</t>
        </is>
      </c>
      <c r="E946" t="inlineStr">
        <is>
          <t>EMMABODA</t>
        </is>
      </c>
      <c r="G946" t="n">
        <v>3.1</v>
      </c>
      <c r="H946" t="n">
        <v>0</v>
      </c>
      <c r="I946" t="n">
        <v>0</v>
      </c>
      <c r="J946" t="n">
        <v>0</v>
      </c>
      <c r="K946" t="n">
        <v>0</v>
      </c>
      <c r="L946" t="n">
        <v>0</v>
      </c>
      <c r="M946" t="n">
        <v>0</v>
      </c>
      <c r="N946" t="n">
        <v>0</v>
      </c>
      <c r="O946" t="n">
        <v>0</v>
      </c>
      <c r="P946" t="n">
        <v>0</v>
      </c>
      <c r="Q946" t="n">
        <v>0</v>
      </c>
      <c r="R946" s="2" t="inlineStr"/>
    </row>
    <row r="947" ht="15" customHeight="1">
      <c r="A947" t="inlineStr">
        <is>
          <t>A 63757-2018</t>
        </is>
      </c>
      <c r="B947" s="1" t="n">
        <v>43418</v>
      </c>
      <c r="C947" s="1" t="n">
        <v>45190</v>
      </c>
      <c r="D947" t="inlineStr">
        <is>
          <t>KALMAR LÄN</t>
        </is>
      </c>
      <c r="E947" t="inlineStr">
        <is>
          <t>KALMAR</t>
        </is>
      </c>
      <c r="G947" t="n">
        <v>2.9</v>
      </c>
      <c r="H947" t="n">
        <v>0</v>
      </c>
      <c r="I947" t="n">
        <v>0</v>
      </c>
      <c r="J947" t="n">
        <v>0</v>
      </c>
      <c r="K947" t="n">
        <v>0</v>
      </c>
      <c r="L947" t="n">
        <v>0</v>
      </c>
      <c r="M947" t="n">
        <v>0</v>
      </c>
      <c r="N947" t="n">
        <v>0</v>
      </c>
      <c r="O947" t="n">
        <v>0</v>
      </c>
      <c r="P947" t="n">
        <v>0</v>
      </c>
      <c r="Q947" t="n">
        <v>0</v>
      </c>
      <c r="R947" s="2" t="inlineStr"/>
    </row>
    <row r="948" ht="15" customHeight="1">
      <c r="A948" t="inlineStr">
        <is>
          <t>A 63759-2018</t>
        </is>
      </c>
      <c r="B948" s="1" t="n">
        <v>43418</v>
      </c>
      <c r="C948" s="1" t="n">
        <v>45190</v>
      </c>
      <c r="D948" t="inlineStr">
        <is>
          <t>KALMAR LÄN</t>
        </is>
      </c>
      <c r="E948" t="inlineStr">
        <is>
          <t>EMMABODA</t>
        </is>
      </c>
      <c r="G948" t="n">
        <v>2.5</v>
      </c>
      <c r="H948" t="n">
        <v>0</v>
      </c>
      <c r="I948" t="n">
        <v>0</v>
      </c>
      <c r="J948" t="n">
        <v>0</v>
      </c>
      <c r="K948" t="n">
        <v>0</v>
      </c>
      <c r="L948" t="n">
        <v>0</v>
      </c>
      <c r="M948" t="n">
        <v>0</v>
      </c>
      <c r="N948" t="n">
        <v>0</v>
      </c>
      <c r="O948" t="n">
        <v>0</v>
      </c>
      <c r="P948" t="n">
        <v>0</v>
      </c>
      <c r="Q948" t="n">
        <v>0</v>
      </c>
      <c r="R948" s="2" t="inlineStr"/>
    </row>
    <row r="949" ht="15" customHeight="1">
      <c r="A949" t="inlineStr">
        <is>
          <t>A 63761-2018</t>
        </is>
      </c>
      <c r="B949" s="1" t="n">
        <v>43418</v>
      </c>
      <c r="C949" s="1" t="n">
        <v>45190</v>
      </c>
      <c r="D949" t="inlineStr">
        <is>
          <t>KALMAR LÄN</t>
        </is>
      </c>
      <c r="E949" t="inlineStr">
        <is>
          <t>MÖNSTERÅS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64027-2018</t>
        </is>
      </c>
      <c r="B950" s="1" t="n">
        <v>43418</v>
      </c>
      <c r="C950" s="1" t="n">
        <v>45190</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64037-2018</t>
        </is>
      </c>
      <c r="B951" s="1" t="n">
        <v>43418</v>
      </c>
      <c r="C951" s="1" t="n">
        <v>45190</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64090-2018</t>
        </is>
      </c>
      <c r="B952" s="1" t="n">
        <v>43418</v>
      </c>
      <c r="C952" s="1" t="n">
        <v>45190</v>
      </c>
      <c r="D952" t="inlineStr">
        <is>
          <t>KALMAR LÄN</t>
        </is>
      </c>
      <c r="E952" t="inlineStr">
        <is>
          <t>HULTSFRED</t>
        </is>
      </c>
      <c r="G952" t="n">
        <v>1.6</v>
      </c>
      <c r="H952" t="n">
        <v>0</v>
      </c>
      <c r="I952" t="n">
        <v>0</v>
      </c>
      <c r="J952" t="n">
        <v>0</v>
      </c>
      <c r="K952" t="n">
        <v>0</v>
      </c>
      <c r="L952" t="n">
        <v>0</v>
      </c>
      <c r="M952" t="n">
        <v>0</v>
      </c>
      <c r="N952" t="n">
        <v>0</v>
      </c>
      <c r="O952" t="n">
        <v>0</v>
      </c>
      <c r="P952" t="n">
        <v>0</v>
      </c>
      <c r="Q952" t="n">
        <v>0</v>
      </c>
      <c r="R952" s="2" t="inlineStr"/>
    </row>
    <row r="953" ht="15" customHeight="1">
      <c r="A953" t="inlineStr">
        <is>
          <t>A 64175-2018</t>
        </is>
      </c>
      <c r="B953" s="1" t="n">
        <v>43419</v>
      </c>
      <c r="C953" s="1" t="n">
        <v>45190</v>
      </c>
      <c r="D953" t="inlineStr">
        <is>
          <t>KALMAR LÄN</t>
        </is>
      </c>
      <c r="E953" t="inlineStr">
        <is>
          <t>VIMMERBY</t>
        </is>
      </c>
      <c r="G953" t="n">
        <v>6.9</v>
      </c>
      <c r="H953" t="n">
        <v>0</v>
      </c>
      <c r="I953" t="n">
        <v>0</v>
      </c>
      <c r="J953" t="n">
        <v>0</v>
      </c>
      <c r="K953" t="n">
        <v>0</v>
      </c>
      <c r="L953" t="n">
        <v>0</v>
      </c>
      <c r="M953" t="n">
        <v>0</v>
      </c>
      <c r="N953" t="n">
        <v>0</v>
      </c>
      <c r="O953" t="n">
        <v>0</v>
      </c>
      <c r="P953" t="n">
        <v>0</v>
      </c>
      <c r="Q953" t="n">
        <v>0</v>
      </c>
      <c r="R953" s="2" t="inlineStr"/>
    </row>
    <row r="954" ht="15" customHeight="1">
      <c r="A954" t="inlineStr">
        <is>
          <t>A 59882-2018</t>
        </is>
      </c>
      <c r="B954" s="1" t="n">
        <v>43419</v>
      </c>
      <c r="C954" s="1" t="n">
        <v>45190</v>
      </c>
      <c r="D954" t="inlineStr">
        <is>
          <t>KALMAR LÄN</t>
        </is>
      </c>
      <c r="E954" t="inlineStr">
        <is>
          <t>TORSÅS</t>
        </is>
      </c>
      <c r="G954" t="n">
        <v>1</v>
      </c>
      <c r="H954" t="n">
        <v>0</v>
      </c>
      <c r="I954" t="n">
        <v>0</v>
      </c>
      <c r="J954" t="n">
        <v>0</v>
      </c>
      <c r="K954" t="n">
        <v>0</v>
      </c>
      <c r="L954" t="n">
        <v>0</v>
      </c>
      <c r="M954" t="n">
        <v>0</v>
      </c>
      <c r="N954" t="n">
        <v>0</v>
      </c>
      <c r="O954" t="n">
        <v>0</v>
      </c>
      <c r="P954" t="n">
        <v>0</v>
      </c>
      <c r="Q954" t="n">
        <v>0</v>
      </c>
      <c r="R954" s="2" t="inlineStr"/>
    </row>
    <row r="955" ht="15" customHeight="1">
      <c r="A955" t="inlineStr">
        <is>
          <t>A 59888-2018</t>
        </is>
      </c>
      <c r="B955" s="1" t="n">
        <v>43419</v>
      </c>
      <c r="C955" s="1" t="n">
        <v>45190</v>
      </c>
      <c r="D955" t="inlineStr">
        <is>
          <t>KALMAR LÄN</t>
        </is>
      </c>
      <c r="E955" t="inlineStr">
        <is>
          <t>VIMMERBY</t>
        </is>
      </c>
      <c r="G955" t="n">
        <v>1.9</v>
      </c>
      <c r="H955" t="n">
        <v>0</v>
      </c>
      <c r="I955" t="n">
        <v>0</v>
      </c>
      <c r="J955" t="n">
        <v>0</v>
      </c>
      <c r="K955" t="n">
        <v>0</v>
      </c>
      <c r="L955" t="n">
        <v>0</v>
      </c>
      <c r="M955" t="n">
        <v>0</v>
      </c>
      <c r="N955" t="n">
        <v>0</v>
      </c>
      <c r="O955" t="n">
        <v>0</v>
      </c>
      <c r="P955" t="n">
        <v>0</v>
      </c>
      <c r="Q955" t="n">
        <v>0</v>
      </c>
      <c r="R955" s="2" t="inlineStr"/>
    </row>
    <row r="956" ht="15" customHeight="1">
      <c r="A956" t="inlineStr">
        <is>
          <t>A 64185-2018</t>
        </is>
      </c>
      <c r="B956" s="1" t="n">
        <v>43419</v>
      </c>
      <c r="C956" s="1" t="n">
        <v>45190</v>
      </c>
      <c r="D956" t="inlineStr">
        <is>
          <t>KALMAR LÄN</t>
        </is>
      </c>
      <c r="E956" t="inlineStr">
        <is>
          <t>VIMMERBY</t>
        </is>
      </c>
      <c r="G956" t="n">
        <v>1.5</v>
      </c>
      <c r="H956" t="n">
        <v>0</v>
      </c>
      <c r="I956" t="n">
        <v>0</v>
      </c>
      <c r="J956" t="n">
        <v>0</v>
      </c>
      <c r="K956" t="n">
        <v>0</v>
      </c>
      <c r="L956" t="n">
        <v>0</v>
      </c>
      <c r="M956" t="n">
        <v>0</v>
      </c>
      <c r="N956" t="n">
        <v>0</v>
      </c>
      <c r="O956" t="n">
        <v>0</v>
      </c>
      <c r="P956" t="n">
        <v>0</v>
      </c>
      <c r="Q956" t="n">
        <v>0</v>
      </c>
      <c r="R956" s="2" t="inlineStr"/>
    </row>
    <row r="957" ht="15" customHeight="1">
      <c r="A957" t="inlineStr">
        <is>
          <t>A 66874-2018</t>
        </is>
      </c>
      <c r="B957" s="1" t="n">
        <v>43419</v>
      </c>
      <c r="C957" s="1" t="n">
        <v>45190</v>
      </c>
      <c r="D957" t="inlineStr">
        <is>
          <t>KALMAR LÄN</t>
        </is>
      </c>
      <c r="E957" t="inlineStr">
        <is>
          <t>HULTSFRED</t>
        </is>
      </c>
      <c r="G957" t="n">
        <v>0.5</v>
      </c>
      <c r="H957" t="n">
        <v>0</v>
      </c>
      <c r="I957" t="n">
        <v>0</v>
      </c>
      <c r="J957" t="n">
        <v>0</v>
      </c>
      <c r="K957" t="n">
        <v>0</v>
      </c>
      <c r="L957" t="n">
        <v>0</v>
      </c>
      <c r="M957" t="n">
        <v>0</v>
      </c>
      <c r="N957" t="n">
        <v>0</v>
      </c>
      <c r="O957" t="n">
        <v>0</v>
      </c>
      <c r="P957" t="n">
        <v>0</v>
      </c>
      <c r="Q957" t="n">
        <v>0</v>
      </c>
      <c r="R957" s="2" t="inlineStr"/>
    </row>
    <row r="958" ht="15" customHeight="1">
      <c r="A958" t="inlineStr">
        <is>
          <t>A 64170-2018</t>
        </is>
      </c>
      <c r="B958" s="1" t="n">
        <v>43419</v>
      </c>
      <c r="C958" s="1" t="n">
        <v>45190</v>
      </c>
      <c r="D958" t="inlineStr">
        <is>
          <t>KALMAR LÄN</t>
        </is>
      </c>
      <c r="E958" t="inlineStr">
        <is>
          <t>VIMMERBY</t>
        </is>
      </c>
      <c r="G958" t="n">
        <v>2.6</v>
      </c>
      <c r="H958" t="n">
        <v>0</v>
      </c>
      <c r="I958" t="n">
        <v>0</v>
      </c>
      <c r="J958" t="n">
        <v>0</v>
      </c>
      <c r="K958" t="n">
        <v>0</v>
      </c>
      <c r="L958" t="n">
        <v>0</v>
      </c>
      <c r="M958" t="n">
        <v>0</v>
      </c>
      <c r="N958" t="n">
        <v>0</v>
      </c>
      <c r="O958" t="n">
        <v>0</v>
      </c>
      <c r="P958" t="n">
        <v>0</v>
      </c>
      <c r="Q958" t="n">
        <v>0</v>
      </c>
      <c r="R958" s="2" t="inlineStr"/>
    </row>
    <row r="959" ht="15" customHeight="1">
      <c r="A959" t="inlineStr">
        <is>
          <t>A 64291-2018</t>
        </is>
      </c>
      <c r="B959" s="1" t="n">
        <v>43419</v>
      </c>
      <c r="C959" s="1" t="n">
        <v>45190</v>
      </c>
      <c r="D959" t="inlineStr">
        <is>
          <t>KALMAR LÄN</t>
        </is>
      </c>
      <c r="E959" t="inlineStr">
        <is>
          <t>HULTSFRED</t>
        </is>
      </c>
      <c r="G959" t="n">
        <v>0.6</v>
      </c>
      <c r="H959" t="n">
        <v>0</v>
      </c>
      <c r="I959" t="n">
        <v>0</v>
      </c>
      <c r="J959" t="n">
        <v>0</v>
      </c>
      <c r="K959" t="n">
        <v>0</v>
      </c>
      <c r="L959" t="n">
        <v>0</v>
      </c>
      <c r="M959" t="n">
        <v>0</v>
      </c>
      <c r="N959" t="n">
        <v>0</v>
      </c>
      <c r="O959" t="n">
        <v>0</v>
      </c>
      <c r="P959" t="n">
        <v>0</v>
      </c>
      <c r="Q959" t="n">
        <v>0</v>
      </c>
      <c r="R959" s="2" t="inlineStr"/>
    </row>
    <row r="960" ht="15" customHeight="1">
      <c r="A960" t="inlineStr">
        <is>
          <t>A 64169-2018</t>
        </is>
      </c>
      <c r="B960" s="1" t="n">
        <v>43419</v>
      </c>
      <c r="C960" s="1" t="n">
        <v>45190</v>
      </c>
      <c r="D960" t="inlineStr">
        <is>
          <t>KALMAR LÄN</t>
        </is>
      </c>
      <c r="E960" t="inlineStr">
        <is>
          <t>HULTSFRED</t>
        </is>
      </c>
      <c r="G960" t="n">
        <v>2.3</v>
      </c>
      <c r="H960" t="n">
        <v>0</v>
      </c>
      <c r="I960" t="n">
        <v>0</v>
      </c>
      <c r="J960" t="n">
        <v>0</v>
      </c>
      <c r="K960" t="n">
        <v>0</v>
      </c>
      <c r="L960" t="n">
        <v>0</v>
      </c>
      <c r="M960" t="n">
        <v>0</v>
      </c>
      <c r="N960" t="n">
        <v>0</v>
      </c>
      <c r="O960" t="n">
        <v>0</v>
      </c>
      <c r="P960" t="n">
        <v>0</v>
      </c>
      <c r="Q960" t="n">
        <v>0</v>
      </c>
      <c r="R960" s="2" t="inlineStr"/>
    </row>
    <row r="961" ht="15" customHeight="1">
      <c r="A961" t="inlineStr">
        <is>
          <t>A 64344-2018</t>
        </is>
      </c>
      <c r="B961" s="1" t="n">
        <v>43419</v>
      </c>
      <c r="C961" s="1" t="n">
        <v>45190</v>
      </c>
      <c r="D961" t="inlineStr">
        <is>
          <t>KALMAR LÄN</t>
        </is>
      </c>
      <c r="E961" t="inlineStr">
        <is>
          <t>HÖGSBY</t>
        </is>
      </c>
      <c r="G961" t="n">
        <v>3.7</v>
      </c>
      <c r="H961" t="n">
        <v>0</v>
      </c>
      <c r="I961" t="n">
        <v>0</v>
      </c>
      <c r="J961" t="n">
        <v>0</v>
      </c>
      <c r="K961" t="n">
        <v>0</v>
      </c>
      <c r="L961" t="n">
        <v>0</v>
      </c>
      <c r="M961" t="n">
        <v>0</v>
      </c>
      <c r="N961" t="n">
        <v>0</v>
      </c>
      <c r="O961" t="n">
        <v>0</v>
      </c>
      <c r="P961" t="n">
        <v>0</v>
      </c>
      <c r="Q961" t="n">
        <v>0</v>
      </c>
      <c r="R961" s="2" t="inlineStr"/>
    </row>
    <row r="962" ht="15" customHeight="1">
      <c r="A962" t="inlineStr">
        <is>
          <t>A 60472-2018</t>
        </is>
      </c>
      <c r="B962" s="1" t="n">
        <v>43420</v>
      </c>
      <c r="C962" s="1" t="n">
        <v>45190</v>
      </c>
      <c r="D962" t="inlineStr">
        <is>
          <t>KALMAR LÄN</t>
        </is>
      </c>
      <c r="E962" t="inlineStr">
        <is>
          <t>OSKARSHAMN</t>
        </is>
      </c>
      <c r="G962" t="n">
        <v>1.4</v>
      </c>
      <c r="H962" t="n">
        <v>0</v>
      </c>
      <c r="I962" t="n">
        <v>0</v>
      </c>
      <c r="J962" t="n">
        <v>0</v>
      </c>
      <c r="K962" t="n">
        <v>0</v>
      </c>
      <c r="L962" t="n">
        <v>0</v>
      </c>
      <c r="M962" t="n">
        <v>0</v>
      </c>
      <c r="N962" t="n">
        <v>0</v>
      </c>
      <c r="O962" t="n">
        <v>0</v>
      </c>
      <c r="P962" t="n">
        <v>0</v>
      </c>
      <c r="Q962" t="n">
        <v>0</v>
      </c>
      <c r="R962" s="2" t="inlineStr"/>
    </row>
    <row r="963" ht="15" customHeight="1">
      <c r="A963" t="inlineStr">
        <is>
          <t>A 60297-2018</t>
        </is>
      </c>
      <c r="B963" s="1" t="n">
        <v>43420</v>
      </c>
      <c r="C963" s="1" t="n">
        <v>45190</v>
      </c>
      <c r="D963" t="inlineStr">
        <is>
          <t>KALMAR LÄN</t>
        </is>
      </c>
      <c r="E963" t="inlineStr">
        <is>
          <t>EMMABODA</t>
        </is>
      </c>
      <c r="G963" t="n">
        <v>8.199999999999999</v>
      </c>
      <c r="H963" t="n">
        <v>0</v>
      </c>
      <c r="I963" t="n">
        <v>0</v>
      </c>
      <c r="J963" t="n">
        <v>0</v>
      </c>
      <c r="K963" t="n">
        <v>0</v>
      </c>
      <c r="L963" t="n">
        <v>0</v>
      </c>
      <c r="M963" t="n">
        <v>0</v>
      </c>
      <c r="N963" t="n">
        <v>0</v>
      </c>
      <c r="O963" t="n">
        <v>0</v>
      </c>
      <c r="P963" t="n">
        <v>0</v>
      </c>
      <c r="Q963" t="n">
        <v>0</v>
      </c>
      <c r="R963" s="2" t="inlineStr"/>
    </row>
    <row r="964" ht="15" customHeight="1">
      <c r="A964" t="inlineStr">
        <is>
          <t>A 60644-2018</t>
        </is>
      </c>
      <c r="B964" s="1" t="n">
        <v>43420</v>
      </c>
      <c r="C964" s="1" t="n">
        <v>45190</v>
      </c>
      <c r="D964" t="inlineStr">
        <is>
          <t>KALMAR LÄN</t>
        </is>
      </c>
      <c r="E964" t="inlineStr">
        <is>
          <t>HÖGSBY</t>
        </is>
      </c>
      <c r="G964" t="n">
        <v>1.2</v>
      </c>
      <c r="H964" t="n">
        <v>0</v>
      </c>
      <c r="I964" t="n">
        <v>0</v>
      </c>
      <c r="J964" t="n">
        <v>0</v>
      </c>
      <c r="K964" t="n">
        <v>0</v>
      </c>
      <c r="L964" t="n">
        <v>0</v>
      </c>
      <c r="M964" t="n">
        <v>0</v>
      </c>
      <c r="N964" t="n">
        <v>0</v>
      </c>
      <c r="O964" t="n">
        <v>0</v>
      </c>
      <c r="P964" t="n">
        <v>0</v>
      </c>
      <c r="Q964" t="n">
        <v>0</v>
      </c>
      <c r="R964" s="2" t="inlineStr"/>
    </row>
    <row r="965" ht="15" customHeight="1">
      <c r="A965" t="inlineStr">
        <is>
          <t>A 60469-2018</t>
        </is>
      </c>
      <c r="B965" s="1" t="n">
        <v>43420</v>
      </c>
      <c r="C965" s="1" t="n">
        <v>45190</v>
      </c>
      <c r="D965" t="inlineStr">
        <is>
          <t>KALMAR LÄN</t>
        </is>
      </c>
      <c r="E965" t="inlineStr">
        <is>
          <t>OSKARSHAMN</t>
        </is>
      </c>
      <c r="G965" t="n">
        <v>7.8</v>
      </c>
      <c r="H965" t="n">
        <v>0</v>
      </c>
      <c r="I965" t="n">
        <v>0</v>
      </c>
      <c r="J965" t="n">
        <v>0</v>
      </c>
      <c r="K965" t="n">
        <v>0</v>
      </c>
      <c r="L965" t="n">
        <v>0</v>
      </c>
      <c r="M965" t="n">
        <v>0</v>
      </c>
      <c r="N965" t="n">
        <v>0</v>
      </c>
      <c r="O965" t="n">
        <v>0</v>
      </c>
      <c r="P965" t="n">
        <v>0</v>
      </c>
      <c r="Q965" t="n">
        <v>0</v>
      </c>
      <c r="R965" s="2" t="inlineStr"/>
    </row>
    <row r="966" ht="15" customHeight="1">
      <c r="A966" t="inlineStr">
        <is>
          <t>A 60487-2018</t>
        </is>
      </c>
      <c r="B966" s="1" t="n">
        <v>43420</v>
      </c>
      <c r="C966" s="1" t="n">
        <v>45190</v>
      </c>
      <c r="D966" t="inlineStr">
        <is>
          <t>KALMAR LÄN</t>
        </is>
      </c>
      <c r="E966" t="inlineStr">
        <is>
          <t>OSKARSHAMN</t>
        </is>
      </c>
      <c r="F966" t="inlineStr">
        <is>
          <t>Övriga Aktiebolag</t>
        </is>
      </c>
      <c r="G966" t="n">
        <v>0.6</v>
      </c>
      <c r="H966" t="n">
        <v>0</v>
      </c>
      <c r="I966" t="n">
        <v>0</v>
      </c>
      <c r="J966" t="n">
        <v>0</v>
      </c>
      <c r="K966" t="n">
        <v>0</v>
      </c>
      <c r="L966" t="n">
        <v>0</v>
      </c>
      <c r="M966" t="n">
        <v>0</v>
      </c>
      <c r="N966" t="n">
        <v>0</v>
      </c>
      <c r="O966" t="n">
        <v>0</v>
      </c>
      <c r="P966" t="n">
        <v>0</v>
      </c>
      <c r="Q966" t="n">
        <v>0</v>
      </c>
      <c r="R966" s="2" t="inlineStr"/>
    </row>
    <row r="967" ht="15" customHeight="1">
      <c r="A967" t="inlineStr">
        <is>
          <t>A 60241-2018</t>
        </is>
      </c>
      <c r="B967" s="1" t="n">
        <v>43420</v>
      </c>
      <c r="C967" s="1" t="n">
        <v>45190</v>
      </c>
      <c r="D967" t="inlineStr">
        <is>
          <t>KALMAR LÄN</t>
        </is>
      </c>
      <c r="E967" t="inlineStr">
        <is>
          <t>EMMABODA</t>
        </is>
      </c>
      <c r="G967" t="n">
        <v>1.3</v>
      </c>
      <c r="H967" t="n">
        <v>0</v>
      </c>
      <c r="I967" t="n">
        <v>0</v>
      </c>
      <c r="J967" t="n">
        <v>0</v>
      </c>
      <c r="K967" t="n">
        <v>0</v>
      </c>
      <c r="L967" t="n">
        <v>0</v>
      </c>
      <c r="M967" t="n">
        <v>0</v>
      </c>
      <c r="N967" t="n">
        <v>0</v>
      </c>
      <c r="O967" t="n">
        <v>0</v>
      </c>
      <c r="P967" t="n">
        <v>0</v>
      </c>
      <c r="Q967" t="n">
        <v>0</v>
      </c>
      <c r="R967" s="2" t="inlineStr"/>
    </row>
    <row r="968" ht="15" customHeight="1">
      <c r="A968" t="inlineStr">
        <is>
          <t>A 60362-2018</t>
        </is>
      </c>
      <c r="B968" s="1" t="n">
        <v>43420</v>
      </c>
      <c r="C968" s="1" t="n">
        <v>45190</v>
      </c>
      <c r="D968" t="inlineStr">
        <is>
          <t>KALMAR LÄN</t>
        </is>
      </c>
      <c r="E968" t="inlineStr">
        <is>
          <t>HULTSFRED</t>
        </is>
      </c>
      <c r="F968" t="inlineStr">
        <is>
          <t>Kyrkan</t>
        </is>
      </c>
      <c r="G968" t="n">
        <v>0.7</v>
      </c>
      <c r="H968" t="n">
        <v>0</v>
      </c>
      <c r="I968" t="n">
        <v>0</v>
      </c>
      <c r="J968" t="n">
        <v>0</v>
      </c>
      <c r="K968" t="n">
        <v>0</v>
      </c>
      <c r="L968" t="n">
        <v>0</v>
      </c>
      <c r="M968" t="n">
        <v>0</v>
      </c>
      <c r="N968" t="n">
        <v>0</v>
      </c>
      <c r="O968" t="n">
        <v>0</v>
      </c>
      <c r="P968" t="n">
        <v>0</v>
      </c>
      <c r="Q968" t="n">
        <v>0</v>
      </c>
      <c r="R968" s="2" t="inlineStr"/>
    </row>
    <row r="969" ht="15" customHeight="1">
      <c r="A969" t="inlineStr">
        <is>
          <t>A 60484-2018</t>
        </is>
      </c>
      <c r="B969" s="1" t="n">
        <v>43420</v>
      </c>
      <c r="C969" s="1" t="n">
        <v>45190</v>
      </c>
      <c r="D969" t="inlineStr">
        <is>
          <t>KALMAR LÄN</t>
        </is>
      </c>
      <c r="E969" t="inlineStr">
        <is>
          <t>OSKARSHAMN</t>
        </is>
      </c>
      <c r="F969" t="inlineStr">
        <is>
          <t>Övriga Aktiebolag</t>
        </is>
      </c>
      <c r="G969" t="n">
        <v>2.7</v>
      </c>
      <c r="H969" t="n">
        <v>0</v>
      </c>
      <c r="I969" t="n">
        <v>0</v>
      </c>
      <c r="J969" t="n">
        <v>0</v>
      </c>
      <c r="K969" t="n">
        <v>0</v>
      </c>
      <c r="L969" t="n">
        <v>0</v>
      </c>
      <c r="M969" t="n">
        <v>0</v>
      </c>
      <c r="N969" t="n">
        <v>0</v>
      </c>
      <c r="O969" t="n">
        <v>0</v>
      </c>
      <c r="P969" t="n">
        <v>0</v>
      </c>
      <c r="Q969" t="n">
        <v>0</v>
      </c>
      <c r="R969" s="2" t="inlineStr"/>
    </row>
    <row r="970" ht="15" customHeight="1">
      <c r="A970" t="inlineStr">
        <is>
          <t>A 60765-2018</t>
        </is>
      </c>
      <c r="B970" s="1" t="n">
        <v>43421</v>
      </c>
      <c r="C970" s="1" t="n">
        <v>45190</v>
      </c>
      <c r="D970" t="inlineStr">
        <is>
          <t>KALMAR LÄN</t>
        </is>
      </c>
      <c r="E970" t="inlineStr">
        <is>
          <t>OSKARSHAMN</t>
        </is>
      </c>
      <c r="G970" t="n">
        <v>1.2</v>
      </c>
      <c r="H970" t="n">
        <v>0</v>
      </c>
      <c r="I970" t="n">
        <v>0</v>
      </c>
      <c r="J970" t="n">
        <v>0</v>
      </c>
      <c r="K970" t="n">
        <v>0</v>
      </c>
      <c r="L970" t="n">
        <v>0</v>
      </c>
      <c r="M970" t="n">
        <v>0</v>
      </c>
      <c r="N970" t="n">
        <v>0</v>
      </c>
      <c r="O970" t="n">
        <v>0</v>
      </c>
      <c r="P970" t="n">
        <v>0</v>
      </c>
      <c r="Q970" t="n">
        <v>0</v>
      </c>
      <c r="R970" s="2" t="inlineStr"/>
    </row>
    <row r="971" ht="15" customHeight="1">
      <c r="A971" t="inlineStr">
        <is>
          <t>A 60764-2018</t>
        </is>
      </c>
      <c r="B971" s="1" t="n">
        <v>43421</v>
      </c>
      <c r="C971" s="1" t="n">
        <v>45190</v>
      </c>
      <c r="D971" t="inlineStr">
        <is>
          <t>KALMAR LÄN</t>
        </is>
      </c>
      <c r="E971" t="inlineStr">
        <is>
          <t>OSKARSHAMN</t>
        </is>
      </c>
      <c r="G971" t="n">
        <v>1</v>
      </c>
      <c r="H971" t="n">
        <v>0</v>
      </c>
      <c r="I971" t="n">
        <v>0</v>
      </c>
      <c r="J971" t="n">
        <v>0</v>
      </c>
      <c r="K971" t="n">
        <v>0</v>
      </c>
      <c r="L971" t="n">
        <v>0</v>
      </c>
      <c r="M971" t="n">
        <v>0</v>
      </c>
      <c r="N971" t="n">
        <v>0</v>
      </c>
      <c r="O971" t="n">
        <v>0</v>
      </c>
      <c r="P971" t="n">
        <v>0</v>
      </c>
      <c r="Q971" t="n">
        <v>0</v>
      </c>
      <c r="R971" s="2" t="inlineStr"/>
    </row>
    <row r="972" ht="15" customHeight="1">
      <c r="A972" t="inlineStr">
        <is>
          <t>A 60859-2018</t>
        </is>
      </c>
      <c r="B972" s="1" t="n">
        <v>43422</v>
      </c>
      <c r="C972" s="1" t="n">
        <v>45190</v>
      </c>
      <c r="D972" t="inlineStr">
        <is>
          <t>KALMAR LÄN</t>
        </is>
      </c>
      <c r="E972" t="inlineStr">
        <is>
          <t>OSKARSHAMN</t>
        </is>
      </c>
      <c r="G972" t="n">
        <v>0.8</v>
      </c>
      <c r="H972" t="n">
        <v>0</v>
      </c>
      <c r="I972" t="n">
        <v>0</v>
      </c>
      <c r="J972" t="n">
        <v>0</v>
      </c>
      <c r="K972" t="n">
        <v>0</v>
      </c>
      <c r="L972" t="n">
        <v>0</v>
      </c>
      <c r="M972" t="n">
        <v>0</v>
      </c>
      <c r="N972" t="n">
        <v>0</v>
      </c>
      <c r="O972" t="n">
        <v>0</v>
      </c>
      <c r="P972" t="n">
        <v>0</v>
      </c>
      <c r="Q972" t="n">
        <v>0</v>
      </c>
      <c r="R972" s="2" t="inlineStr"/>
    </row>
    <row r="973" ht="15" customHeight="1">
      <c r="A973" t="inlineStr">
        <is>
          <t>A 60878-2018</t>
        </is>
      </c>
      <c r="B973" s="1" t="n">
        <v>43422</v>
      </c>
      <c r="C973" s="1" t="n">
        <v>45190</v>
      </c>
      <c r="D973" t="inlineStr">
        <is>
          <t>KALMAR LÄN</t>
        </is>
      </c>
      <c r="E973" t="inlineStr">
        <is>
          <t>MÖNSTERÅS</t>
        </is>
      </c>
      <c r="G973" t="n">
        <v>1.6</v>
      </c>
      <c r="H973" t="n">
        <v>0</v>
      </c>
      <c r="I973" t="n">
        <v>0</v>
      </c>
      <c r="J973" t="n">
        <v>0</v>
      </c>
      <c r="K973" t="n">
        <v>0</v>
      </c>
      <c r="L973" t="n">
        <v>0</v>
      </c>
      <c r="M973" t="n">
        <v>0</v>
      </c>
      <c r="N973" t="n">
        <v>0</v>
      </c>
      <c r="O973" t="n">
        <v>0</v>
      </c>
      <c r="P973" t="n">
        <v>0</v>
      </c>
      <c r="Q973" t="n">
        <v>0</v>
      </c>
      <c r="R973" s="2" t="inlineStr"/>
    </row>
    <row r="974" ht="15" customHeight="1">
      <c r="A974" t="inlineStr">
        <is>
          <t>A 60935-2018</t>
        </is>
      </c>
      <c r="B974" s="1" t="n">
        <v>43423</v>
      </c>
      <c r="C974" s="1" t="n">
        <v>45190</v>
      </c>
      <c r="D974" t="inlineStr">
        <is>
          <t>KALMAR LÄN</t>
        </is>
      </c>
      <c r="E974" t="inlineStr">
        <is>
          <t>KALMAR</t>
        </is>
      </c>
      <c r="G974" t="n">
        <v>2.3</v>
      </c>
      <c r="H974" t="n">
        <v>0</v>
      </c>
      <c r="I974" t="n">
        <v>0</v>
      </c>
      <c r="J974" t="n">
        <v>0</v>
      </c>
      <c r="K974" t="n">
        <v>0</v>
      </c>
      <c r="L974" t="n">
        <v>0</v>
      </c>
      <c r="M974" t="n">
        <v>0</v>
      </c>
      <c r="N974" t="n">
        <v>0</v>
      </c>
      <c r="O974" t="n">
        <v>0</v>
      </c>
      <c r="P974" t="n">
        <v>0</v>
      </c>
      <c r="Q974" t="n">
        <v>0</v>
      </c>
      <c r="R974" s="2" t="inlineStr"/>
    </row>
    <row r="975" ht="15" customHeight="1">
      <c r="A975" t="inlineStr">
        <is>
          <t>A 64803-2018</t>
        </is>
      </c>
      <c r="B975" s="1" t="n">
        <v>43423</v>
      </c>
      <c r="C975" s="1" t="n">
        <v>45190</v>
      </c>
      <c r="D975" t="inlineStr">
        <is>
          <t>KALMAR LÄN</t>
        </is>
      </c>
      <c r="E975" t="inlineStr">
        <is>
          <t>HULTSFRED</t>
        </is>
      </c>
      <c r="G975" t="n">
        <v>0.9</v>
      </c>
      <c r="H975" t="n">
        <v>0</v>
      </c>
      <c r="I975" t="n">
        <v>0</v>
      </c>
      <c r="J975" t="n">
        <v>0</v>
      </c>
      <c r="K975" t="n">
        <v>0</v>
      </c>
      <c r="L975" t="n">
        <v>0</v>
      </c>
      <c r="M975" t="n">
        <v>0</v>
      </c>
      <c r="N975" t="n">
        <v>0</v>
      </c>
      <c r="O975" t="n">
        <v>0</v>
      </c>
      <c r="P975" t="n">
        <v>0</v>
      </c>
      <c r="Q975" t="n">
        <v>0</v>
      </c>
      <c r="R975" s="2" t="inlineStr"/>
    </row>
    <row r="976" ht="15" customHeight="1">
      <c r="A976" t="inlineStr">
        <is>
          <t>A 61044-2018</t>
        </is>
      </c>
      <c r="B976" s="1" t="n">
        <v>43423</v>
      </c>
      <c r="C976" s="1" t="n">
        <v>45190</v>
      </c>
      <c r="D976" t="inlineStr">
        <is>
          <t>KALMAR LÄN</t>
        </is>
      </c>
      <c r="E976" t="inlineStr">
        <is>
          <t>BORGHOLM</t>
        </is>
      </c>
      <c r="G976" t="n">
        <v>0.7</v>
      </c>
      <c r="H976" t="n">
        <v>0</v>
      </c>
      <c r="I976" t="n">
        <v>0</v>
      </c>
      <c r="J976" t="n">
        <v>0</v>
      </c>
      <c r="K976" t="n">
        <v>0</v>
      </c>
      <c r="L976" t="n">
        <v>0</v>
      </c>
      <c r="M976" t="n">
        <v>0</v>
      </c>
      <c r="N976" t="n">
        <v>0</v>
      </c>
      <c r="O976" t="n">
        <v>0</v>
      </c>
      <c r="P976" t="n">
        <v>0</v>
      </c>
      <c r="Q976" t="n">
        <v>0</v>
      </c>
      <c r="R976" s="2" t="inlineStr"/>
    </row>
    <row r="977" ht="15" customHeight="1">
      <c r="A977" t="inlineStr">
        <is>
          <t>A 64773-2018</t>
        </is>
      </c>
      <c r="B977" s="1" t="n">
        <v>43423</v>
      </c>
      <c r="C977" s="1" t="n">
        <v>45190</v>
      </c>
      <c r="D977" t="inlineStr">
        <is>
          <t>KALMAR LÄN</t>
        </is>
      </c>
      <c r="E977" t="inlineStr">
        <is>
          <t>KALMAR</t>
        </is>
      </c>
      <c r="G977" t="n">
        <v>0.6</v>
      </c>
      <c r="H977" t="n">
        <v>0</v>
      </c>
      <c r="I977" t="n">
        <v>0</v>
      </c>
      <c r="J977" t="n">
        <v>0</v>
      </c>
      <c r="K977" t="n">
        <v>0</v>
      </c>
      <c r="L977" t="n">
        <v>0</v>
      </c>
      <c r="M977" t="n">
        <v>0</v>
      </c>
      <c r="N977" t="n">
        <v>0</v>
      </c>
      <c r="O977" t="n">
        <v>0</v>
      </c>
      <c r="P977" t="n">
        <v>0</v>
      </c>
      <c r="Q977" t="n">
        <v>0</v>
      </c>
      <c r="R977" s="2" t="inlineStr"/>
    </row>
    <row r="978" ht="15" customHeight="1">
      <c r="A978" t="inlineStr">
        <is>
          <t>A 60989-2018</t>
        </is>
      </c>
      <c r="B978" s="1" t="n">
        <v>43423</v>
      </c>
      <c r="C978" s="1" t="n">
        <v>45190</v>
      </c>
      <c r="D978" t="inlineStr">
        <is>
          <t>KALMAR LÄN</t>
        </is>
      </c>
      <c r="E978" t="inlineStr">
        <is>
          <t>VÄSTERVIK</t>
        </is>
      </c>
      <c r="G978" t="n">
        <v>0.6</v>
      </c>
      <c r="H978" t="n">
        <v>0</v>
      </c>
      <c r="I978" t="n">
        <v>0</v>
      </c>
      <c r="J978" t="n">
        <v>0</v>
      </c>
      <c r="K978" t="n">
        <v>0</v>
      </c>
      <c r="L978" t="n">
        <v>0</v>
      </c>
      <c r="M978" t="n">
        <v>0</v>
      </c>
      <c r="N978" t="n">
        <v>0</v>
      </c>
      <c r="O978" t="n">
        <v>0</v>
      </c>
      <c r="P978" t="n">
        <v>0</v>
      </c>
      <c r="Q978" t="n">
        <v>0</v>
      </c>
      <c r="R978" s="2" t="inlineStr"/>
    </row>
    <row r="979" ht="15" customHeight="1">
      <c r="A979" t="inlineStr">
        <is>
          <t>A 61228-2018</t>
        </is>
      </c>
      <c r="B979" s="1" t="n">
        <v>43423</v>
      </c>
      <c r="C979" s="1" t="n">
        <v>45190</v>
      </c>
      <c r="D979" t="inlineStr">
        <is>
          <t>KALMAR LÄN</t>
        </is>
      </c>
      <c r="E979" t="inlineStr">
        <is>
          <t>BORGHOLM</t>
        </is>
      </c>
      <c r="G979" t="n">
        <v>1.1</v>
      </c>
      <c r="H979" t="n">
        <v>0</v>
      </c>
      <c r="I979" t="n">
        <v>0</v>
      </c>
      <c r="J979" t="n">
        <v>0</v>
      </c>
      <c r="K979" t="n">
        <v>0</v>
      </c>
      <c r="L979" t="n">
        <v>0</v>
      </c>
      <c r="M979" t="n">
        <v>0</v>
      </c>
      <c r="N979" t="n">
        <v>0</v>
      </c>
      <c r="O979" t="n">
        <v>0</v>
      </c>
      <c r="P979" t="n">
        <v>0</v>
      </c>
      <c r="Q979" t="n">
        <v>0</v>
      </c>
      <c r="R979" s="2" t="inlineStr"/>
    </row>
    <row r="980" ht="15" customHeight="1">
      <c r="A980" t="inlineStr">
        <is>
          <t>A 61626-2018</t>
        </is>
      </c>
      <c r="B980" s="1" t="n">
        <v>43424</v>
      </c>
      <c r="C980" s="1" t="n">
        <v>45190</v>
      </c>
      <c r="D980" t="inlineStr">
        <is>
          <t>KALMAR LÄN</t>
        </is>
      </c>
      <c r="E980" t="inlineStr">
        <is>
          <t>VIMMERBY</t>
        </is>
      </c>
      <c r="G980" t="n">
        <v>0.6</v>
      </c>
      <c r="H980" t="n">
        <v>0</v>
      </c>
      <c r="I980" t="n">
        <v>0</v>
      </c>
      <c r="J980" t="n">
        <v>0</v>
      </c>
      <c r="K980" t="n">
        <v>0</v>
      </c>
      <c r="L980" t="n">
        <v>0</v>
      </c>
      <c r="M980" t="n">
        <v>0</v>
      </c>
      <c r="N980" t="n">
        <v>0</v>
      </c>
      <c r="O980" t="n">
        <v>0</v>
      </c>
      <c r="P980" t="n">
        <v>0</v>
      </c>
      <c r="Q980" t="n">
        <v>0</v>
      </c>
      <c r="R980" s="2" t="inlineStr"/>
    </row>
    <row r="981" ht="15" customHeight="1">
      <c r="A981" t="inlineStr">
        <is>
          <t>A 61514-2018</t>
        </is>
      </c>
      <c r="B981" s="1" t="n">
        <v>43424</v>
      </c>
      <c r="C981" s="1" t="n">
        <v>45190</v>
      </c>
      <c r="D981" t="inlineStr">
        <is>
          <t>KALMAR LÄN</t>
        </is>
      </c>
      <c r="E981" t="inlineStr">
        <is>
          <t>NYBRO</t>
        </is>
      </c>
      <c r="G981" t="n">
        <v>7.5</v>
      </c>
      <c r="H981" t="n">
        <v>0</v>
      </c>
      <c r="I981" t="n">
        <v>0</v>
      </c>
      <c r="J981" t="n">
        <v>0</v>
      </c>
      <c r="K981" t="n">
        <v>0</v>
      </c>
      <c r="L981" t="n">
        <v>0</v>
      </c>
      <c r="M981" t="n">
        <v>0</v>
      </c>
      <c r="N981" t="n">
        <v>0</v>
      </c>
      <c r="O981" t="n">
        <v>0</v>
      </c>
      <c r="P981" t="n">
        <v>0</v>
      </c>
      <c r="Q981" t="n">
        <v>0</v>
      </c>
      <c r="R981" s="2" t="inlineStr"/>
    </row>
    <row r="982" ht="15" customHeight="1">
      <c r="A982" t="inlineStr">
        <is>
          <t>A 61633-2018</t>
        </is>
      </c>
      <c r="B982" s="1" t="n">
        <v>43424</v>
      </c>
      <c r="C982" s="1" t="n">
        <v>45190</v>
      </c>
      <c r="D982" t="inlineStr">
        <is>
          <t>KALMAR LÄN</t>
        </is>
      </c>
      <c r="E982" t="inlineStr">
        <is>
          <t>VÄSTERVIK</t>
        </is>
      </c>
      <c r="G982" t="n">
        <v>2</v>
      </c>
      <c r="H982" t="n">
        <v>0</v>
      </c>
      <c r="I982" t="n">
        <v>0</v>
      </c>
      <c r="J982" t="n">
        <v>0</v>
      </c>
      <c r="K982" t="n">
        <v>0</v>
      </c>
      <c r="L982" t="n">
        <v>0</v>
      </c>
      <c r="M982" t="n">
        <v>0</v>
      </c>
      <c r="N982" t="n">
        <v>0</v>
      </c>
      <c r="O982" t="n">
        <v>0</v>
      </c>
      <c r="P982" t="n">
        <v>0</v>
      </c>
      <c r="Q982" t="n">
        <v>0</v>
      </c>
      <c r="R982" s="2" t="inlineStr"/>
    </row>
    <row r="983" ht="15" customHeight="1">
      <c r="A983" t="inlineStr">
        <is>
          <t>A 65237-2018</t>
        </is>
      </c>
      <c r="B983" s="1" t="n">
        <v>43424</v>
      </c>
      <c r="C983" s="1" t="n">
        <v>45190</v>
      </c>
      <c r="D983" t="inlineStr">
        <is>
          <t>KALMAR LÄN</t>
        </is>
      </c>
      <c r="E983" t="inlineStr">
        <is>
          <t>EMMABODA</t>
        </is>
      </c>
      <c r="G983" t="n">
        <v>6.6</v>
      </c>
      <c r="H983" t="n">
        <v>0</v>
      </c>
      <c r="I983" t="n">
        <v>0</v>
      </c>
      <c r="J983" t="n">
        <v>0</v>
      </c>
      <c r="K983" t="n">
        <v>0</v>
      </c>
      <c r="L983" t="n">
        <v>0</v>
      </c>
      <c r="M983" t="n">
        <v>0</v>
      </c>
      <c r="N983" t="n">
        <v>0</v>
      </c>
      <c r="O983" t="n">
        <v>0</v>
      </c>
      <c r="P983" t="n">
        <v>0</v>
      </c>
      <c r="Q983" t="n">
        <v>0</v>
      </c>
      <c r="R983" s="2" t="inlineStr"/>
    </row>
    <row r="984" ht="15" customHeight="1">
      <c r="A984" t="inlineStr">
        <is>
          <t>A 61605-2018</t>
        </is>
      </c>
      <c r="B984" s="1" t="n">
        <v>43424</v>
      </c>
      <c r="C984" s="1" t="n">
        <v>45190</v>
      </c>
      <c r="D984" t="inlineStr">
        <is>
          <t>KALMAR LÄN</t>
        </is>
      </c>
      <c r="E984" t="inlineStr">
        <is>
          <t>OSKARSHAMN</t>
        </is>
      </c>
      <c r="G984" t="n">
        <v>1.5</v>
      </c>
      <c r="H984" t="n">
        <v>0</v>
      </c>
      <c r="I984" t="n">
        <v>0</v>
      </c>
      <c r="J984" t="n">
        <v>0</v>
      </c>
      <c r="K984" t="n">
        <v>0</v>
      </c>
      <c r="L984" t="n">
        <v>0</v>
      </c>
      <c r="M984" t="n">
        <v>0</v>
      </c>
      <c r="N984" t="n">
        <v>0</v>
      </c>
      <c r="O984" t="n">
        <v>0</v>
      </c>
      <c r="P984" t="n">
        <v>0</v>
      </c>
      <c r="Q984" t="n">
        <v>0</v>
      </c>
      <c r="R984" s="2" t="inlineStr"/>
    </row>
    <row r="985" ht="15" customHeight="1">
      <c r="A985" t="inlineStr">
        <is>
          <t>A 61600-2018</t>
        </is>
      </c>
      <c r="B985" s="1" t="n">
        <v>43424</v>
      </c>
      <c r="C985" s="1" t="n">
        <v>45190</v>
      </c>
      <c r="D985" t="inlineStr">
        <is>
          <t>KALMAR LÄN</t>
        </is>
      </c>
      <c r="E985" t="inlineStr">
        <is>
          <t>OSKARSHAMN</t>
        </is>
      </c>
      <c r="G985" t="n">
        <v>0.8</v>
      </c>
      <c r="H985" t="n">
        <v>0</v>
      </c>
      <c r="I985" t="n">
        <v>0</v>
      </c>
      <c r="J985" t="n">
        <v>0</v>
      </c>
      <c r="K985" t="n">
        <v>0</v>
      </c>
      <c r="L985" t="n">
        <v>0</v>
      </c>
      <c r="M985" t="n">
        <v>0</v>
      </c>
      <c r="N985" t="n">
        <v>0</v>
      </c>
      <c r="O985" t="n">
        <v>0</v>
      </c>
      <c r="P985" t="n">
        <v>0</v>
      </c>
      <c r="Q985" t="n">
        <v>0</v>
      </c>
      <c r="R985" s="2" t="inlineStr"/>
    </row>
    <row r="986" ht="15" customHeight="1">
      <c r="A986" t="inlineStr">
        <is>
          <t>A 61664-2018</t>
        </is>
      </c>
      <c r="B986" s="1" t="n">
        <v>43424</v>
      </c>
      <c r="C986" s="1" t="n">
        <v>45190</v>
      </c>
      <c r="D986" t="inlineStr">
        <is>
          <t>KALMAR LÄN</t>
        </is>
      </c>
      <c r="E986" t="inlineStr">
        <is>
          <t>OSKARSHAMN</t>
        </is>
      </c>
      <c r="G986" t="n">
        <v>1</v>
      </c>
      <c r="H986" t="n">
        <v>0</v>
      </c>
      <c r="I986" t="n">
        <v>0</v>
      </c>
      <c r="J986" t="n">
        <v>0</v>
      </c>
      <c r="K986" t="n">
        <v>0</v>
      </c>
      <c r="L986" t="n">
        <v>0</v>
      </c>
      <c r="M986" t="n">
        <v>0</v>
      </c>
      <c r="N986" t="n">
        <v>0</v>
      </c>
      <c r="O986" t="n">
        <v>0</v>
      </c>
      <c r="P986" t="n">
        <v>0</v>
      </c>
      <c r="Q986" t="n">
        <v>0</v>
      </c>
      <c r="R986" s="2" t="inlineStr"/>
    </row>
    <row r="987" ht="15" customHeight="1">
      <c r="A987" t="inlineStr">
        <is>
          <t>A 61843-2018</t>
        </is>
      </c>
      <c r="B987" s="1" t="n">
        <v>43425</v>
      </c>
      <c r="C987" s="1" t="n">
        <v>45190</v>
      </c>
      <c r="D987" t="inlineStr">
        <is>
          <t>KALMAR LÄN</t>
        </is>
      </c>
      <c r="E987" t="inlineStr">
        <is>
          <t>HULTSFRED</t>
        </is>
      </c>
      <c r="G987" t="n">
        <v>0.8</v>
      </c>
      <c r="H987" t="n">
        <v>0</v>
      </c>
      <c r="I987" t="n">
        <v>0</v>
      </c>
      <c r="J987" t="n">
        <v>0</v>
      </c>
      <c r="K987" t="n">
        <v>0</v>
      </c>
      <c r="L987" t="n">
        <v>0</v>
      </c>
      <c r="M987" t="n">
        <v>0</v>
      </c>
      <c r="N987" t="n">
        <v>0</v>
      </c>
      <c r="O987" t="n">
        <v>0</v>
      </c>
      <c r="P987" t="n">
        <v>0</v>
      </c>
      <c r="Q987" t="n">
        <v>0</v>
      </c>
      <c r="R987" s="2" t="inlineStr"/>
    </row>
    <row r="988" ht="15" customHeight="1">
      <c r="A988" t="inlineStr">
        <is>
          <t>A 62187-2018</t>
        </is>
      </c>
      <c r="B988" s="1" t="n">
        <v>43425</v>
      </c>
      <c r="C988" s="1" t="n">
        <v>45190</v>
      </c>
      <c r="D988" t="inlineStr">
        <is>
          <t>KALMAR LÄN</t>
        </is>
      </c>
      <c r="E988" t="inlineStr">
        <is>
          <t>HULTSFRED</t>
        </is>
      </c>
      <c r="G988" t="n">
        <v>0.6</v>
      </c>
      <c r="H988" t="n">
        <v>0</v>
      </c>
      <c r="I988" t="n">
        <v>0</v>
      </c>
      <c r="J988" t="n">
        <v>0</v>
      </c>
      <c r="K988" t="n">
        <v>0</v>
      </c>
      <c r="L988" t="n">
        <v>0</v>
      </c>
      <c r="M988" t="n">
        <v>0</v>
      </c>
      <c r="N988" t="n">
        <v>0</v>
      </c>
      <c r="O988" t="n">
        <v>0</v>
      </c>
      <c r="P988" t="n">
        <v>0</v>
      </c>
      <c r="Q988" t="n">
        <v>0</v>
      </c>
      <c r="R988" s="2" t="inlineStr"/>
    </row>
    <row r="989" ht="15" customHeight="1">
      <c r="A989" t="inlineStr">
        <is>
          <t>A 65526-2018</t>
        </is>
      </c>
      <c r="B989" s="1" t="n">
        <v>43425</v>
      </c>
      <c r="C989" s="1" t="n">
        <v>45190</v>
      </c>
      <c r="D989" t="inlineStr">
        <is>
          <t>KALMAR LÄN</t>
        </is>
      </c>
      <c r="E989" t="inlineStr">
        <is>
          <t>KALMAR</t>
        </is>
      </c>
      <c r="G989" t="n">
        <v>2</v>
      </c>
      <c r="H989" t="n">
        <v>0</v>
      </c>
      <c r="I989" t="n">
        <v>0</v>
      </c>
      <c r="J989" t="n">
        <v>0</v>
      </c>
      <c r="K989" t="n">
        <v>0</v>
      </c>
      <c r="L989" t="n">
        <v>0</v>
      </c>
      <c r="M989" t="n">
        <v>0</v>
      </c>
      <c r="N989" t="n">
        <v>0</v>
      </c>
      <c r="O989" t="n">
        <v>0</v>
      </c>
      <c r="P989" t="n">
        <v>0</v>
      </c>
      <c r="Q989" t="n">
        <v>0</v>
      </c>
      <c r="R989" s="2" t="inlineStr"/>
    </row>
    <row r="990" ht="15" customHeight="1">
      <c r="A990" t="inlineStr">
        <is>
          <t>A 61721-2018</t>
        </is>
      </c>
      <c r="B990" s="1" t="n">
        <v>43425</v>
      </c>
      <c r="C990" s="1" t="n">
        <v>45190</v>
      </c>
      <c r="D990" t="inlineStr">
        <is>
          <t>KALMAR LÄN</t>
        </is>
      </c>
      <c r="E990" t="inlineStr">
        <is>
          <t>TORSÅS</t>
        </is>
      </c>
      <c r="G990" t="n">
        <v>2.4</v>
      </c>
      <c r="H990" t="n">
        <v>0</v>
      </c>
      <c r="I990" t="n">
        <v>0</v>
      </c>
      <c r="J990" t="n">
        <v>0</v>
      </c>
      <c r="K990" t="n">
        <v>0</v>
      </c>
      <c r="L990" t="n">
        <v>0</v>
      </c>
      <c r="M990" t="n">
        <v>0</v>
      </c>
      <c r="N990" t="n">
        <v>0</v>
      </c>
      <c r="O990" t="n">
        <v>0</v>
      </c>
      <c r="P990" t="n">
        <v>0</v>
      </c>
      <c r="Q990" t="n">
        <v>0</v>
      </c>
      <c r="R990" s="2" t="inlineStr"/>
    </row>
    <row r="991" ht="15" customHeight="1">
      <c r="A991" t="inlineStr">
        <is>
          <t>A 61786-2018</t>
        </is>
      </c>
      <c r="B991" s="1" t="n">
        <v>43425</v>
      </c>
      <c r="C991" s="1" t="n">
        <v>45190</v>
      </c>
      <c r="D991" t="inlineStr">
        <is>
          <t>KALMAR LÄN</t>
        </is>
      </c>
      <c r="E991" t="inlineStr">
        <is>
          <t>EMMABODA</t>
        </is>
      </c>
      <c r="G991" t="n">
        <v>2.4</v>
      </c>
      <c r="H991" t="n">
        <v>0</v>
      </c>
      <c r="I991" t="n">
        <v>0</v>
      </c>
      <c r="J991" t="n">
        <v>0</v>
      </c>
      <c r="K991" t="n">
        <v>0</v>
      </c>
      <c r="L991" t="n">
        <v>0</v>
      </c>
      <c r="M991" t="n">
        <v>0</v>
      </c>
      <c r="N991" t="n">
        <v>0</v>
      </c>
      <c r="O991" t="n">
        <v>0</v>
      </c>
      <c r="P991" t="n">
        <v>0</v>
      </c>
      <c r="Q991" t="n">
        <v>0</v>
      </c>
      <c r="R991" s="2" t="inlineStr"/>
    </row>
    <row r="992" ht="15" customHeight="1">
      <c r="A992" t="inlineStr">
        <is>
          <t>A 61917-2018</t>
        </is>
      </c>
      <c r="B992" s="1" t="n">
        <v>43425</v>
      </c>
      <c r="C992" s="1" t="n">
        <v>45190</v>
      </c>
      <c r="D992" t="inlineStr">
        <is>
          <t>KALMAR LÄN</t>
        </is>
      </c>
      <c r="E992" t="inlineStr">
        <is>
          <t>TORSÅS</t>
        </is>
      </c>
      <c r="G992" t="n">
        <v>3.1</v>
      </c>
      <c r="H992" t="n">
        <v>0</v>
      </c>
      <c r="I992" t="n">
        <v>0</v>
      </c>
      <c r="J992" t="n">
        <v>0</v>
      </c>
      <c r="K992" t="n">
        <v>0</v>
      </c>
      <c r="L992" t="n">
        <v>0</v>
      </c>
      <c r="M992" t="n">
        <v>0</v>
      </c>
      <c r="N992" t="n">
        <v>0</v>
      </c>
      <c r="O992" t="n">
        <v>0</v>
      </c>
      <c r="P992" t="n">
        <v>0</v>
      </c>
      <c r="Q992" t="n">
        <v>0</v>
      </c>
      <c r="R992" s="2" t="inlineStr"/>
    </row>
    <row r="993" ht="15" customHeight="1">
      <c r="A993" t="inlineStr">
        <is>
          <t>A 62539-2018</t>
        </is>
      </c>
      <c r="B993" s="1" t="n">
        <v>43426</v>
      </c>
      <c r="C993" s="1" t="n">
        <v>45190</v>
      </c>
      <c r="D993" t="inlineStr">
        <is>
          <t>KALMAR LÄN</t>
        </is>
      </c>
      <c r="E993" t="inlineStr">
        <is>
          <t>EMMABODA</t>
        </is>
      </c>
      <c r="G993" t="n">
        <v>1</v>
      </c>
      <c r="H993" t="n">
        <v>0</v>
      </c>
      <c r="I993" t="n">
        <v>0</v>
      </c>
      <c r="J993" t="n">
        <v>0</v>
      </c>
      <c r="K993" t="n">
        <v>0</v>
      </c>
      <c r="L993" t="n">
        <v>0</v>
      </c>
      <c r="M993" t="n">
        <v>0</v>
      </c>
      <c r="N993" t="n">
        <v>0</v>
      </c>
      <c r="O993" t="n">
        <v>0</v>
      </c>
      <c r="P993" t="n">
        <v>0</v>
      </c>
      <c r="Q993" t="n">
        <v>0</v>
      </c>
      <c r="R993" s="2" t="inlineStr"/>
    </row>
    <row r="994" ht="15" customHeight="1">
      <c r="A994" t="inlineStr">
        <is>
          <t>A 63263-2018</t>
        </is>
      </c>
      <c r="B994" s="1" t="n">
        <v>43426</v>
      </c>
      <c r="C994" s="1" t="n">
        <v>45190</v>
      </c>
      <c r="D994" t="inlineStr">
        <is>
          <t>KALMAR LÄN</t>
        </is>
      </c>
      <c r="E994" t="inlineStr">
        <is>
          <t>HULTSFRED</t>
        </is>
      </c>
      <c r="G994" t="n">
        <v>1.5</v>
      </c>
      <c r="H994" t="n">
        <v>0</v>
      </c>
      <c r="I994" t="n">
        <v>0</v>
      </c>
      <c r="J994" t="n">
        <v>0</v>
      </c>
      <c r="K994" t="n">
        <v>0</v>
      </c>
      <c r="L994" t="n">
        <v>0</v>
      </c>
      <c r="M994" t="n">
        <v>0</v>
      </c>
      <c r="N994" t="n">
        <v>0</v>
      </c>
      <c r="O994" t="n">
        <v>0</v>
      </c>
      <c r="P994" t="n">
        <v>0</v>
      </c>
      <c r="Q994" t="n">
        <v>0</v>
      </c>
      <c r="R994" s="2" t="inlineStr"/>
    </row>
    <row r="995" ht="15" customHeight="1">
      <c r="A995" t="inlineStr">
        <is>
          <t>A 62303-2018</t>
        </is>
      </c>
      <c r="B995" s="1" t="n">
        <v>43426</v>
      </c>
      <c r="C995" s="1" t="n">
        <v>45190</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62607-2018</t>
        </is>
      </c>
      <c r="B996" s="1" t="n">
        <v>43426</v>
      </c>
      <c r="C996" s="1" t="n">
        <v>45190</v>
      </c>
      <c r="D996" t="inlineStr">
        <is>
          <t>KALMAR LÄN</t>
        </is>
      </c>
      <c r="E996" t="inlineStr">
        <is>
          <t>VIMMERBY</t>
        </is>
      </c>
      <c r="G996" t="n">
        <v>0.6</v>
      </c>
      <c r="H996" t="n">
        <v>0</v>
      </c>
      <c r="I996" t="n">
        <v>0</v>
      </c>
      <c r="J996" t="n">
        <v>0</v>
      </c>
      <c r="K996" t="n">
        <v>0</v>
      </c>
      <c r="L996" t="n">
        <v>0</v>
      </c>
      <c r="M996" t="n">
        <v>0</v>
      </c>
      <c r="N996" t="n">
        <v>0</v>
      </c>
      <c r="O996" t="n">
        <v>0</v>
      </c>
      <c r="P996" t="n">
        <v>0</v>
      </c>
      <c r="Q996" t="n">
        <v>0</v>
      </c>
      <c r="R996" s="2" t="inlineStr"/>
    </row>
    <row r="997" ht="15" customHeight="1">
      <c r="A997" t="inlineStr">
        <is>
          <t>A 62885-2018</t>
        </is>
      </c>
      <c r="B997" s="1" t="n">
        <v>43426</v>
      </c>
      <c r="C997" s="1" t="n">
        <v>45190</v>
      </c>
      <c r="D997" t="inlineStr">
        <is>
          <t>KALMAR LÄN</t>
        </is>
      </c>
      <c r="E997" t="inlineStr">
        <is>
          <t>KALMAR</t>
        </is>
      </c>
      <c r="G997" t="n">
        <v>0.6</v>
      </c>
      <c r="H997" t="n">
        <v>0</v>
      </c>
      <c r="I997" t="n">
        <v>0</v>
      </c>
      <c r="J997" t="n">
        <v>0</v>
      </c>
      <c r="K997" t="n">
        <v>0</v>
      </c>
      <c r="L997" t="n">
        <v>0</v>
      </c>
      <c r="M997" t="n">
        <v>0</v>
      </c>
      <c r="N997" t="n">
        <v>0</v>
      </c>
      <c r="O997" t="n">
        <v>0</v>
      </c>
      <c r="P997" t="n">
        <v>0</v>
      </c>
      <c r="Q997" t="n">
        <v>0</v>
      </c>
      <c r="R997" s="2" t="inlineStr"/>
    </row>
    <row r="998" ht="15" customHeight="1">
      <c r="A998" t="inlineStr">
        <is>
          <t>A 66227-2018</t>
        </is>
      </c>
      <c r="B998" s="1" t="n">
        <v>43426</v>
      </c>
      <c r="C998" s="1" t="n">
        <v>45190</v>
      </c>
      <c r="D998" t="inlineStr">
        <is>
          <t>KALMAR LÄN</t>
        </is>
      </c>
      <c r="E998" t="inlineStr">
        <is>
          <t>HÖGSBY</t>
        </is>
      </c>
      <c r="G998" t="n">
        <v>19.2</v>
      </c>
      <c r="H998" t="n">
        <v>0</v>
      </c>
      <c r="I998" t="n">
        <v>0</v>
      </c>
      <c r="J998" t="n">
        <v>0</v>
      </c>
      <c r="K998" t="n">
        <v>0</v>
      </c>
      <c r="L998" t="n">
        <v>0</v>
      </c>
      <c r="M998" t="n">
        <v>0</v>
      </c>
      <c r="N998" t="n">
        <v>0</v>
      </c>
      <c r="O998" t="n">
        <v>0</v>
      </c>
      <c r="P998" t="n">
        <v>0</v>
      </c>
      <c r="Q998" t="n">
        <v>0</v>
      </c>
      <c r="R998" s="2" t="inlineStr"/>
    </row>
    <row r="999" ht="15" customHeight="1">
      <c r="A999" t="inlineStr">
        <is>
          <t>A 62593-2018</t>
        </is>
      </c>
      <c r="B999" s="1" t="n">
        <v>43426</v>
      </c>
      <c r="C999" s="1" t="n">
        <v>45190</v>
      </c>
      <c r="D999" t="inlineStr">
        <is>
          <t>KALMAR LÄN</t>
        </is>
      </c>
      <c r="E999" t="inlineStr">
        <is>
          <t>VIMMERBY</t>
        </is>
      </c>
      <c r="G999" t="n">
        <v>2.3</v>
      </c>
      <c r="H999" t="n">
        <v>0</v>
      </c>
      <c r="I999" t="n">
        <v>0</v>
      </c>
      <c r="J999" t="n">
        <v>0</v>
      </c>
      <c r="K999" t="n">
        <v>0</v>
      </c>
      <c r="L999" t="n">
        <v>0</v>
      </c>
      <c r="M999" t="n">
        <v>0</v>
      </c>
      <c r="N999" t="n">
        <v>0</v>
      </c>
      <c r="O999" t="n">
        <v>0</v>
      </c>
      <c r="P999" t="n">
        <v>0</v>
      </c>
      <c r="Q999" t="n">
        <v>0</v>
      </c>
      <c r="R999" s="2" t="inlineStr"/>
    </row>
    <row r="1000" ht="15" customHeight="1">
      <c r="A1000" t="inlineStr">
        <is>
          <t>A 63206-2018</t>
        </is>
      </c>
      <c r="B1000" s="1" t="n">
        <v>43426</v>
      </c>
      <c r="C1000" s="1" t="n">
        <v>45190</v>
      </c>
      <c r="D1000" t="inlineStr">
        <is>
          <t>KALMAR LÄN</t>
        </is>
      </c>
      <c r="E1000" t="inlineStr">
        <is>
          <t>HULTSFRED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66226-2018</t>
        </is>
      </c>
      <c r="B1001" s="1" t="n">
        <v>43426</v>
      </c>
      <c r="C1001" s="1" t="n">
        <v>45190</v>
      </c>
      <c r="D1001" t="inlineStr">
        <is>
          <t>KALMAR LÄN</t>
        </is>
      </c>
      <c r="E1001" t="inlineStr">
        <is>
          <t>HÖGSBY</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62288-2018</t>
        </is>
      </c>
      <c r="B1002" s="1" t="n">
        <v>43426</v>
      </c>
      <c r="C1002" s="1" t="n">
        <v>45190</v>
      </c>
      <c r="D1002" t="inlineStr">
        <is>
          <t>KALMAR LÄN</t>
        </is>
      </c>
      <c r="E1002" t="inlineStr">
        <is>
          <t>VIMMERBY</t>
        </is>
      </c>
      <c r="F1002" t="inlineStr">
        <is>
          <t>Kyrkan</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62601-2018</t>
        </is>
      </c>
      <c r="B1003" s="1" t="n">
        <v>43426</v>
      </c>
      <c r="C1003" s="1" t="n">
        <v>45190</v>
      </c>
      <c r="D1003" t="inlineStr">
        <is>
          <t>KALMAR LÄN</t>
        </is>
      </c>
      <c r="E1003" t="inlineStr">
        <is>
          <t>VIMMERBY</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63242-2018</t>
        </is>
      </c>
      <c r="B1004" s="1" t="n">
        <v>43426</v>
      </c>
      <c r="C1004" s="1" t="n">
        <v>45190</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63491-2018</t>
        </is>
      </c>
      <c r="B1005" s="1" t="n">
        <v>43427</v>
      </c>
      <c r="C1005" s="1" t="n">
        <v>45190</v>
      </c>
      <c r="D1005" t="inlineStr">
        <is>
          <t>KALMAR LÄN</t>
        </is>
      </c>
      <c r="E1005" t="inlineStr">
        <is>
          <t>VÄSTERVIK</t>
        </is>
      </c>
      <c r="F1005" t="inlineStr">
        <is>
          <t>Sveaskog</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63616-2018</t>
        </is>
      </c>
      <c r="B1006" s="1" t="n">
        <v>43427</v>
      </c>
      <c r="C1006" s="1" t="n">
        <v>45190</v>
      </c>
      <c r="D1006" t="inlineStr">
        <is>
          <t>KALMAR LÄN</t>
        </is>
      </c>
      <c r="E1006" t="inlineStr">
        <is>
          <t>NYBRO</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63381-2018</t>
        </is>
      </c>
      <c r="B1007" s="1" t="n">
        <v>43427</v>
      </c>
      <c r="C1007" s="1" t="n">
        <v>45190</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63483-2018</t>
        </is>
      </c>
      <c r="B1008" s="1" t="n">
        <v>43427</v>
      </c>
      <c r="C1008" s="1" t="n">
        <v>45190</v>
      </c>
      <c r="D1008" t="inlineStr">
        <is>
          <t>KALMAR LÄN</t>
        </is>
      </c>
      <c r="E1008" t="inlineStr">
        <is>
          <t>VÄSTERVIK</t>
        </is>
      </c>
      <c r="F1008" t="inlineStr">
        <is>
          <t>Sveaskog</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63549-2018</t>
        </is>
      </c>
      <c r="B1009" s="1" t="n">
        <v>43427</v>
      </c>
      <c r="C1009" s="1" t="n">
        <v>45190</v>
      </c>
      <c r="D1009" t="inlineStr">
        <is>
          <t>KALMAR LÄN</t>
        </is>
      </c>
      <c r="E1009" t="inlineStr">
        <is>
          <t>OSKARSHAMN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63526-2018</t>
        </is>
      </c>
      <c r="B1010" s="1" t="n">
        <v>43427</v>
      </c>
      <c r="C1010" s="1" t="n">
        <v>45190</v>
      </c>
      <c r="D1010" t="inlineStr">
        <is>
          <t>KALMAR LÄN</t>
        </is>
      </c>
      <c r="E1010" t="inlineStr">
        <is>
          <t>VÄSTERVIK</t>
        </is>
      </c>
      <c r="F1010" t="inlineStr">
        <is>
          <t>Övriga Aktiebolag</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17003-2019</t>
        </is>
      </c>
      <c r="B1011" s="1" t="n">
        <v>43428</v>
      </c>
      <c r="C1011" s="1" t="n">
        <v>45190</v>
      </c>
      <c r="D1011" t="inlineStr">
        <is>
          <t>KALMAR LÄN</t>
        </is>
      </c>
      <c r="E1011" t="inlineStr">
        <is>
          <t>HÖGSBY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63847-2018</t>
        </is>
      </c>
      <c r="B1012" s="1" t="n">
        <v>43430</v>
      </c>
      <c r="C1012" s="1" t="n">
        <v>45190</v>
      </c>
      <c r="D1012" t="inlineStr">
        <is>
          <t>KALMAR LÄN</t>
        </is>
      </c>
      <c r="E1012" t="inlineStr">
        <is>
          <t>KALMAR</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63866-2018</t>
        </is>
      </c>
      <c r="B1013" s="1" t="n">
        <v>43430</v>
      </c>
      <c r="C1013" s="1" t="n">
        <v>45190</v>
      </c>
      <c r="D1013" t="inlineStr">
        <is>
          <t>KALMAR LÄN</t>
        </is>
      </c>
      <c r="E1013" t="inlineStr">
        <is>
          <t>KALMAR</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63941-2018</t>
        </is>
      </c>
      <c r="B1014" s="1" t="n">
        <v>43430</v>
      </c>
      <c r="C1014" s="1" t="n">
        <v>45190</v>
      </c>
      <c r="D1014" t="inlineStr">
        <is>
          <t>KALMAR LÄN</t>
        </is>
      </c>
      <c r="E1014" t="inlineStr">
        <is>
          <t>KALMAR</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64115-2018</t>
        </is>
      </c>
      <c r="B1015" s="1" t="n">
        <v>43430</v>
      </c>
      <c r="C1015" s="1" t="n">
        <v>45190</v>
      </c>
      <c r="D1015" t="inlineStr">
        <is>
          <t>KALMAR LÄN</t>
        </is>
      </c>
      <c r="E1015" t="inlineStr">
        <is>
          <t>BORGHOLM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64128-2018</t>
        </is>
      </c>
      <c r="B1016" s="1" t="n">
        <v>43430</v>
      </c>
      <c r="C1016" s="1" t="n">
        <v>45190</v>
      </c>
      <c r="D1016" t="inlineStr">
        <is>
          <t>KALMAR LÄN</t>
        </is>
      </c>
      <c r="E1016" t="inlineStr">
        <is>
          <t>KALMAR</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64370-2018</t>
        </is>
      </c>
      <c r="B1017" s="1" t="n">
        <v>43430</v>
      </c>
      <c r="C1017" s="1" t="n">
        <v>45190</v>
      </c>
      <c r="D1017" t="inlineStr">
        <is>
          <t>KALMAR LÄN</t>
        </is>
      </c>
      <c r="E1017" t="inlineStr">
        <is>
          <t>EMMABODA</t>
        </is>
      </c>
      <c r="F1017" t="inlineStr">
        <is>
          <t>Sveaskog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66710-2018</t>
        </is>
      </c>
      <c r="B1018" s="1" t="n">
        <v>43430</v>
      </c>
      <c r="C1018" s="1" t="n">
        <v>45190</v>
      </c>
      <c r="D1018" t="inlineStr">
        <is>
          <t>KALMAR LÄN</t>
        </is>
      </c>
      <c r="E1018" t="inlineStr">
        <is>
          <t>VIMMERBY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63871-2018</t>
        </is>
      </c>
      <c r="B1019" s="1" t="n">
        <v>43430</v>
      </c>
      <c r="C1019" s="1" t="n">
        <v>45190</v>
      </c>
      <c r="D1019" t="inlineStr">
        <is>
          <t>KALMAR LÄN</t>
        </is>
      </c>
      <c r="E1019" t="inlineStr">
        <is>
          <t>EMMABODA</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63896-2018</t>
        </is>
      </c>
      <c r="B1020" s="1" t="n">
        <v>43430</v>
      </c>
      <c r="C1020" s="1" t="n">
        <v>45190</v>
      </c>
      <c r="D1020" t="inlineStr">
        <is>
          <t>KALMAR LÄN</t>
        </is>
      </c>
      <c r="E1020" t="inlineStr">
        <is>
          <t>HULTSFRED</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63952-2018</t>
        </is>
      </c>
      <c r="B1021" s="1" t="n">
        <v>43430</v>
      </c>
      <c r="C1021" s="1" t="n">
        <v>45190</v>
      </c>
      <c r="D1021" t="inlineStr">
        <is>
          <t>KALMAR LÄN</t>
        </is>
      </c>
      <c r="E1021" t="inlineStr">
        <is>
          <t>OSKARSHAMN</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64131-2018</t>
        </is>
      </c>
      <c r="B1022" s="1" t="n">
        <v>43430</v>
      </c>
      <c r="C1022" s="1" t="n">
        <v>45190</v>
      </c>
      <c r="D1022" t="inlineStr">
        <is>
          <t>KALMAR LÄN</t>
        </is>
      </c>
      <c r="E1022" t="inlineStr">
        <is>
          <t>KALMAR</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64197-2018</t>
        </is>
      </c>
      <c r="B1023" s="1" t="n">
        <v>43430</v>
      </c>
      <c r="C1023" s="1" t="n">
        <v>45190</v>
      </c>
      <c r="D1023" t="inlineStr">
        <is>
          <t>KALMAR LÄN</t>
        </is>
      </c>
      <c r="E1023" t="inlineStr">
        <is>
          <t>EMMABODA</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64324-2018</t>
        </is>
      </c>
      <c r="B1024" s="1" t="n">
        <v>43430</v>
      </c>
      <c r="C1024" s="1" t="n">
        <v>45190</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64377-2018</t>
        </is>
      </c>
      <c r="B1025" s="1" t="n">
        <v>43430</v>
      </c>
      <c r="C1025" s="1" t="n">
        <v>45190</v>
      </c>
      <c r="D1025" t="inlineStr">
        <is>
          <t>KALMAR LÄN</t>
        </is>
      </c>
      <c r="E1025" t="inlineStr">
        <is>
          <t>EMMABODA</t>
        </is>
      </c>
      <c r="F1025" t="inlineStr">
        <is>
          <t>Sveaskog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63862-2018</t>
        </is>
      </c>
      <c r="B1026" s="1" t="n">
        <v>43430</v>
      </c>
      <c r="C1026" s="1" t="n">
        <v>45190</v>
      </c>
      <c r="D1026" t="inlineStr">
        <is>
          <t>KALMAR LÄN</t>
        </is>
      </c>
      <c r="E1026" t="inlineStr">
        <is>
          <t>KALMAR</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63934-2018</t>
        </is>
      </c>
      <c r="B1027" s="1" t="n">
        <v>43430</v>
      </c>
      <c r="C1027" s="1" t="n">
        <v>45190</v>
      </c>
      <c r="D1027" t="inlineStr">
        <is>
          <t>KALMAR LÄN</t>
        </is>
      </c>
      <c r="E1027" t="inlineStr">
        <is>
          <t>VIMMERBY</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64308-2018</t>
        </is>
      </c>
      <c r="B1028" s="1" t="n">
        <v>43430</v>
      </c>
      <c r="C1028" s="1" t="n">
        <v>45190</v>
      </c>
      <c r="D1028" t="inlineStr">
        <is>
          <t>KALMAR LÄN</t>
        </is>
      </c>
      <c r="E1028" t="inlineStr">
        <is>
          <t>HULTSFRED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64369-2018</t>
        </is>
      </c>
      <c r="B1029" s="1" t="n">
        <v>43430</v>
      </c>
      <c r="C1029" s="1" t="n">
        <v>45190</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64381-2018</t>
        </is>
      </c>
      <c r="B1030" s="1" t="n">
        <v>43430</v>
      </c>
      <c r="C1030" s="1" t="n">
        <v>45190</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63880-2018</t>
        </is>
      </c>
      <c r="B1031" s="1" t="n">
        <v>43430</v>
      </c>
      <c r="C1031" s="1" t="n">
        <v>45190</v>
      </c>
      <c r="D1031" t="inlineStr">
        <is>
          <t>KALMAR LÄN</t>
        </is>
      </c>
      <c r="E1031" t="inlineStr">
        <is>
          <t>VÄSTERVIK</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64089-2018</t>
        </is>
      </c>
      <c r="B1032" s="1" t="n">
        <v>43430</v>
      </c>
      <c r="C1032" s="1" t="n">
        <v>45190</v>
      </c>
      <c r="D1032" t="inlineStr">
        <is>
          <t>KALMAR LÄN</t>
        </is>
      </c>
      <c r="E1032" t="inlineStr">
        <is>
          <t>KALMAR</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64107-2018</t>
        </is>
      </c>
      <c r="B1033" s="1" t="n">
        <v>43430</v>
      </c>
      <c r="C1033" s="1" t="n">
        <v>45190</v>
      </c>
      <c r="D1033" t="inlineStr">
        <is>
          <t>KALMAR LÄN</t>
        </is>
      </c>
      <c r="E1033" t="inlineStr">
        <is>
          <t>NYBRO</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64129-2018</t>
        </is>
      </c>
      <c r="B1034" s="1" t="n">
        <v>43430</v>
      </c>
      <c r="C1034" s="1" t="n">
        <v>45190</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64376-2018</t>
        </is>
      </c>
      <c r="B1035" s="1" t="n">
        <v>43430</v>
      </c>
      <c r="C1035" s="1" t="n">
        <v>45190</v>
      </c>
      <c r="D1035" t="inlineStr">
        <is>
          <t>KALMAR LÄN</t>
        </is>
      </c>
      <c r="E1035" t="inlineStr">
        <is>
          <t>EMMABODA</t>
        </is>
      </c>
      <c r="F1035" t="inlineStr">
        <is>
          <t>Sveaskog</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66590-2018</t>
        </is>
      </c>
      <c r="B1036" s="1" t="n">
        <v>43430</v>
      </c>
      <c r="C1036" s="1" t="n">
        <v>45190</v>
      </c>
      <c r="D1036" t="inlineStr">
        <is>
          <t>KALMAR LÄN</t>
        </is>
      </c>
      <c r="E1036" t="inlineStr">
        <is>
          <t>MÖNSTERÅS</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66718-2018</t>
        </is>
      </c>
      <c r="B1037" s="1" t="n">
        <v>43430</v>
      </c>
      <c r="C1037" s="1" t="n">
        <v>45190</v>
      </c>
      <c r="D1037" t="inlineStr">
        <is>
          <t>KALMAR LÄN</t>
        </is>
      </c>
      <c r="E1037" t="inlineStr">
        <is>
          <t>VIMMERBY</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64910-2018</t>
        </is>
      </c>
      <c r="B1038" s="1" t="n">
        <v>43431</v>
      </c>
      <c r="C1038" s="1" t="n">
        <v>45190</v>
      </c>
      <c r="D1038" t="inlineStr">
        <is>
          <t>KALMAR LÄN</t>
        </is>
      </c>
      <c r="E1038" t="inlineStr">
        <is>
          <t>KALMAR</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64914-2018</t>
        </is>
      </c>
      <c r="B1039" s="1" t="n">
        <v>43431</v>
      </c>
      <c r="C1039" s="1" t="n">
        <v>45190</v>
      </c>
      <c r="D1039" t="inlineStr">
        <is>
          <t>KALMAR LÄN</t>
        </is>
      </c>
      <c r="E1039" t="inlineStr">
        <is>
          <t>HULTSFRED</t>
        </is>
      </c>
      <c r="G1039" t="n">
        <v>6.5</v>
      </c>
      <c r="H1039" t="n">
        <v>0</v>
      </c>
      <c r="I1039" t="n">
        <v>0</v>
      </c>
      <c r="J1039" t="n">
        <v>0</v>
      </c>
      <c r="K1039" t="n">
        <v>0</v>
      </c>
      <c r="L1039" t="n">
        <v>0</v>
      </c>
      <c r="M1039" t="n">
        <v>0</v>
      </c>
      <c r="N1039" t="n">
        <v>0</v>
      </c>
      <c r="O1039" t="n">
        <v>0</v>
      </c>
      <c r="P1039" t="n">
        <v>0</v>
      </c>
      <c r="Q1039" t="n">
        <v>0</v>
      </c>
      <c r="R1039" s="2" t="inlineStr"/>
    </row>
    <row r="1040" ht="15" customHeight="1">
      <c r="A1040" t="inlineStr">
        <is>
          <t>A 64829-2018</t>
        </is>
      </c>
      <c r="B1040" s="1" t="n">
        <v>43431</v>
      </c>
      <c r="C1040" s="1" t="n">
        <v>45190</v>
      </c>
      <c r="D1040" t="inlineStr">
        <is>
          <t>KALMAR LÄN</t>
        </is>
      </c>
      <c r="E1040" t="inlineStr">
        <is>
          <t>VIMMERBY</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64908-2018</t>
        </is>
      </c>
      <c r="B1041" s="1" t="n">
        <v>43431</v>
      </c>
      <c r="C1041" s="1" t="n">
        <v>45190</v>
      </c>
      <c r="D1041" t="inlineStr">
        <is>
          <t>KALMAR LÄN</t>
        </is>
      </c>
      <c r="E1041" t="inlineStr">
        <is>
          <t>KALMAR</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64916-2018</t>
        </is>
      </c>
      <c r="B1042" s="1" t="n">
        <v>43431</v>
      </c>
      <c r="C1042" s="1" t="n">
        <v>45190</v>
      </c>
      <c r="D1042" t="inlineStr">
        <is>
          <t>KALMAR LÄN</t>
        </is>
      </c>
      <c r="E1042" t="inlineStr">
        <is>
          <t>HULTSFRED</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64880-2018</t>
        </is>
      </c>
      <c r="B1043" s="1" t="n">
        <v>43431</v>
      </c>
      <c r="C1043" s="1" t="n">
        <v>45190</v>
      </c>
      <c r="D1043" t="inlineStr">
        <is>
          <t>KALMAR LÄN</t>
        </is>
      </c>
      <c r="E1043" t="inlineStr">
        <is>
          <t>VÄSTERVIK</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67092-2018</t>
        </is>
      </c>
      <c r="B1044" s="1" t="n">
        <v>43432</v>
      </c>
      <c r="C1044" s="1" t="n">
        <v>45190</v>
      </c>
      <c r="D1044" t="inlineStr">
        <is>
          <t>KALMAR LÄN</t>
        </is>
      </c>
      <c r="E1044" t="inlineStr">
        <is>
          <t>MÖNSTERÅS</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65338-2018</t>
        </is>
      </c>
      <c r="B1045" s="1" t="n">
        <v>43432</v>
      </c>
      <c r="C1045" s="1" t="n">
        <v>45190</v>
      </c>
      <c r="D1045" t="inlineStr">
        <is>
          <t>KALMAR LÄN</t>
        </is>
      </c>
      <c r="E1045" t="inlineStr">
        <is>
          <t>OSKARSHAMN</t>
        </is>
      </c>
      <c r="G1045" t="n">
        <v>15.5</v>
      </c>
      <c r="H1045" t="n">
        <v>0</v>
      </c>
      <c r="I1045" t="n">
        <v>0</v>
      </c>
      <c r="J1045" t="n">
        <v>0</v>
      </c>
      <c r="K1045" t="n">
        <v>0</v>
      </c>
      <c r="L1045" t="n">
        <v>0</v>
      </c>
      <c r="M1045" t="n">
        <v>0</v>
      </c>
      <c r="N1045" t="n">
        <v>0</v>
      </c>
      <c r="O1045" t="n">
        <v>0</v>
      </c>
      <c r="P1045" t="n">
        <v>0</v>
      </c>
      <c r="Q1045" t="n">
        <v>0</v>
      </c>
      <c r="R1045" s="2" t="inlineStr"/>
    </row>
    <row r="1046" ht="15" customHeight="1">
      <c r="A1046" t="inlineStr">
        <is>
          <t>A 65398-2018</t>
        </is>
      </c>
      <c r="B1046" s="1" t="n">
        <v>43432</v>
      </c>
      <c r="C1046" s="1" t="n">
        <v>45190</v>
      </c>
      <c r="D1046" t="inlineStr">
        <is>
          <t>KALMAR LÄN</t>
        </is>
      </c>
      <c r="E1046" t="inlineStr">
        <is>
          <t>HULTSFRED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65118-2018</t>
        </is>
      </c>
      <c r="B1047" s="1" t="n">
        <v>43432</v>
      </c>
      <c r="C1047" s="1" t="n">
        <v>45190</v>
      </c>
      <c r="D1047" t="inlineStr">
        <is>
          <t>KALMAR LÄN</t>
        </is>
      </c>
      <c r="E1047" t="inlineStr">
        <is>
          <t>TORSÅS</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65241-2018</t>
        </is>
      </c>
      <c r="B1048" s="1" t="n">
        <v>43432</v>
      </c>
      <c r="C1048" s="1" t="n">
        <v>45190</v>
      </c>
      <c r="D1048" t="inlineStr">
        <is>
          <t>KALMAR LÄN</t>
        </is>
      </c>
      <c r="E1048" t="inlineStr">
        <is>
          <t>HULTSFRED</t>
        </is>
      </c>
      <c r="G1048" t="n">
        <v>9.300000000000001</v>
      </c>
      <c r="H1048" t="n">
        <v>0</v>
      </c>
      <c r="I1048" t="n">
        <v>0</v>
      </c>
      <c r="J1048" t="n">
        <v>0</v>
      </c>
      <c r="K1048" t="n">
        <v>0</v>
      </c>
      <c r="L1048" t="n">
        <v>0</v>
      </c>
      <c r="M1048" t="n">
        <v>0</v>
      </c>
      <c r="N1048" t="n">
        <v>0</v>
      </c>
      <c r="O1048" t="n">
        <v>0</v>
      </c>
      <c r="P1048" t="n">
        <v>0</v>
      </c>
      <c r="Q1048" t="n">
        <v>0</v>
      </c>
      <c r="R1048" s="2" t="inlineStr"/>
    </row>
    <row r="1049" ht="15" customHeight="1">
      <c r="A1049" t="inlineStr">
        <is>
          <t>A 65432-2018</t>
        </is>
      </c>
      <c r="B1049" s="1" t="n">
        <v>43433</v>
      </c>
      <c r="C1049" s="1" t="n">
        <v>45190</v>
      </c>
      <c r="D1049" t="inlineStr">
        <is>
          <t>KALMAR LÄN</t>
        </is>
      </c>
      <c r="E1049" t="inlineStr">
        <is>
          <t>NYBRO</t>
        </is>
      </c>
      <c r="G1049" t="n">
        <v>4.9</v>
      </c>
      <c r="H1049" t="n">
        <v>0</v>
      </c>
      <c r="I1049" t="n">
        <v>0</v>
      </c>
      <c r="J1049" t="n">
        <v>0</v>
      </c>
      <c r="K1049" t="n">
        <v>0</v>
      </c>
      <c r="L1049" t="n">
        <v>0</v>
      </c>
      <c r="M1049" t="n">
        <v>0</v>
      </c>
      <c r="N1049" t="n">
        <v>0</v>
      </c>
      <c r="O1049" t="n">
        <v>0</v>
      </c>
      <c r="P1049" t="n">
        <v>0</v>
      </c>
      <c r="Q1049" t="n">
        <v>0</v>
      </c>
      <c r="R1049" s="2" t="inlineStr"/>
    </row>
    <row r="1050" ht="15" customHeight="1">
      <c r="A1050" t="inlineStr">
        <is>
          <t>A 65462-2018</t>
        </is>
      </c>
      <c r="B1050" s="1" t="n">
        <v>43433</v>
      </c>
      <c r="C1050" s="1" t="n">
        <v>45190</v>
      </c>
      <c r="D1050" t="inlineStr">
        <is>
          <t>KALMAR LÄN</t>
        </is>
      </c>
      <c r="E1050" t="inlineStr">
        <is>
          <t>EMMABODA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65592-2018</t>
        </is>
      </c>
      <c r="B1051" s="1" t="n">
        <v>43433</v>
      </c>
      <c r="C1051" s="1" t="n">
        <v>45190</v>
      </c>
      <c r="D1051" t="inlineStr">
        <is>
          <t>KALMAR LÄN</t>
        </is>
      </c>
      <c r="E1051" t="inlineStr">
        <is>
          <t>EMMABODA</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65715-2018</t>
        </is>
      </c>
      <c r="B1052" s="1" t="n">
        <v>43433</v>
      </c>
      <c r="C1052" s="1" t="n">
        <v>45190</v>
      </c>
      <c r="D1052" t="inlineStr">
        <is>
          <t>KALMAR LÄN</t>
        </is>
      </c>
      <c r="E1052" t="inlineStr">
        <is>
          <t>MÖNSTERÅS</t>
        </is>
      </c>
      <c r="F1052" t="inlineStr">
        <is>
          <t>Övriga Aktiebolag</t>
        </is>
      </c>
      <c r="G1052" t="n">
        <v>5.1</v>
      </c>
      <c r="H1052" t="n">
        <v>0</v>
      </c>
      <c r="I1052" t="n">
        <v>0</v>
      </c>
      <c r="J1052" t="n">
        <v>0</v>
      </c>
      <c r="K1052" t="n">
        <v>0</v>
      </c>
      <c r="L1052" t="n">
        <v>0</v>
      </c>
      <c r="M1052" t="n">
        <v>0</v>
      </c>
      <c r="N1052" t="n">
        <v>0</v>
      </c>
      <c r="O1052" t="n">
        <v>0</v>
      </c>
      <c r="P1052" t="n">
        <v>0</v>
      </c>
      <c r="Q1052" t="n">
        <v>0</v>
      </c>
      <c r="R1052" s="2" t="inlineStr"/>
    </row>
    <row r="1053" ht="15" customHeight="1">
      <c r="A1053" t="inlineStr">
        <is>
          <t>A 67028-2018</t>
        </is>
      </c>
      <c r="B1053" s="1" t="n">
        <v>43433</v>
      </c>
      <c r="C1053" s="1" t="n">
        <v>45190</v>
      </c>
      <c r="D1053" t="inlineStr">
        <is>
          <t>KALMAR LÄN</t>
        </is>
      </c>
      <c r="E1053" t="inlineStr">
        <is>
          <t>NYBRO</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65375-2018</t>
        </is>
      </c>
      <c r="B1054" s="1" t="n">
        <v>43433</v>
      </c>
      <c r="C1054" s="1" t="n">
        <v>45190</v>
      </c>
      <c r="D1054" t="inlineStr">
        <is>
          <t>KALMAR LÄN</t>
        </is>
      </c>
      <c r="E1054" t="inlineStr">
        <is>
          <t>HULTSFRED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65752-2018</t>
        </is>
      </c>
      <c r="B1055" s="1" t="n">
        <v>43433</v>
      </c>
      <c r="C1055" s="1" t="n">
        <v>45190</v>
      </c>
      <c r="D1055" t="inlineStr">
        <is>
          <t>KALMAR LÄN</t>
        </is>
      </c>
      <c r="E1055" t="inlineStr">
        <is>
          <t>VIMMERBY</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65414-2018</t>
        </is>
      </c>
      <c r="B1056" s="1" t="n">
        <v>43433</v>
      </c>
      <c r="C1056" s="1" t="n">
        <v>45190</v>
      </c>
      <c r="D1056" t="inlineStr">
        <is>
          <t>KALMAR LÄN</t>
        </is>
      </c>
      <c r="E1056" t="inlineStr">
        <is>
          <t>HULTSFRED</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65502-2018</t>
        </is>
      </c>
      <c r="B1057" s="1" t="n">
        <v>43433</v>
      </c>
      <c r="C1057" s="1" t="n">
        <v>45190</v>
      </c>
      <c r="D1057" t="inlineStr">
        <is>
          <t>KALMAR LÄN</t>
        </is>
      </c>
      <c r="E1057" t="inlineStr">
        <is>
          <t>NYBRO</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65888-2018</t>
        </is>
      </c>
      <c r="B1058" s="1" t="n">
        <v>43434</v>
      </c>
      <c r="C1058" s="1" t="n">
        <v>45190</v>
      </c>
      <c r="D1058" t="inlineStr">
        <is>
          <t>KALMAR LÄN</t>
        </is>
      </c>
      <c r="E1058" t="inlineStr">
        <is>
          <t>KALMAR</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65957-2018</t>
        </is>
      </c>
      <c r="B1059" s="1" t="n">
        <v>43434</v>
      </c>
      <c r="C1059" s="1" t="n">
        <v>45190</v>
      </c>
      <c r="D1059" t="inlineStr">
        <is>
          <t>KALMAR LÄN</t>
        </is>
      </c>
      <c r="E1059" t="inlineStr">
        <is>
          <t>NYBRO</t>
        </is>
      </c>
      <c r="G1059" t="n">
        <v>11.4</v>
      </c>
      <c r="H1059" t="n">
        <v>0</v>
      </c>
      <c r="I1059" t="n">
        <v>0</v>
      </c>
      <c r="J1059" t="n">
        <v>0</v>
      </c>
      <c r="K1059" t="n">
        <v>0</v>
      </c>
      <c r="L1059" t="n">
        <v>0</v>
      </c>
      <c r="M1059" t="n">
        <v>0</v>
      </c>
      <c r="N1059" t="n">
        <v>0</v>
      </c>
      <c r="O1059" t="n">
        <v>0</v>
      </c>
      <c r="P1059" t="n">
        <v>0</v>
      </c>
      <c r="Q1059" t="n">
        <v>0</v>
      </c>
      <c r="R1059" s="2" t="inlineStr"/>
    </row>
    <row r="1060" ht="15" customHeight="1">
      <c r="A1060" t="inlineStr">
        <is>
          <t>A 66040-2018</t>
        </is>
      </c>
      <c r="B1060" s="1" t="n">
        <v>43434</v>
      </c>
      <c r="C1060" s="1" t="n">
        <v>45190</v>
      </c>
      <c r="D1060" t="inlineStr">
        <is>
          <t>KALMAR LÄN</t>
        </is>
      </c>
      <c r="E1060" t="inlineStr">
        <is>
          <t>VÄSTERVIK</t>
        </is>
      </c>
      <c r="F1060" t="inlineStr">
        <is>
          <t>Sveaskog</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66114-2018</t>
        </is>
      </c>
      <c r="B1061" s="1" t="n">
        <v>43434</v>
      </c>
      <c r="C1061" s="1" t="n">
        <v>45190</v>
      </c>
      <c r="D1061" t="inlineStr">
        <is>
          <t>KALMAR LÄN</t>
        </is>
      </c>
      <c r="E1061" t="inlineStr">
        <is>
          <t>VIMMERBY</t>
        </is>
      </c>
      <c r="G1061" t="n">
        <v>7.4</v>
      </c>
      <c r="H1061" t="n">
        <v>0</v>
      </c>
      <c r="I1061" t="n">
        <v>0</v>
      </c>
      <c r="J1061" t="n">
        <v>0</v>
      </c>
      <c r="K1061" t="n">
        <v>0</v>
      </c>
      <c r="L1061" t="n">
        <v>0</v>
      </c>
      <c r="M1061" t="n">
        <v>0</v>
      </c>
      <c r="N1061" t="n">
        <v>0</v>
      </c>
      <c r="O1061" t="n">
        <v>0</v>
      </c>
      <c r="P1061" t="n">
        <v>0</v>
      </c>
      <c r="Q1061" t="n">
        <v>0</v>
      </c>
      <c r="R1061" s="2" t="inlineStr"/>
    </row>
    <row r="1062" ht="15" customHeight="1">
      <c r="A1062" t="inlineStr">
        <is>
          <t>A 66132-2018</t>
        </is>
      </c>
      <c r="B1062" s="1" t="n">
        <v>43434</v>
      </c>
      <c r="C1062" s="1" t="n">
        <v>45190</v>
      </c>
      <c r="D1062" t="inlineStr">
        <is>
          <t>KALMAR LÄN</t>
        </is>
      </c>
      <c r="E1062" t="inlineStr">
        <is>
          <t>NYBRO</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66209-2018</t>
        </is>
      </c>
      <c r="B1063" s="1" t="n">
        <v>43434</v>
      </c>
      <c r="C1063" s="1" t="n">
        <v>45190</v>
      </c>
      <c r="D1063" t="inlineStr">
        <is>
          <t>KALMAR LÄN</t>
        </is>
      </c>
      <c r="E1063" t="inlineStr">
        <is>
          <t>TORSÅS</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67788-2018</t>
        </is>
      </c>
      <c r="B1064" s="1" t="n">
        <v>43434</v>
      </c>
      <c r="C1064" s="1" t="n">
        <v>45190</v>
      </c>
      <c r="D1064" t="inlineStr">
        <is>
          <t>KALMAR LÄN</t>
        </is>
      </c>
      <c r="E1064" t="inlineStr">
        <is>
          <t>HÖGSBY</t>
        </is>
      </c>
      <c r="G1064" t="n">
        <v>5</v>
      </c>
      <c r="H1064" t="n">
        <v>0</v>
      </c>
      <c r="I1064" t="n">
        <v>0</v>
      </c>
      <c r="J1064" t="n">
        <v>0</v>
      </c>
      <c r="K1064" t="n">
        <v>0</v>
      </c>
      <c r="L1064" t="n">
        <v>0</v>
      </c>
      <c r="M1064" t="n">
        <v>0</v>
      </c>
      <c r="N1064" t="n">
        <v>0</v>
      </c>
      <c r="O1064" t="n">
        <v>0</v>
      </c>
      <c r="P1064" t="n">
        <v>0</v>
      </c>
      <c r="Q1064" t="n">
        <v>0</v>
      </c>
      <c r="R1064" s="2" t="inlineStr"/>
    </row>
    <row r="1065" ht="15" customHeight="1">
      <c r="A1065" t="inlineStr">
        <is>
          <t>A 66086-2018</t>
        </is>
      </c>
      <c r="B1065" s="1" t="n">
        <v>43434</v>
      </c>
      <c r="C1065" s="1" t="n">
        <v>45190</v>
      </c>
      <c r="D1065" t="inlineStr">
        <is>
          <t>KALMAR LÄN</t>
        </is>
      </c>
      <c r="E1065" t="inlineStr">
        <is>
          <t>VIMMERBY</t>
        </is>
      </c>
      <c r="G1065" t="n">
        <v>14.4</v>
      </c>
      <c r="H1065" t="n">
        <v>0</v>
      </c>
      <c r="I1065" t="n">
        <v>0</v>
      </c>
      <c r="J1065" t="n">
        <v>0</v>
      </c>
      <c r="K1065" t="n">
        <v>0</v>
      </c>
      <c r="L1065" t="n">
        <v>0</v>
      </c>
      <c r="M1065" t="n">
        <v>0</v>
      </c>
      <c r="N1065" t="n">
        <v>0</v>
      </c>
      <c r="O1065" t="n">
        <v>0</v>
      </c>
      <c r="P1065" t="n">
        <v>0</v>
      </c>
      <c r="Q1065" t="n">
        <v>0</v>
      </c>
      <c r="R1065" s="2" t="inlineStr"/>
    </row>
    <row r="1066" ht="15" customHeight="1">
      <c r="A1066" t="inlineStr">
        <is>
          <t>A 67735-2018</t>
        </is>
      </c>
      <c r="B1066" s="1" t="n">
        <v>43434</v>
      </c>
      <c r="C1066" s="1" t="n">
        <v>45190</v>
      </c>
      <c r="D1066" t="inlineStr">
        <is>
          <t>KALMAR LÄN</t>
        </is>
      </c>
      <c r="E1066" t="inlineStr">
        <is>
          <t>KALMAR</t>
        </is>
      </c>
      <c r="G1066" t="n">
        <v>8.6</v>
      </c>
      <c r="H1066" t="n">
        <v>0</v>
      </c>
      <c r="I1066" t="n">
        <v>0</v>
      </c>
      <c r="J1066" t="n">
        <v>0</v>
      </c>
      <c r="K1066" t="n">
        <v>0</v>
      </c>
      <c r="L1066" t="n">
        <v>0</v>
      </c>
      <c r="M1066" t="n">
        <v>0</v>
      </c>
      <c r="N1066" t="n">
        <v>0</v>
      </c>
      <c r="O1066" t="n">
        <v>0</v>
      </c>
      <c r="P1066" t="n">
        <v>0</v>
      </c>
      <c r="Q1066" t="n">
        <v>0</v>
      </c>
      <c r="R1066" s="2" t="inlineStr"/>
    </row>
    <row r="1067" ht="15" customHeight="1">
      <c r="A1067" t="inlineStr">
        <is>
          <t>A 66062-2018</t>
        </is>
      </c>
      <c r="B1067" s="1" t="n">
        <v>43434</v>
      </c>
      <c r="C1067" s="1" t="n">
        <v>45190</v>
      </c>
      <c r="D1067" t="inlineStr">
        <is>
          <t>KALMAR LÄN</t>
        </is>
      </c>
      <c r="E1067" t="inlineStr">
        <is>
          <t>BORGHOLM</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67660-2018</t>
        </is>
      </c>
      <c r="B1068" s="1" t="n">
        <v>43434</v>
      </c>
      <c r="C1068" s="1" t="n">
        <v>45190</v>
      </c>
      <c r="D1068" t="inlineStr">
        <is>
          <t>KALMAR LÄN</t>
        </is>
      </c>
      <c r="E1068" t="inlineStr">
        <is>
          <t>KALMAR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66375-2018</t>
        </is>
      </c>
      <c r="B1069" s="1" t="n">
        <v>43436</v>
      </c>
      <c r="C1069" s="1" t="n">
        <v>45190</v>
      </c>
      <c r="D1069" t="inlineStr">
        <is>
          <t>KALMAR LÄN</t>
        </is>
      </c>
      <c r="E1069" t="inlineStr">
        <is>
          <t>VÄSTERVIK</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66378-2018</t>
        </is>
      </c>
      <c r="B1070" s="1" t="n">
        <v>43436</v>
      </c>
      <c r="C1070" s="1" t="n">
        <v>45190</v>
      </c>
      <c r="D1070" t="inlineStr">
        <is>
          <t>KALMAR LÄN</t>
        </is>
      </c>
      <c r="E1070" t="inlineStr">
        <is>
          <t>VIMMERBY</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66706-2018</t>
        </is>
      </c>
      <c r="B1071" s="1" t="n">
        <v>43437</v>
      </c>
      <c r="C1071" s="1" t="n">
        <v>45190</v>
      </c>
      <c r="D1071" t="inlineStr">
        <is>
          <t>KALMAR LÄN</t>
        </is>
      </c>
      <c r="E1071" t="inlineStr">
        <is>
          <t>VÄSTERVIK</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66459-2018</t>
        </is>
      </c>
      <c r="B1072" s="1" t="n">
        <v>43437</v>
      </c>
      <c r="C1072" s="1" t="n">
        <v>45190</v>
      </c>
      <c r="D1072" t="inlineStr">
        <is>
          <t>KALMAR LÄN</t>
        </is>
      </c>
      <c r="E1072" t="inlineStr">
        <is>
          <t>NYBRO</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66790-2018</t>
        </is>
      </c>
      <c r="B1073" s="1" t="n">
        <v>43437</v>
      </c>
      <c r="C1073" s="1" t="n">
        <v>45190</v>
      </c>
      <c r="D1073" t="inlineStr">
        <is>
          <t>KALMAR LÄN</t>
        </is>
      </c>
      <c r="E1073" t="inlineStr">
        <is>
          <t>VÄSTERVIK</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66438-2018</t>
        </is>
      </c>
      <c r="B1074" s="1" t="n">
        <v>43437</v>
      </c>
      <c r="C1074" s="1" t="n">
        <v>45190</v>
      </c>
      <c r="D1074" t="inlineStr">
        <is>
          <t>KALMAR LÄN</t>
        </is>
      </c>
      <c r="E1074" t="inlineStr">
        <is>
          <t>VÄSTERVIK</t>
        </is>
      </c>
      <c r="G1074" t="n">
        <v>8.300000000000001</v>
      </c>
      <c r="H1074" t="n">
        <v>0</v>
      </c>
      <c r="I1074" t="n">
        <v>0</v>
      </c>
      <c r="J1074" t="n">
        <v>0</v>
      </c>
      <c r="K1074" t="n">
        <v>0</v>
      </c>
      <c r="L1074" t="n">
        <v>0</v>
      </c>
      <c r="M1074" t="n">
        <v>0</v>
      </c>
      <c r="N1074" t="n">
        <v>0</v>
      </c>
      <c r="O1074" t="n">
        <v>0</v>
      </c>
      <c r="P1074" t="n">
        <v>0</v>
      </c>
      <c r="Q1074" t="n">
        <v>0</v>
      </c>
      <c r="R1074" s="2" t="inlineStr"/>
    </row>
    <row r="1075" ht="15" customHeight="1">
      <c r="A1075" t="inlineStr">
        <is>
          <t>A 66777-2018</t>
        </is>
      </c>
      <c r="B1075" s="1" t="n">
        <v>43437</v>
      </c>
      <c r="C1075" s="1" t="n">
        <v>45190</v>
      </c>
      <c r="D1075" t="inlineStr">
        <is>
          <t>KALMAR LÄN</t>
        </is>
      </c>
      <c r="E1075" t="inlineStr">
        <is>
          <t>HULTSFRED</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66854-2018</t>
        </is>
      </c>
      <c r="B1076" s="1" t="n">
        <v>43438</v>
      </c>
      <c r="C1076" s="1" t="n">
        <v>45190</v>
      </c>
      <c r="D1076" t="inlineStr">
        <is>
          <t>KALMAR LÄN</t>
        </is>
      </c>
      <c r="E1076" t="inlineStr">
        <is>
          <t>HULTSFRED</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66957-2018</t>
        </is>
      </c>
      <c r="B1077" s="1" t="n">
        <v>43438</v>
      </c>
      <c r="C1077" s="1" t="n">
        <v>45190</v>
      </c>
      <c r="D1077" t="inlineStr">
        <is>
          <t>KALMAR LÄN</t>
        </is>
      </c>
      <c r="E1077" t="inlineStr">
        <is>
          <t>VIMMERBY</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68405-2018</t>
        </is>
      </c>
      <c r="B1078" s="1" t="n">
        <v>43438</v>
      </c>
      <c r="C1078" s="1" t="n">
        <v>45190</v>
      </c>
      <c r="D1078" t="inlineStr">
        <is>
          <t>KALMAR LÄN</t>
        </is>
      </c>
      <c r="E1078" t="inlineStr">
        <is>
          <t>HULTSFRED</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68416-2018</t>
        </is>
      </c>
      <c r="B1079" s="1" t="n">
        <v>43438</v>
      </c>
      <c r="C1079" s="1" t="n">
        <v>45190</v>
      </c>
      <c r="D1079" t="inlineStr">
        <is>
          <t>KALMAR LÄN</t>
        </is>
      </c>
      <c r="E1079" t="inlineStr">
        <is>
          <t>NYBRO</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67077-2018</t>
        </is>
      </c>
      <c r="B1080" s="1" t="n">
        <v>43438</v>
      </c>
      <c r="C1080" s="1" t="n">
        <v>45190</v>
      </c>
      <c r="D1080" t="inlineStr">
        <is>
          <t>KALMAR LÄN</t>
        </is>
      </c>
      <c r="E1080" t="inlineStr">
        <is>
          <t>HÖGSBY</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66927-2018</t>
        </is>
      </c>
      <c r="B1081" s="1" t="n">
        <v>43438</v>
      </c>
      <c r="C1081" s="1" t="n">
        <v>45190</v>
      </c>
      <c r="D1081" t="inlineStr">
        <is>
          <t>KALMAR LÄN</t>
        </is>
      </c>
      <c r="E1081" t="inlineStr">
        <is>
          <t>MÖNSTERÅS</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67016-2018</t>
        </is>
      </c>
      <c r="B1082" s="1" t="n">
        <v>43438</v>
      </c>
      <c r="C1082" s="1" t="n">
        <v>45190</v>
      </c>
      <c r="D1082" t="inlineStr">
        <is>
          <t>KALMAR LÄN</t>
        </is>
      </c>
      <c r="E1082" t="inlineStr">
        <is>
          <t>VÄSTERVIK</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67136-2018</t>
        </is>
      </c>
      <c r="B1083" s="1" t="n">
        <v>43438</v>
      </c>
      <c r="C1083" s="1" t="n">
        <v>45190</v>
      </c>
      <c r="D1083" t="inlineStr">
        <is>
          <t>KALMAR LÄN</t>
        </is>
      </c>
      <c r="E1083" t="inlineStr">
        <is>
          <t>KALMAR</t>
        </is>
      </c>
      <c r="G1083" t="n">
        <v>5</v>
      </c>
      <c r="H1083" t="n">
        <v>0</v>
      </c>
      <c r="I1083" t="n">
        <v>0</v>
      </c>
      <c r="J1083" t="n">
        <v>0</v>
      </c>
      <c r="K1083" t="n">
        <v>0</v>
      </c>
      <c r="L1083" t="n">
        <v>0</v>
      </c>
      <c r="M1083" t="n">
        <v>0</v>
      </c>
      <c r="N1083" t="n">
        <v>0</v>
      </c>
      <c r="O1083" t="n">
        <v>0</v>
      </c>
      <c r="P1083" t="n">
        <v>0</v>
      </c>
      <c r="Q1083" t="n">
        <v>0</v>
      </c>
      <c r="R1083" s="2" t="inlineStr"/>
    </row>
    <row r="1084" ht="15" customHeight="1">
      <c r="A1084" t="inlineStr">
        <is>
          <t>A 68394-2018</t>
        </is>
      </c>
      <c r="B1084" s="1" t="n">
        <v>43438</v>
      </c>
      <c r="C1084" s="1" t="n">
        <v>45190</v>
      </c>
      <c r="D1084" t="inlineStr">
        <is>
          <t>KALMAR LÄN</t>
        </is>
      </c>
      <c r="E1084" t="inlineStr">
        <is>
          <t>HULTSFRED</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67282-2018</t>
        </is>
      </c>
      <c r="B1085" s="1" t="n">
        <v>43439</v>
      </c>
      <c r="C1085" s="1" t="n">
        <v>45190</v>
      </c>
      <c r="D1085" t="inlineStr">
        <is>
          <t>KALMAR LÄN</t>
        </is>
      </c>
      <c r="E1085" t="inlineStr">
        <is>
          <t>HULTSFRED</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67460-2018</t>
        </is>
      </c>
      <c r="B1086" s="1" t="n">
        <v>43439</v>
      </c>
      <c r="C1086" s="1" t="n">
        <v>45190</v>
      </c>
      <c r="D1086" t="inlineStr">
        <is>
          <t>KALMAR LÄN</t>
        </is>
      </c>
      <c r="E1086" t="inlineStr">
        <is>
          <t>KALMAR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68712-2018</t>
        </is>
      </c>
      <c r="B1087" s="1" t="n">
        <v>43439</v>
      </c>
      <c r="C1087" s="1" t="n">
        <v>45190</v>
      </c>
      <c r="D1087" t="inlineStr">
        <is>
          <t>KALMAR LÄN</t>
        </is>
      </c>
      <c r="E1087" t="inlineStr">
        <is>
          <t>NYBRO</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67385-2018</t>
        </is>
      </c>
      <c r="B1088" s="1" t="n">
        <v>43439</v>
      </c>
      <c r="C1088" s="1" t="n">
        <v>45190</v>
      </c>
      <c r="D1088" t="inlineStr">
        <is>
          <t>KALMAR LÄN</t>
        </is>
      </c>
      <c r="E1088" t="inlineStr">
        <is>
          <t>HULTSFRED</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67471-2018</t>
        </is>
      </c>
      <c r="B1089" s="1" t="n">
        <v>43439</v>
      </c>
      <c r="C1089" s="1" t="n">
        <v>45190</v>
      </c>
      <c r="D1089" t="inlineStr">
        <is>
          <t>KALMAR LÄN</t>
        </is>
      </c>
      <c r="E1089" t="inlineStr">
        <is>
          <t>VÄSTERVIK</t>
        </is>
      </c>
      <c r="F1089" t="inlineStr">
        <is>
          <t>Kyrkan</t>
        </is>
      </c>
      <c r="G1089" t="n">
        <v>8</v>
      </c>
      <c r="H1089" t="n">
        <v>0</v>
      </c>
      <c r="I1089" t="n">
        <v>0</v>
      </c>
      <c r="J1089" t="n">
        <v>0</v>
      </c>
      <c r="K1089" t="n">
        <v>0</v>
      </c>
      <c r="L1089" t="n">
        <v>0</v>
      </c>
      <c r="M1089" t="n">
        <v>0</v>
      </c>
      <c r="N1089" t="n">
        <v>0</v>
      </c>
      <c r="O1089" t="n">
        <v>0</v>
      </c>
      <c r="P1089" t="n">
        <v>0</v>
      </c>
      <c r="Q1089" t="n">
        <v>0</v>
      </c>
      <c r="R1089" s="2" t="inlineStr"/>
    </row>
    <row r="1090" ht="15" customHeight="1">
      <c r="A1090" t="inlineStr">
        <is>
          <t>A 68457-2018</t>
        </is>
      </c>
      <c r="B1090" s="1" t="n">
        <v>43439</v>
      </c>
      <c r="C1090" s="1" t="n">
        <v>45190</v>
      </c>
      <c r="D1090" t="inlineStr">
        <is>
          <t>KALMAR LÄN</t>
        </is>
      </c>
      <c r="E1090" t="inlineStr">
        <is>
          <t>VÄSTERVIK</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68706-2018</t>
        </is>
      </c>
      <c r="B1091" s="1" t="n">
        <v>43439</v>
      </c>
      <c r="C1091" s="1" t="n">
        <v>45190</v>
      </c>
      <c r="D1091" t="inlineStr">
        <is>
          <t>KALMAR LÄN</t>
        </is>
      </c>
      <c r="E1091" t="inlineStr">
        <is>
          <t>NYBRO</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67444-2018</t>
        </is>
      </c>
      <c r="B1092" s="1" t="n">
        <v>43439</v>
      </c>
      <c r="C1092" s="1" t="n">
        <v>45190</v>
      </c>
      <c r="D1092" t="inlineStr">
        <is>
          <t>KALMAR LÄN</t>
        </is>
      </c>
      <c r="E1092" t="inlineStr">
        <is>
          <t>VÄSTERVIK</t>
        </is>
      </c>
      <c r="F1092" t="inlineStr">
        <is>
          <t>Kyrkan</t>
        </is>
      </c>
      <c r="G1092" t="n">
        <v>7.6</v>
      </c>
      <c r="H1092" t="n">
        <v>0</v>
      </c>
      <c r="I1092" t="n">
        <v>0</v>
      </c>
      <c r="J1092" t="n">
        <v>0</v>
      </c>
      <c r="K1092" t="n">
        <v>0</v>
      </c>
      <c r="L1092" t="n">
        <v>0</v>
      </c>
      <c r="M1092" t="n">
        <v>0</v>
      </c>
      <c r="N1092" t="n">
        <v>0</v>
      </c>
      <c r="O1092" t="n">
        <v>0</v>
      </c>
      <c r="P1092" t="n">
        <v>0</v>
      </c>
      <c r="Q1092" t="n">
        <v>0</v>
      </c>
      <c r="R1092" s="2" t="inlineStr"/>
    </row>
    <row r="1093" ht="15" customHeight="1">
      <c r="A1093" t="inlineStr">
        <is>
          <t>A 67497-2018</t>
        </is>
      </c>
      <c r="B1093" s="1" t="n">
        <v>43439</v>
      </c>
      <c r="C1093" s="1" t="n">
        <v>45190</v>
      </c>
      <c r="D1093" t="inlineStr">
        <is>
          <t>KALMAR LÄN</t>
        </is>
      </c>
      <c r="E1093" t="inlineStr">
        <is>
          <t>EMMABODA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68732-2018</t>
        </is>
      </c>
      <c r="B1094" s="1" t="n">
        <v>43439</v>
      </c>
      <c r="C1094" s="1" t="n">
        <v>45190</v>
      </c>
      <c r="D1094" t="inlineStr">
        <is>
          <t>KALMAR LÄN</t>
        </is>
      </c>
      <c r="E1094" t="inlineStr">
        <is>
          <t>KALMAR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68822-2018</t>
        </is>
      </c>
      <c r="B1095" s="1" t="n">
        <v>43439</v>
      </c>
      <c r="C1095" s="1" t="n">
        <v>45190</v>
      </c>
      <c r="D1095" t="inlineStr">
        <is>
          <t>KALMAR LÄN</t>
        </is>
      </c>
      <c r="E1095" t="inlineStr">
        <is>
          <t>VIMMERBY</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67244-2018</t>
        </is>
      </c>
      <c r="B1096" s="1" t="n">
        <v>43439</v>
      </c>
      <c r="C1096" s="1" t="n">
        <v>45190</v>
      </c>
      <c r="D1096" t="inlineStr">
        <is>
          <t>KALMAR LÄN</t>
        </is>
      </c>
      <c r="E1096" t="inlineStr">
        <is>
          <t>VÄSTERVIK</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68818-2018</t>
        </is>
      </c>
      <c r="B1097" s="1" t="n">
        <v>43439</v>
      </c>
      <c r="C1097" s="1" t="n">
        <v>45190</v>
      </c>
      <c r="D1097" t="inlineStr">
        <is>
          <t>KALMAR LÄN</t>
        </is>
      </c>
      <c r="E1097" t="inlineStr">
        <is>
          <t>VIMMERBY</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67644-2018</t>
        </is>
      </c>
      <c r="B1098" s="1" t="n">
        <v>43440</v>
      </c>
      <c r="C1098" s="1" t="n">
        <v>45190</v>
      </c>
      <c r="D1098" t="inlineStr">
        <is>
          <t>KALMAR LÄN</t>
        </is>
      </c>
      <c r="E1098" t="inlineStr">
        <is>
          <t>OSKARSHAMN</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68007-2018</t>
        </is>
      </c>
      <c r="B1099" s="1" t="n">
        <v>43440</v>
      </c>
      <c r="C1099" s="1" t="n">
        <v>45190</v>
      </c>
      <c r="D1099" t="inlineStr">
        <is>
          <t>KALMAR LÄN</t>
        </is>
      </c>
      <c r="E1099" t="inlineStr">
        <is>
          <t>EMMABODA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67908-2018</t>
        </is>
      </c>
      <c r="B1100" s="1" t="n">
        <v>43440</v>
      </c>
      <c r="C1100" s="1" t="n">
        <v>45190</v>
      </c>
      <c r="D1100" t="inlineStr">
        <is>
          <t>KALMAR LÄN</t>
        </is>
      </c>
      <c r="E1100" t="inlineStr">
        <is>
          <t>VÄSTERVIK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68734-2018</t>
        </is>
      </c>
      <c r="B1101" s="1" t="n">
        <v>43444</v>
      </c>
      <c r="C1101" s="1" t="n">
        <v>45190</v>
      </c>
      <c r="D1101" t="inlineStr">
        <is>
          <t>KALMAR LÄN</t>
        </is>
      </c>
      <c r="E1101" t="inlineStr">
        <is>
          <t>VÄSTERVIK</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68862-2018</t>
        </is>
      </c>
      <c r="B1102" s="1" t="n">
        <v>43444</v>
      </c>
      <c r="C1102" s="1" t="n">
        <v>45190</v>
      </c>
      <c r="D1102" t="inlineStr">
        <is>
          <t>KALMAR LÄN</t>
        </is>
      </c>
      <c r="E1102" t="inlineStr">
        <is>
          <t>VÄSTERVIK</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69716-2018</t>
        </is>
      </c>
      <c r="B1103" s="1" t="n">
        <v>43444</v>
      </c>
      <c r="C1103" s="1" t="n">
        <v>45190</v>
      </c>
      <c r="D1103" t="inlineStr">
        <is>
          <t>KALMAR LÄN</t>
        </is>
      </c>
      <c r="E1103" t="inlineStr">
        <is>
          <t>HÖGSBY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68851-2018</t>
        </is>
      </c>
      <c r="B1104" s="1" t="n">
        <v>43444</v>
      </c>
      <c r="C1104" s="1" t="n">
        <v>45190</v>
      </c>
      <c r="D1104" t="inlineStr">
        <is>
          <t>KALMAR LÄN</t>
        </is>
      </c>
      <c r="E1104" t="inlineStr">
        <is>
          <t>HULTSFRED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68857-2018</t>
        </is>
      </c>
      <c r="B1105" s="1" t="n">
        <v>43444</v>
      </c>
      <c r="C1105" s="1" t="n">
        <v>45190</v>
      </c>
      <c r="D1105" t="inlineStr">
        <is>
          <t>KALMAR LÄN</t>
        </is>
      </c>
      <c r="E1105" t="inlineStr">
        <is>
          <t>HULTSFRED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68863-2018</t>
        </is>
      </c>
      <c r="B1106" s="1" t="n">
        <v>43444</v>
      </c>
      <c r="C1106" s="1" t="n">
        <v>45190</v>
      </c>
      <c r="D1106" t="inlineStr">
        <is>
          <t>KALMAR LÄN</t>
        </is>
      </c>
      <c r="E1106" t="inlineStr">
        <is>
          <t>VÄSTERVIK</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68510-2018</t>
        </is>
      </c>
      <c r="B1107" s="1" t="n">
        <v>43444</v>
      </c>
      <c r="C1107" s="1" t="n">
        <v>45190</v>
      </c>
      <c r="D1107" t="inlineStr">
        <is>
          <t>KALMAR LÄN</t>
        </is>
      </c>
      <c r="E1107" t="inlineStr">
        <is>
          <t>HÖGSBY</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68653-2018</t>
        </is>
      </c>
      <c r="B1108" s="1" t="n">
        <v>43444</v>
      </c>
      <c r="C1108" s="1" t="n">
        <v>45190</v>
      </c>
      <c r="D1108" t="inlineStr">
        <is>
          <t>KALMAR LÄN</t>
        </is>
      </c>
      <c r="E1108" t="inlineStr">
        <is>
          <t>MÖNSTERÅS</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68860-2018</t>
        </is>
      </c>
      <c r="B1109" s="1" t="n">
        <v>43444</v>
      </c>
      <c r="C1109" s="1" t="n">
        <v>45190</v>
      </c>
      <c r="D1109" t="inlineStr">
        <is>
          <t>KALMAR LÄN</t>
        </is>
      </c>
      <c r="E1109" t="inlineStr">
        <is>
          <t>VÄSTERVIK</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69710-2018</t>
        </is>
      </c>
      <c r="B1110" s="1" t="n">
        <v>43444</v>
      </c>
      <c r="C1110" s="1" t="n">
        <v>45190</v>
      </c>
      <c r="D1110" t="inlineStr">
        <is>
          <t>KALMAR LÄN</t>
        </is>
      </c>
      <c r="E1110" t="inlineStr">
        <is>
          <t>MÖNSTERÅS</t>
        </is>
      </c>
      <c r="G1110" t="n">
        <v>5.3</v>
      </c>
      <c r="H1110" t="n">
        <v>0</v>
      </c>
      <c r="I1110" t="n">
        <v>0</v>
      </c>
      <c r="J1110" t="n">
        <v>0</v>
      </c>
      <c r="K1110" t="n">
        <v>0</v>
      </c>
      <c r="L1110" t="n">
        <v>0</v>
      </c>
      <c r="M1110" t="n">
        <v>0</v>
      </c>
      <c r="N1110" t="n">
        <v>0</v>
      </c>
      <c r="O1110" t="n">
        <v>0</v>
      </c>
      <c r="P1110" t="n">
        <v>0</v>
      </c>
      <c r="Q1110" t="n">
        <v>0</v>
      </c>
      <c r="R1110" s="2" t="inlineStr"/>
    </row>
    <row r="1111" ht="15" customHeight="1">
      <c r="A1111" t="inlineStr">
        <is>
          <t>A 68859-2018</t>
        </is>
      </c>
      <c r="B1111" s="1" t="n">
        <v>43444</v>
      </c>
      <c r="C1111" s="1" t="n">
        <v>45190</v>
      </c>
      <c r="D1111" t="inlineStr">
        <is>
          <t>KALMAR LÄN</t>
        </is>
      </c>
      <c r="E1111" t="inlineStr">
        <is>
          <t>VÄSTERVIK</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68866-2018</t>
        </is>
      </c>
      <c r="B1112" s="1" t="n">
        <v>43444</v>
      </c>
      <c r="C1112" s="1" t="n">
        <v>45190</v>
      </c>
      <c r="D1112" t="inlineStr">
        <is>
          <t>KALMAR LÄN</t>
        </is>
      </c>
      <c r="E1112" t="inlineStr">
        <is>
          <t>VÄSTERVIK</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69704-2018</t>
        </is>
      </c>
      <c r="B1113" s="1" t="n">
        <v>43444</v>
      </c>
      <c r="C1113" s="1" t="n">
        <v>45190</v>
      </c>
      <c r="D1113" t="inlineStr">
        <is>
          <t>KALMAR LÄN</t>
        </is>
      </c>
      <c r="E1113" t="inlineStr">
        <is>
          <t>MÖNSTERÅS</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68979-2018</t>
        </is>
      </c>
      <c r="B1114" s="1" t="n">
        <v>43445</v>
      </c>
      <c r="C1114" s="1" t="n">
        <v>45190</v>
      </c>
      <c r="D1114" t="inlineStr">
        <is>
          <t>KALMAR LÄN</t>
        </is>
      </c>
      <c r="E1114" t="inlineStr">
        <is>
          <t>EMMABODA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70321-2018</t>
        </is>
      </c>
      <c r="B1115" s="1" t="n">
        <v>43445</v>
      </c>
      <c r="C1115" s="1" t="n">
        <v>45190</v>
      </c>
      <c r="D1115" t="inlineStr">
        <is>
          <t>KALMAR LÄN</t>
        </is>
      </c>
      <c r="E1115" t="inlineStr">
        <is>
          <t>NYBRO</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69186-2018</t>
        </is>
      </c>
      <c r="B1116" s="1" t="n">
        <v>43445</v>
      </c>
      <c r="C1116" s="1" t="n">
        <v>45190</v>
      </c>
      <c r="D1116" t="inlineStr">
        <is>
          <t>KALMAR LÄN</t>
        </is>
      </c>
      <c r="E1116" t="inlineStr">
        <is>
          <t>KALMAR</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68953-2018</t>
        </is>
      </c>
      <c r="B1117" s="1" t="n">
        <v>43445</v>
      </c>
      <c r="C1117" s="1" t="n">
        <v>45190</v>
      </c>
      <c r="D1117" t="inlineStr">
        <is>
          <t>KALMAR LÄN</t>
        </is>
      </c>
      <c r="E1117" t="inlineStr">
        <is>
          <t>HÖGSBY</t>
        </is>
      </c>
      <c r="G1117" t="n">
        <v>9.4</v>
      </c>
      <c r="H1117" t="n">
        <v>0</v>
      </c>
      <c r="I1117" t="n">
        <v>0</v>
      </c>
      <c r="J1117" t="n">
        <v>0</v>
      </c>
      <c r="K1117" t="n">
        <v>0</v>
      </c>
      <c r="L1117" t="n">
        <v>0</v>
      </c>
      <c r="M1117" t="n">
        <v>0</v>
      </c>
      <c r="N1117" t="n">
        <v>0</v>
      </c>
      <c r="O1117" t="n">
        <v>0</v>
      </c>
      <c r="P1117" t="n">
        <v>0</v>
      </c>
      <c r="Q1117" t="n">
        <v>0</v>
      </c>
      <c r="R1117" s="2" t="inlineStr"/>
    </row>
    <row r="1118" ht="15" customHeight="1">
      <c r="A1118" t="inlineStr">
        <is>
          <t>A 69068-2018</t>
        </is>
      </c>
      <c r="B1118" s="1" t="n">
        <v>43445</v>
      </c>
      <c r="C1118" s="1" t="n">
        <v>45190</v>
      </c>
      <c r="D1118" t="inlineStr">
        <is>
          <t>KALMAR LÄN</t>
        </is>
      </c>
      <c r="E1118" t="inlineStr">
        <is>
          <t>NYBRO</t>
        </is>
      </c>
      <c r="G1118" t="n">
        <v>12.2</v>
      </c>
      <c r="H1118" t="n">
        <v>0</v>
      </c>
      <c r="I1118" t="n">
        <v>0</v>
      </c>
      <c r="J1118" t="n">
        <v>0</v>
      </c>
      <c r="K1118" t="n">
        <v>0</v>
      </c>
      <c r="L1118" t="n">
        <v>0</v>
      </c>
      <c r="M1118" t="n">
        <v>0</v>
      </c>
      <c r="N1118" t="n">
        <v>0</v>
      </c>
      <c r="O1118" t="n">
        <v>0</v>
      </c>
      <c r="P1118" t="n">
        <v>0</v>
      </c>
      <c r="Q1118" t="n">
        <v>0</v>
      </c>
      <c r="R1118" s="2" t="inlineStr"/>
    </row>
    <row r="1119" ht="15" customHeight="1">
      <c r="A1119" t="inlineStr">
        <is>
          <t>A 70114-2018</t>
        </is>
      </c>
      <c r="B1119" s="1" t="n">
        <v>43445</v>
      </c>
      <c r="C1119" s="1" t="n">
        <v>45190</v>
      </c>
      <c r="D1119" t="inlineStr">
        <is>
          <t>KALMAR LÄN</t>
        </is>
      </c>
      <c r="E1119" t="inlineStr">
        <is>
          <t>HULTSFRED</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69429-2018</t>
        </is>
      </c>
      <c r="B1120" s="1" t="n">
        <v>43446</v>
      </c>
      <c r="C1120" s="1" t="n">
        <v>45190</v>
      </c>
      <c r="D1120" t="inlineStr">
        <is>
          <t>KALMAR LÄN</t>
        </is>
      </c>
      <c r="E1120" t="inlineStr">
        <is>
          <t>KALMAR</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70344-2018</t>
        </is>
      </c>
      <c r="B1121" s="1" t="n">
        <v>43446</v>
      </c>
      <c r="C1121" s="1" t="n">
        <v>45190</v>
      </c>
      <c r="D1121" t="inlineStr">
        <is>
          <t>KALMAR LÄN</t>
        </is>
      </c>
      <c r="E1121" t="inlineStr">
        <is>
          <t>HÖGSBY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69260-2018</t>
        </is>
      </c>
      <c r="B1122" s="1" t="n">
        <v>43446</v>
      </c>
      <c r="C1122" s="1" t="n">
        <v>45190</v>
      </c>
      <c r="D1122" t="inlineStr">
        <is>
          <t>KALMAR LÄN</t>
        </is>
      </c>
      <c r="E1122" t="inlineStr">
        <is>
          <t>NYBRO</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69331-2018</t>
        </is>
      </c>
      <c r="B1123" s="1" t="n">
        <v>43446</v>
      </c>
      <c r="C1123" s="1" t="n">
        <v>45190</v>
      </c>
      <c r="D1123" t="inlineStr">
        <is>
          <t>KALMAR LÄN</t>
        </is>
      </c>
      <c r="E1123" t="inlineStr">
        <is>
          <t>HULTSFRED</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70340-2018</t>
        </is>
      </c>
      <c r="B1124" s="1" t="n">
        <v>43446</v>
      </c>
      <c r="C1124" s="1" t="n">
        <v>45190</v>
      </c>
      <c r="D1124" t="inlineStr">
        <is>
          <t>KALMAR LÄN</t>
        </is>
      </c>
      <c r="E1124" t="inlineStr">
        <is>
          <t>TORSÅS</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69491-2018</t>
        </is>
      </c>
      <c r="B1125" s="1" t="n">
        <v>43446</v>
      </c>
      <c r="C1125" s="1" t="n">
        <v>45190</v>
      </c>
      <c r="D1125" t="inlineStr">
        <is>
          <t>KALMAR LÄN</t>
        </is>
      </c>
      <c r="E1125" t="inlineStr">
        <is>
          <t>TORSÅS</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70330-2018</t>
        </is>
      </c>
      <c r="B1126" s="1" t="n">
        <v>43446</v>
      </c>
      <c r="C1126" s="1" t="n">
        <v>45190</v>
      </c>
      <c r="D1126" t="inlineStr">
        <is>
          <t>KALMAR LÄN</t>
        </is>
      </c>
      <c r="E1126" t="inlineStr">
        <is>
          <t>MÖNSTERÅS</t>
        </is>
      </c>
      <c r="F1126" t="inlineStr">
        <is>
          <t>Övriga Aktiebolag</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69329-2018</t>
        </is>
      </c>
      <c r="B1127" s="1" t="n">
        <v>43446</v>
      </c>
      <c r="C1127" s="1" t="n">
        <v>45190</v>
      </c>
      <c r="D1127" t="inlineStr">
        <is>
          <t>KALMAR LÄN</t>
        </is>
      </c>
      <c r="E1127" t="inlineStr">
        <is>
          <t>HULTSFRED</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70715-2018</t>
        </is>
      </c>
      <c r="B1128" s="1" t="n">
        <v>43447</v>
      </c>
      <c r="C1128" s="1" t="n">
        <v>45190</v>
      </c>
      <c r="D1128" t="inlineStr">
        <is>
          <t>KALMAR LÄN</t>
        </is>
      </c>
      <c r="E1128" t="inlineStr">
        <is>
          <t>OSKARSHAMN</t>
        </is>
      </c>
      <c r="F1128" t="inlineStr">
        <is>
          <t>Övriga Aktiebolag</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69857-2018</t>
        </is>
      </c>
      <c r="B1129" s="1" t="n">
        <v>43447</v>
      </c>
      <c r="C1129" s="1" t="n">
        <v>45190</v>
      </c>
      <c r="D1129" t="inlineStr">
        <is>
          <t>KALMAR LÄN</t>
        </is>
      </c>
      <c r="E1129" t="inlineStr">
        <is>
          <t>VIMMERBY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69872-2018</t>
        </is>
      </c>
      <c r="B1130" s="1" t="n">
        <v>43447</v>
      </c>
      <c r="C1130" s="1" t="n">
        <v>45190</v>
      </c>
      <c r="D1130" t="inlineStr">
        <is>
          <t>KALMAR LÄN</t>
        </is>
      </c>
      <c r="E1130" t="inlineStr">
        <is>
          <t>OSKARSHAMN</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70413-2018</t>
        </is>
      </c>
      <c r="B1131" s="1" t="n">
        <v>43447</v>
      </c>
      <c r="C1131" s="1" t="n">
        <v>45190</v>
      </c>
      <c r="D1131" t="inlineStr">
        <is>
          <t>KALMAR LÄN</t>
        </is>
      </c>
      <c r="E1131" t="inlineStr">
        <is>
          <t>VIMMERBY</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70500-2018</t>
        </is>
      </c>
      <c r="B1132" s="1" t="n">
        <v>43447</v>
      </c>
      <c r="C1132" s="1" t="n">
        <v>45190</v>
      </c>
      <c r="D1132" t="inlineStr">
        <is>
          <t>KALMAR LÄN</t>
        </is>
      </c>
      <c r="E1132" t="inlineStr">
        <is>
          <t>VÄSTERVIK</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70414-2018</t>
        </is>
      </c>
      <c r="B1133" s="1" t="n">
        <v>43447</v>
      </c>
      <c r="C1133" s="1" t="n">
        <v>45190</v>
      </c>
      <c r="D1133" t="inlineStr">
        <is>
          <t>KALMAR LÄN</t>
        </is>
      </c>
      <c r="E1133" t="inlineStr">
        <is>
          <t>VIMMERBY</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70503-2018</t>
        </is>
      </c>
      <c r="B1134" s="1" t="n">
        <v>43447</v>
      </c>
      <c r="C1134" s="1" t="n">
        <v>45190</v>
      </c>
      <c r="D1134" t="inlineStr">
        <is>
          <t>KALMAR LÄN</t>
        </is>
      </c>
      <c r="E1134" t="inlineStr">
        <is>
          <t>VÄSTERVIK</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69697-2018</t>
        </is>
      </c>
      <c r="B1135" s="1" t="n">
        <v>43447</v>
      </c>
      <c r="C1135" s="1" t="n">
        <v>45190</v>
      </c>
      <c r="D1135" t="inlineStr">
        <is>
          <t>KALMAR LÄN</t>
        </is>
      </c>
      <c r="E1135" t="inlineStr">
        <is>
          <t>OSKARSHAMN</t>
        </is>
      </c>
      <c r="G1135" t="n">
        <v>10.6</v>
      </c>
      <c r="H1135" t="n">
        <v>0</v>
      </c>
      <c r="I1135" t="n">
        <v>0</v>
      </c>
      <c r="J1135" t="n">
        <v>0</v>
      </c>
      <c r="K1135" t="n">
        <v>0</v>
      </c>
      <c r="L1135" t="n">
        <v>0</v>
      </c>
      <c r="M1135" t="n">
        <v>0</v>
      </c>
      <c r="N1135" t="n">
        <v>0</v>
      </c>
      <c r="O1135" t="n">
        <v>0</v>
      </c>
      <c r="P1135" t="n">
        <v>0</v>
      </c>
      <c r="Q1135" t="n">
        <v>0</v>
      </c>
      <c r="R1135" s="2" t="inlineStr"/>
    </row>
    <row r="1136" ht="15" customHeight="1">
      <c r="A1136" t="inlineStr">
        <is>
          <t>A 69706-2018</t>
        </is>
      </c>
      <c r="B1136" s="1" t="n">
        <v>43447</v>
      </c>
      <c r="C1136" s="1" t="n">
        <v>45190</v>
      </c>
      <c r="D1136" t="inlineStr">
        <is>
          <t>KALMAR LÄN</t>
        </is>
      </c>
      <c r="E1136" t="inlineStr">
        <is>
          <t>OSKARSHAMN</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70201-2018</t>
        </is>
      </c>
      <c r="B1137" s="1" t="n">
        <v>43448</v>
      </c>
      <c r="C1137" s="1" t="n">
        <v>45190</v>
      </c>
      <c r="D1137" t="inlineStr">
        <is>
          <t>KALMAR LÄN</t>
        </is>
      </c>
      <c r="E1137" t="inlineStr">
        <is>
          <t>HULTSFRED</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70939-2018</t>
        </is>
      </c>
      <c r="B1138" s="1" t="n">
        <v>43448</v>
      </c>
      <c r="C1138" s="1" t="n">
        <v>45190</v>
      </c>
      <c r="D1138" t="inlineStr">
        <is>
          <t>KALMAR LÄN</t>
        </is>
      </c>
      <c r="E1138" t="inlineStr">
        <is>
          <t>KALMAR</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71424-2018</t>
        </is>
      </c>
      <c r="B1139" s="1" t="n">
        <v>43448</v>
      </c>
      <c r="C1139" s="1" t="n">
        <v>45190</v>
      </c>
      <c r="D1139" t="inlineStr">
        <is>
          <t>KALMAR LÄN</t>
        </is>
      </c>
      <c r="E1139" t="inlineStr">
        <is>
          <t>NYBRO</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69990-2018</t>
        </is>
      </c>
      <c r="B1140" s="1" t="n">
        <v>43448</v>
      </c>
      <c r="C1140" s="1" t="n">
        <v>45190</v>
      </c>
      <c r="D1140" t="inlineStr">
        <is>
          <t>KALMAR LÄN</t>
        </is>
      </c>
      <c r="E1140" t="inlineStr">
        <is>
          <t>HULTSFRED</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70167-2018</t>
        </is>
      </c>
      <c r="B1141" s="1" t="n">
        <v>43448</v>
      </c>
      <c r="C1141" s="1" t="n">
        <v>45190</v>
      </c>
      <c r="D1141" t="inlineStr">
        <is>
          <t>KALMAR LÄN</t>
        </is>
      </c>
      <c r="E1141" t="inlineStr">
        <is>
          <t>EMMABODA</t>
        </is>
      </c>
      <c r="G1141" t="n">
        <v>10.1</v>
      </c>
      <c r="H1141" t="n">
        <v>0</v>
      </c>
      <c r="I1141" t="n">
        <v>0</v>
      </c>
      <c r="J1141" t="n">
        <v>0</v>
      </c>
      <c r="K1141" t="n">
        <v>0</v>
      </c>
      <c r="L1141" t="n">
        <v>0</v>
      </c>
      <c r="M1141" t="n">
        <v>0</v>
      </c>
      <c r="N1141" t="n">
        <v>0</v>
      </c>
      <c r="O1141" t="n">
        <v>0</v>
      </c>
      <c r="P1141" t="n">
        <v>0</v>
      </c>
      <c r="Q1141" t="n">
        <v>0</v>
      </c>
      <c r="R1141" s="2" t="inlineStr"/>
    </row>
    <row r="1142" ht="15" customHeight="1">
      <c r="A1142" t="inlineStr">
        <is>
          <t>A 70103-2018</t>
        </is>
      </c>
      <c r="B1142" s="1" t="n">
        <v>43448</v>
      </c>
      <c r="C1142" s="1" t="n">
        <v>45190</v>
      </c>
      <c r="D1142" t="inlineStr">
        <is>
          <t>KALMAR LÄN</t>
        </is>
      </c>
      <c r="E1142" t="inlineStr">
        <is>
          <t>VÄSTERVIK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70265-2018</t>
        </is>
      </c>
      <c r="B1143" s="1" t="n">
        <v>43449</v>
      </c>
      <c r="C1143" s="1" t="n">
        <v>45190</v>
      </c>
      <c r="D1143" t="inlineStr">
        <is>
          <t>KALMAR LÄN</t>
        </is>
      </c>
      <c r="E1143" t="inlineStr">
        <is>
          <t>NYBRO</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71441-2018</t>
        </is>
      </c>
      <c r="B1144" s="1" t="n">
        <v>43451</v>
      </c>
      <c r="C1144" s="1" t="n">
        <v>45190</v>
      </c>
      <c r="D1144" t="inlineStr">
        <is>
          <t>KALMAR LÄN</t>
        </is>
      </c>
      <c r="E1144" t="inlineStr">
        <is>
          <t>MÖNSTERÅS</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70747-2018</t>
        </is>
      </c>
      <c r="B1145" s="1" t="n">
        <v>43451</v>
      </c>
      <c r="C1145" s="1" t="n">
        <v>45190</v>
      </c>
      <c r="D1145" t="inlineStr">
        <is>
          <t>KALMAR LÄN</t>
        </is>
      </c>
      <c r="E1145" t="inlineStr">
        <is>
          <t>KALMAR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70620-2018</t>
        </is>
      </c>
      <c r="B1146" s="1" t="n">
        <v>43451</v>
      </c>
      <c r="C1146" s="1" t="n">
        <v>45190</v>
      </c>
      <c r="D1146" t="inlineStr">
        <is>
          <t>KALMAR LÄN</t>
        </is>
      </c>
      <c r="E1146" t="inlineStr">
        <is>
          <t>KALMAR</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70563-2018</t>
        </is>
      </c>
      <c r="B1147" s="1" t="n">
        <v>43451</v>
      </c>
      <c r="C1147" s="1" t="n">
        <v>45190</v>
      </c>
      <c r="D1147" t="inlineStr">
        <is>
          <t>KALMAR LÄN</t>
        </is>
      </c>
      <c r="E1147" t="inlineStr">
        <is>
          <t>VIMMERBY</t>
        </is>
      </c>
      <c r="G1147" t="n">
        <v>7.1</v>
      </c>
      <c r="H1147" t="n">
        <v>0</v>
      </c>
      <c r="I1147" t="n">
        <v>0</v>
      </c>
      <c r="J1147" t="n">
        <v>0</v>
      </c>
      <c r="K1147" t="n">
        <v>0</v>
      </c>
      <c r="L1147" t="n">
        <v>0</v>
      </c>
      <c r="M1147" t="n">
        <v>0</v>
      </c>
      <c r="N1147" t="n">
        <v>0</v>
      </c>
      <c r="O1147" t="n">
        <v>0</v>
      </c>
      <c r="P1147" t="n">
        <v>0</v>
      </c>
      <c r="Q1147" t="n">
        <v>0</v>
      </c>
      <c r="R1147" s="2" t="inlineStr"/>
    </row>
    <row r="1148" ht="15" customHeight="1">
      <c r="A1148" t="inlineStr">
        <is>
          <t>A 70748-2018</t>
        </is>
      </c>
      <c r="B1148" s="1" t="n">
        <v>43451</v>
      </c>
      <c r="C1148" s="1" t="n">
        <v>45190</v>
      </c>
      <c r="D1148" t="inlineStr">
        <is>
          <t>KALMAR LÄN</t>
        </is>
      </c>
      <c r="E1148" t="inlineStr">
        <is>
          <t>KALMAR</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70762-2018</t>
        </is>
      </c>
      <c r="B1149" s="1" t="n">
        <v>43451</v>
      </c>
      <c r="C1149" s="1" t="n">
        <v>45190</v>
      </c>
      <c r="D1149" t="inlineStr">
        <is>
          <t>KALMAR LÄN</t>
        </is>
      </c>
      <c r="E1149" t="inlineStr">
        <is>
          <t>KALMAR</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70884-2018</t>
        </is>
      </c>
      <c r="B1150" s="1" t="n">
        <v>43452</v>
      </c>
      <c r="C1150" s="1" t="n">
        <v>45190</v>
      </c>
      <c r="D1150" t="inlineStr">
        <is>
          <t>KALMAR LÄN</t>
        </is>
      </c>
      <c r="E1150" t="inlineStr">
        <is>
          <t>NYBRO</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71475-2018</t>
        </is>
      </c>
      <c r="B1151" s="1" t="n">
        <v>43452</v>
      </c>
      <c r="C1151" s="1" t="n">
        <v>45190</v>
      </c>
      <c r="D1151" t="inlineStr">
        <is>
          <t>KALMAR LÄN</t>
        </is>
      </c>
      <c r="E1151" t="inlineStr">
        <is>
          <t>NYBRO</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71003-2018</t>
        </is>
      </c>
      <c r="B1152" s="1" t="n">
        <v>43452</v>
      </c>
      <c r="C1152" s="1" t="n">
        <v>45190</v>
      </c>
      <c r="D1152" t="inlineStr">
        <is>
          <t>KALMAR LÄN</t>
        </is>
      </c>
      <c r="E1152" t="inlineStr">
        <is>
          <t>VIMMERBY</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71061-2018</t>
        </is>
      </c>
      <c r="B1153" s="1" t="n">
        <v>43452</v>
      </c>
      <c r="C1153" s="1" t="n">
        <v>45190</v>
      </c>
      <c r="D1153" t="inlineStr">
        <is>
          <t>KALMAR LÄN</t>
        </is>
      </c>
      <c r="E1153" t="inlineStr">
        <is>
          <t>OSKARSHAMN</t>
        </is>
      </c>
      <c r="G1153" t="n">
        <v>11.7</v>
      </c>
      <c r="H1153" t="n">
        <v>0</v>
      </c>
      <c r="I1153" t="n">
        <v>0</v>
      </c>
      <c r="J1153" t="n">
        <v>0</v>
      </c>
      <c r="K1153" t="n">
        <v>0</v>
      </c>
      <c r="L1153" t="n">
        <v>0</v>
      </c>
      <c r="M1153" t="n">
        <v>0</v>
      </c>
      <c r="N1153" t="n">
        <v>0</v>
      </c>
      <c r="O1153" t="n">
        <v>0</v>
      </c>
      <c r="P1153" t="n">
        <v>0</v>
      </c>
      <c r="Q1153" t="n">
        <v>0</v>
      </c>
      <c r="R1153" s="2" t="inlineStr"/>
    </row>
    <row r="1154" ht="15" customHeight="1">
      <c r="A1154" t="inlineStr">
        <is>
          <t>A 71133-2018</t>
        </is>
      </c>
      <c r="B1154" s="1" t="n">
        <v>43452</v>
      </c>
      <c r="C1154" s="1" t="n">
        <v>45190</v>
      </c>
      <c r="D1154" t="inlineStr">
        <is>
          <t>KALMAR LÄN</t>
        </is>
      </c>
      <c r="E1154" t="inlineStr">
        <is>
          <t>TORSÅS</t>
        </is>
      </c>
      <c r="G1154" t="n">
        <v>3.2</v>
      </c>
      <c r="H1154" t="n">
        <v>0</v>
      </c>
      <c r="I1154" t="n">
        <v>0</v>
      </c>
      <c r="J1154" t="n">
        <v>0</v>
      </c>
      <c r="K1154" t="n">
        <v>0</v>
      </c>
      <c r="L1154" t="n">
        <v>0</v>
      </c>
      <c r="M1154" t="n">
        <v>0</v>
      </c>
      <c r="N1154" t="n">
        <v>0</v>
      </c>
      <c r="O1154" t="n">
        <v>0</v>
      </c>
      <c r="P1154" t="n">
        <v>0</v>
      </c>
      <c r="Q1154" t="n">
        <v>0</v>
      </c>
      <c r="R1154" s="2" t="inlineStr"/>
    </row>
    <row r="1155" ht="15" customHeight="1">
      <c r="A1155" t="inlineStr">
        <is>
          <t>A 70900-2018</t>
        </is>
      </c>
      <c r="B1155" s="1" t="n">
        <v>43452</v>
      </c>
      <c r="C1155" s="1" t="n">
        <v>45190</v>
      </c>
      <c r="D1155" t="inlineStr">
        <is>
          <t>KALMAR LÄN</t>
        </is>
      </c>
      <c r="E1155" t="inlineStr">
        <is>
          <t>NYBRO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71144-2018</t>
        </is>
      </c>
      <c r="B1156" s="1" t="n">
        <v>43452</v>
      </c>
      <c r="C1156" s="1" t="n">
        <v>45190</v>
      </c>
      <c r="D1156" t="inlineStr">
        <is>
          <t>KALMAR LÄN</t>
        </is>
      </c>
      <c r="E1156" t="inlineStr">
        <is>
          <t>EMMABODA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71463-2018</t>
        </is>
      </c>
      <c r="B1157" s="1" t="n">
        <v>43452</v>
      </c>
      <c r="C1157" s="1" t="n">
        <v>45190</v>
      </c>
      <c r="D1157" t="inlineStr">
        <is>
          <t>KALMAR LÄN</t>
        </is>
      </c>
      <c r="E1157" t="inlineStr">
        <is>
          <t>EMMABODA</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70856-2018</t>
        </is>
      </c>
      <c r="B1158" s="1" t="n">
        <v>43452</v>
      </c>
      <c r="C1158" s="1" t="n">
        <v>45190</v>
      </c>
      <c r="D1158" t="inlineStr">
        <is>
          <t>KALMAR LÄN</t>
        </is>
      </c>
      <c r="E1158" t="inlineStr">
        <is>
          <t>HÖGSBY</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70886-2018</t>
        </is>
      </c>
      <c r="B1159" s="1" t="n">
        <v>43452</v>
      </c>
      <c r="C1159" s="1" t="n">
        <v>45190</v>
      </c>
      <c r="D1159" t="inlineStr">
        <is>
          <t>KALMAR LÄN</t>
        </is>
      </c>
      <c r="E1159" t="inlineStr">
        <is>
          <t>NYBRO</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71060-2018</t>
        </is>
      </c>
      <c r="B1160" s="1" t="n">
        <v>43452</v>
      </c>
      <c r="C1160" s="1" t="n">
        <v>45190</v>
      </c>
      <c r="D1160" t="inlineStr">
        <is>
          <t>KALMAR LÄN</t>
        </is>
      </c>
      <c r="E1160" t="inlineStr">
        <is>
          <t>OSKARSHAMN</t>
        </is>
      </c>
      <c r="G1160" t="n">
        <v>13.8</v>
      </c>
      <c r="H1160" t="n">
        <v>0</v>
      </c>
      <c r="I1160" t="n">
        <v>0</v>
      </c>
      <c r="J1160" t="n">
        <v>0</v>
      </c>
      <c r="K1160" t="n">
        <v>0</v>
      </c>
      <c r="L1160" t="n">
        <v>0</v>
      </c>
      <c r="M1160" t="n">
        <v>0</v>
      </c>
      <c r="N1160" t="n">
        <v>0</v>
      </c>
      <c r="O1160" t="n">
        <v>0</v>
      </c>
      <c r="P1160" t="n">
        <v>0</v>
      </c>
      <c r="Q1160" t="n">
        <v>0</v>
      </c>
      <c r="R1160" s="2" t="inlineStr"/>
    </row>
    <row r="1161" ht="15" customHeight="1">
      <c r="A1161" t="inlineStr">
        <is>
          <t>A 71116-2018</t>
        </is>
      </c>
      <c r="B1161" s="1" t="n">
        <v>43452</v>
      </c>
      <c r="C1161" s="1" t="n">
        <v>45190</v>
      </c>
      <c r="D1161" t="inlineStr">
        <is>
          <t>KALMAR LÄN</t>
        </is>
      </c>
      <c r="E1161" t="inlineStr">
        <is>
          <t>NYBRO</t>
        </is>
      </c>
      <c r="G1161" t="n">
        <v>5.2</v>
      </c>
      <c r="H1161" t="n">
        <v>0</v>
      </c>
      <c r="I1161" t="n">
        <v>0</v>
      </c>
      <c r="J1161" t="n">
        <v>0</v>
      </c>
      <c r="K1161" t="n">
        <v>0</v>
      </c>
      <c r="L1161" t="n">
        <v>0</v>
      </c>
      <c r="M1161" t="n">
        <v>0</v>
      </c>
      <c r="N1161" t="n">
        <v>0</v>
      </c>
      <c r="O1161" t="n">
        <v>0</v>
      </c>
      <c r="P1161" t="n">
        <v>0</v>
      </c>
      <c r="Q1161" t="n">
        <v>0</v>
      </c>
      <c r="R1161" s="2" t="inlineStr"/>
    </row>
    <row r="1162" ht="15" customHeight="1">
      <c r="A1162" t="inlineStr">
        <is>
          <t>A 71755-2018</t>
        </is>
      </c>
      <c r="B1162" s="1" t="n">
        <v>43453</v>
      </c>
      <c r="C1162" s="1" t="n">
        <v>45190</v>
      </c>
      <c r="D1162" t="inlineStr">
        <is>
          <t>KALMAR LÄN</t>
        </is>
      </c>
      <c r="E1162" t="inlineStr">
        <is>
          <t>EMMABODA</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72133-2018</t>
        </is>
      </c>
      <c r="B1163" s="1" t="n">
        <v>43453</v>
      </c>
      <c r="C1163" s="1" t="n">
        <v>45190</v>
      </c>
      <c r="D1163" t="inlineStr">
        <is>
          <t>KALMAR LÄN</t>
        </is>
      </c>
      <c r="E1163" t="inlineStr">
        <is>
          <t>OSKARSHAMN</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71534-2018</t>
        </is>
      </c>
      <c r="B1164" s="1" t="n">
        <v>43454</v>
      </c>
      <c r="C1164" s="1" t="n">
        <v>45190</v>
      </c>
      <c r="D1164" t="inlineStr">
        <is>
          <t>KALMAR LÄN</t>
        </is>
      </c>
      <c r="E1164" t="inlineStr">
        <is>
          <t>NYBRO</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71640-2018</t>
        </is>
      </c>
      <c r="B1165" s="1" t="n">
        <v>43454</v>
      </c>
      <c r="C1165" s="1" t="n">
        <v>45190</v>
      </c>
      <c r="D1165" t="inlineStr">
        <is>
          <t>KALMAR LÄN</t>
        </is>
      </c>
      <c r="E1165" t="inlineStr">
        <is>
          <t>OSKARSHAMN</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72554-2018</t>
        </is>
      </c>
      <c r="B1166" s="1" t="n">
        <v>43454</v>
      </c>
      <c r="C1166" s="1" t="n">
        <v>45190</v>
      </c>
      <c r="D1166" t="inlineStr">
        <is>
          <t>KALMAR LÄN</t>
        </is>
      </c>
      <c r="E1166" t="inlineStr">
        <is>
          <t>NYBRO</t>
        </is>
      </c>
      <c r="F1166" t="inlineStr">
        <is>
          <t>Kyrkan</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71536-2018</t>
        </is>
      </c>
      <c r="B1167" s="1" t="n">
        <v>43454</v>
      </c>
      <c r="C1167" s="1" t="n">
        <v>45190</v>
      </c>
      <c r="D1167" t="inlineStr">
        <is>
          <t>KALMAR LÄN</t>
        </is>
      </c>
      <c r="E1167" t="inlineStr">
        <is>
          <t>NYBRO</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71657-2018</t>
        </is>
      </c>
      <c r="B1168" s="1" t="n">
        <v>43454</v>
      </c>
      <c r="C1168" s="1" t="n">
        <v>45190</v>
      </c>
      <c r="D1168" t="inlineStr">
        <is>
          <t>KALMAR LÄN</t>
        </is>
      </c>
      <c r="E1168" t="inlineStr">
        <is>
          <t>VÄSTERVIK</t>
        </is>
      </c>
      <c r="G1168" t="n">
        <v>7.3</v>
      </c>
      <c r="H1168" t="n">
        <v>0</v>
      </c>
      <c r="I1168" t="n">
        <v>0</v>
      </c>
      <c r="J1168" t="n">
        <v>0</v>
      </c>
      <c r="K1168" t="n">
        <v>0</v>
      </c>
      <c r="L1168" t="n">
        <v>0</v>
      </c>
      <c r="M1168" t="n">
        <v>0</v>
      </c>
      <c r="N1168" t="n">
        <v>0</v>
      </c>
      <c r="O1168" t="n">
        <v>0</v>
      </c>
      <c r="P1168" t="n">
        <v>0</v>
      </c>
      <c r="Q1168" t="n">
        <v>0</v>
      </c>
      <c r="R1168" s="2" t="inlineStr"/>
    </row>
    <row r="1169" ht="15" customHeight="1">
      <c r="A1169" t="inlineStr">
        <is>
          <t>A 71693-2018</t>
        </is>
      </c>
      <c r="B1169" s="1" t="n">
        <v>43454</v>
      </c>
      <c r="C1169" s="1" t="n">
        <v>45190</v>
      </c>
      <c r="D1169" t="inlineStr">
        <is>
          <t>KALMAR LÄN</t>
        </is>
      </c>
      <c r="E1169" t="inlineStr">
        <is>
          <t>EMMABODA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71841-2018</t>
        </is>
      </c>
      <c r="B1170" s="1" t="n">
        <v>43454</v>
      </c>
      <c r="C1170" s="1" t="n">
        <v>45190</v>
      </c>
      <c r="D1170" t="inlineStr">
        <is>
          <t>KALMAR LÄN</t>
        </is>
      </c>
      <c r="E1170" t="inlineStr">
        <is>
          <t>HULTSFRED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72561-2018</t>
        </is>
      </c>
      <c r="B1171" s="1" t="n">
        <v>43454</v>
      </c>
      <c r="C1171" s="1" t="n">
        <v>45190</v>
      </c>
      <c r="D1171" t="inlineStr">
        <is>
          <t>KALMAR LÄN</t>
        </is>
      </c>
      <c r="E1171" t="inlineStr">
        <is>
          <t>NYBRO</t>
        </is>
      </c>
      <c r="G1171" t="n">
        <v>7.9</v>
      </c>
      <c r="H1171" t="n">
        <v>0</v>
      </c>
      <c r="I1171" t="n">
        <v>0</v>
      </c>
      <c r="J1171" t="n">
        <v>0</v>
      </c>
      <c r="K1171" t="n">
        <v>0</v>
      </c>
      <c r="L1171" t="n">
        <v>0</v>
      </c>
      <c r="M1171" t="n">
        <v>0</v>
      </c>
      <c r="N1171" t="n">
        <v>0</v>
      </c>
      <c r="O1171" t="n">
        <v>0</v>
      </c>
      <c r="P1171" t="n">
        <v>0</v>
      </c>
      <c r="Q1171" t="n">
        <v>0</v>
      </c>
      <c r="R1171" s="2" t="inlineStr"/>
    </row>
    <row r="1172" ht="15" customHeight="1">
      <c r="A1172" t="inlineStr">
        <is>
          <t>A 71645-2018</t>
        </is>
      </c>
      <c r="B1172" s="1" t="n">
        <v>43454</v>
      </c>
      <c r="C1172" s="1" t="n">
        <v>45190</v>
      </c>
      <c r="D1172" t="inlineStr">
        <is>
          <t>KALMAR LÄN</t>
        </is>
      </c>
      <c r="E1172" t="inlineStr">
        <is>
          <t>VÄSTERVIK</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71690-2018</t>
        </is>
      </c>
      <c r="B1173" s="1" t="n">
        <v>43454</v>
      </c>
      <c r="C1173" s="1" t="n">
        <v>45190</v>
      </c>
      <c r="D1173" t="inlineStr">
        <is>
          <t>KALMAR LÄN</t>
        </is>
      </c>
      <c r="E1173" t="inlineStr">
        <is>
          <t>VÄSTERVIK</t>
        </is>
      </c>
      <c r="G1173" t="n">
        <v>7.7</v>
      </c>
      <c r="H1173" t="n">
        <v>0</v>
      </c>
      <c r="I1173" t="n">
        <v>0</v>
      </c>
      <c r="J1173" t="n">
        <v>0</v>
      </c>
      <c r="K1173" t="n">
        <v>0</v>
      </c>
      <c r="L1173" t="n">
        <v>0</v>
      </c>
      <c r="M1173" t="n">
        <v>0</v>
      </c>
      <c r="N1173" t="n">
        <v>0</v>
      </c>
      <c r="O1173" t="n">
        <v>0</v>
      </c>
      <c r="P1173" t="n">
        <v>0</v>
      </c>
      <c r="Q1173" t="n">
        <v>0</v>
      </c>
      <c r="R1173" s="2" t="inlineStr"/>
    </row>
    <row r="1174" ht="15" customHeight="1">
      <c r="A1174" t="inlineStr">
        <is>
          <t>A 71713-2018</t>
        </is>
      </c>
      <c r="B1174" s="1" t="n">
        <v>43454</v>
      </c>
      <c r="C1174" s="1" t="n">
        <v>45190</v>
      </c>
      <c r="D1174" t="inlineStr">
        <is>
          <t>KALMAR LÄN</t>
        </is>
      </c>
      <c r="E1174" t="inlineStr">
        <is>
          <t>VÄSTERVIK</t>
        </is>
      </c>
      <c r="G1174" t="n">
        <v>13.8</v>
      </c>
      <c r="H1174" t="n">
        <v>0</v>
      </c>
      <c r="I1174" t="n">
        <v>0</v>
      </c>
      <c r="J1174" t="n">
        <v>0</v>
      </c>
      <c r="K1174" t="n">
        <v>0</v>
      </c>
      <c r="L1174" t="n">
        <v>0</v>
      </c>
      <c r="M1174" t="n">
        <v>0</v>
      </c>
      <c r="N1174" t="n">
        <v>0</v>
      </c>
      <c r="O1174" t="n">
        <v>0</v>
      </c>
      <c r="P1174" t="n">
        <v>0</v>
      </c>
      <c r="Q1174" t="n">
        <v>0</v>
      </c>
      <c r="R1174" s="2" t="inlineStr"/>
    </row>
    <row r="1175" ht="15" customHeight="1">
      <c r="A1175" t="inlineStr">
        <is>
          <t>A 72536-2018</t>
        </is>
      </c>
      <c r="B1175" s="1" t="n">
        <v>43454</v>
      </c>
      <c r="C1175" s="1" t="n">
        <v>45190</v>
      </c>
      <c r="D1175" t="inlineStr">
        <is>
          <t>KALMAR LÄN</t>
        </is>
      </c>
      <c r="E1175" t="inlineStr">
        <is>
          <t>NYBRO</t>
        </is>
      </c>
      <c r="F1175" t="inlineStr">
        <is>
          <t>Kyrkan</t>
        </is>
      </c>
      <c r="G1175" t="n">
        <v>10.2</v>
      </c>
      <c r="H1175" t="n">
        <v>0</v>
      </c>
      <c r="I1175" t="n">
        <v>0</v>
      </c>
      <c r="J1175" t="n">
        <v>0</v>
      </c>
      <c r="K1175" t="n">
        <v>0</v>
      </c>
      <c r="L1175" t="n">
        <v>0</v>
      </c>
      <c r="M1175" t="n">
        <v>0</v>
      </c>
      <c r="N1175" t="n">
        <v>0</v>
      </c>
      <c r="O1175" t="n">
        <v>0</v>
      </c>
      <c r="P1175" t="n">
        <v>0</v>
      </c>
      <c r="Q1175" t="n">
        <v>0</v>
      </c>
      <c r="R1175" s="2" t="inlineStr"/>
    </row>
    <row r="1176" ht="15" customHeight="1">
      <c r="A1176" t="inlineStr">
        <is>
          <t>A 38-2019</t>
        </is>
      </c>
      <c r="B1176" s="1" t="n">
        <v>43454</v>
      </c>
      <c r="C1176" s="1" t="n">
        <v>45190</v>
      </c>
      <c r="D1176" t="inlineStr">
        <is>
          <t>KALMAR LÄN</t>
        </is>
      </c>
      <c r="E1176" t="inlineStr">
        <is>
          <t>HÖGSBY</t>
        </is>
      </c>
      <c r="F1176" t="inlineStr">
        <is>
          <t>Kyrkan</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71904-2018</t>
        </is>
      </c>
      <c r="B1177" s="1" t="n">
        <v>43455</v>
      </c>
      <c r="C1177" s="1" t="n">
        <v>45190</v>
      </c>
      <c r="D1177" t="inlineStr">
        <is>
          <t>KALMAR LÄN</t>
        </is>
      </c>
      <c r="E1177" t="inlineStr">
        <is>
          <t>NYBRO</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530-2019</t>
        </is>
      </c>
      <c r="B1178" s="1" t="n">
        <v>43455</v>
      </c>
      <c r="C1178" s="1" t="n">
        <v>45190</v>
      </c>
      <c r="D1178" t="inlineStr">
        <is>
          <t>KALMAR LÄN</t>
        </is>
      </c>
      <c r="E1178" t="inlineStr">
        <is>
          <t>VÄSTERVIK</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534-2019</t>
        </is>
      </c>
      <c r="B1179" s="1" t="n">
        <v>43455</v>
      </c>
      <c r="C1179" s="1" t="n">
        <v>45190</v>
      </c>
      <c r="D1179" t="inlineStr">
        <is>
          <t>KALMAR LÄN</t>
        </is>
      </c>
      <c r="E1179" t="inlineStr">
        <is>
          <t>OSKARSHAMN</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71926-2018</t>
        </is>
      </c>
      <c r="B1180" s="1" t="n">
        <v>43455</v>
      </c>
      <c r="C1180" s="1" t="n">
        <v>45190</v>
      </c>
      <c r="D1180" t="inlineStr">
        <is>
          <t>KALMAR LÄN</t>
        </is>
      </c>
      <c r="E1180" t="inlineStr">
        <is>
          <t>HULTSFRED</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72073-2018</t>
        </is>
      </c>
      <c r="B1181" s="1" t="n">
        <v>43455</v>
      </c>
      <c r="C1181" s="1" t="n">
        <v>45190</v>
      </c>
      <c r="D1181" t="inlineStr">
        <is>
          <t>KALMAR LÄN</t>
        </is>
      </c>
      <c r="E1181" t="inlineStr">
        <is>
          <t>VIMMERBY</t>
        </is>
      </c>
      <c r="G1181" t="n">
        <v>9.1</v>
      </c>
      <c r="H1181" t="n">
        <v>0</v>
      </c>
      <c r="I1181" t="n">
        <v>0</v>
      </c>
      <c r="J1181" t="n">
        <v>0</v>
      </c>
      <c r="K1181" t="n">
        <v>0</v>
      </c>
      <c r="L1181" t="n">
        <v>0</v>
      </c>
      <c r="M1181" t="n">
        <v>0</v>
      </c>
      <c r="N1181" t="n">
        <v>0</v>
      </c>
      <c r="O1181" t="n">
        <v>0</v>
      </c>
      <c r="P1181" t="n">
        <v>0</v>
      </c>
      <c r="Q1181" t="n">
        <v>0</v>
      </c>
      <c r="R1181" s="2" t="inlineStr"/>
    </row>
    <row r="1182" ht="15" customHeight="1">
      <c r="A1182" t="inlineStr">
        <is>
          <t>A 72107-2018</t>
        </is>
      </c>
      <c r="B1182" s="1" t="n">
        <v>43455</v>
      </c>
      <c r="C1182" s="1" t="n">
        <v>45190</v>
      </c>
      <c r="D1182" t="inlineStr">
        <is>
          <t>KALMAR LÄN</t>
        </is>
      </c>
      <c r="E1182" t="inlineStr">
        <is>
          <t>TORSÅS</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71990-2018</t>
        </is>
      </c>
      <c r="B1183" s="1" t="n">
        <v>43455</v>
      </c>
      <c r="C1183" s="1" t="n">
        <v>45190</v>
      </c>
      <c r="D1183" t="inlineStr">
        <is>
          <t>KALMAR LÄN</t>
        </is>
      </c>
      <c r="E1183" t="inlineStr">
        <is>
          <t>VÄSTERVIK</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72146-2018</t>
        </is>
      </c>
      <c r="B1184" s="1" t="n">
        <v>43455</v>
      </c>
      <c r="C1184" s="1" t="n">
        <v>45190</v>
      </c>
      <c r="D1184" t="inlineStr">
        <is>
          <t>KALMAR LÄN</t>
        </is>
      </c>
      <c r="E1184" t="inlineStr">
        <is>
          <t>TORSÅS</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72227-2018</t>
        </is>
      </c>
      <c r="B1185" s="1" t="n">
        <v>43455</v>
      </c>
      <c r="C1185" s="1" t="n">
        <v>45190</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72337-2018</t>
        </is>
      </c>
      <c r="B1186" s="1" t="n">
        <v>43460</v>
      </c>
      <c r="C1186" s="1" t="n">
        <v>45190</v>
      </c>
      <c r="D1186" t="inlineStr">
        <is>
          <t>KALMAR LÄN</t>
        </is>
      </c>
      <c r="E1186" t="inlineStr">
        <is>
          <t>NYBRO</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72335-2018</t>
        </is>
      </c>
      <c r="B1187" s="1" t="n">
        <v>43460</v>
      </c>
      <c r="C1187" s="1" t="n">
        <v>45190</v>
      </c>
      <c r="D1187" t="inlineStr">
        <is>
          <t>KALMAR LÄN</t>
        </is>
      </c>
      <c r="E1187" t="inlineStr">
        <is>
          <t>NYBRO</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72338-2018</t>
        </is>
      </c>
      <c r="B1188" s="1" t="n">
        <v>43460</v>
      </c>
      <c r="C1188" s="1" t="n">
        <v>45190</v>
      </c>
      <c r="D1188" t="inlineStr">
        <is>
          <t>KALMAR LÄN</t>
        </is>
      </c>
      <c r="E1188" t="inlineStr">
        <is>
          <t>NYBRO</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72340-2018</t>
        </is>
      </c>
      <c r="B1189" s="1" t="n">
        <v>43460</v>
      </c>
      <c r="C1189" s="1" t="n">
        <v>45190</v>
      </c>
      <c r="D1189" t="inlineStr">
        <is>
          <t>KALMAR LÄN</t>
        </is>
      </c>
      <c r="E1189" t="inlineStr">
        <is>
          <t>NYBRO</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1410-2019</t>
        </is>
      </c>
      <c r="B1190" s="1" t="n">
        <v>43461</v>
      </c>
      <c r="C1190" s="1" t="n">
        <v>45190</v>
      </c>
      <c r="D1190" t="inlineStr">
        <is>
          <t>KALMAR LÄN</t>
        </is>
      </c>
      <c r="E1190" t="inlineStr">
        <is>
          <t>VIMMERBY</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72534-2018</t>
        </is>
      </c>
      <c r="B1191" s="1" t="n">
        <v>43462</v>
      </c>
      <c r="C1191" s="1" t="n">
        <v>45190</v>
      </c>
      <c r="D1191" t="inlineStr">
        <is>
          <t>KALMAR LÄN</t>
        </is>
      </c>
      <c r="E1191" t="inlineStr">
        <is>
          <t>VIMMERBY</t>
        </is>
      </c>
      <c r="G1191" t="n">
        <v>8.6</v>
      </c>
      <c r="H1191" t="n">
        <v>0</v>
      </c>
      <c r="I1191" t="n">
        <v>0</v>
      </c>
      <c r="J1191" t="n">
        <v>0</v>
      </c>
      <c r="K1191" t="n">
        <v>0</v>
      </c>
      <c r="L1191" t="n">
        <v>0</v>
      </c>
      <c r="M1191" t="n">
        <v>0</v>
      </c>
      <c r="N1191" t="n">
        <v>0</v>
      </c>
      <c r="O1191" t="n">
        <v>0</v>
      </c>
      <c r="P1191" t="n">
        <v>0</v>
      </c>
      <c r="Q1191" t="n">
        <v>0</v>
      </c>
      <c r="R1191" s="2" t="inlineStr"/>
    </row>
    <row r="1192" ht="15" customHeight="1">
      <c r="A1192" t="inlineStr">
        <is>
          <t>A 1818-2019</t>
        </is>
      </c>
      <c r="B1192" s="1" t="n">
        <v>43462</v>
      </c>
      <c r="C1192" s="1" t="n">
        <v>45190</v>
      </c>
      <c r="D1192" t="inlineStr">
        <is>
          <t>KALMAR LÄN</t>
        </is>
      </c>
      <c r="E1192" t="inlineStr">
        <is>
          <t>MÖNSTERÅS</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72570-2018</t>
        </is>
      </c>
      <c r="B1193" s="1" t="n">
        <v>43462</v>
      </c>
      <c r="C1193" s="1" t="n">
        <v>45190</v>
      </c>
      <c r="D1193" t="inlineStr">
        <is>
          <t>KALMAR LÄN</t>
        </is>
      </c>
      <c r="E1193" t="inlineStr">
        <is>
          <t>VIMMERBY</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72568-2018</t>
        </is>
      </c>
      <c r="B1194" s="1" t="n">
        <v>43462</v>
      </c>
      <c r="C1194" s="1" t="n">
        <v>45190</v>
      </c>
      <c r="D1194" t="inlineStr">
        <is>
          <t>KALMAR LÄN</t>
        </is>
      </c>
      <c r="E1194" t="inlineStr">
        <is>
          <t>VIMMERBY</t>
        </is>
      </c>
      <c r="G1194" t="n">
        <v>7.8</v>
      </c>
      <c r="H1194" t="n">
        <v>0</v>
      </c>
      <c r="I1194" t="n">
        <v>0</v>
      </c>
      <c r="J1194" t="n">
        <v>0</v>
      </c>
      <c r="K1194" t="n">
        <v>0</v>
      </c>
      <c r="L1194" t="n">
        <v>0</v>
      </c>
      <c r="M1194" t="n">
        <v>0</v>
      </c>
      <c r="N1194" t="n">
        <v>0</v>
      </c>
      <c r="O1194" t="n">
        <v>0</v>
      </c>
      <c r="P1194" t="n">
        <v>0</v>
      </c>
      <c r="Q1194" t="n">
        <v>0</v>
      </c>
      <c r="R1194" s="2" t="inlineStr"/>
    </row>
    <row r="1195" ht="15" customHeight="1">
      <c r="A1195" t="inlineStr">
        <is>
          <t>A 72595-2018</t>
        </is>
      </c>
      <c r="B1195" s="1" t="n">
        <v>43462</v>
      </c>
      <c r="C1195" s="1" t="n">
        <v>45190</v>
      </c>
      <c r="D1195" t="inlineStr">
        <is>
          <t>KALMAR LÄN</t>
        </is>
      </c>
      <c r="E1195" t="inlineStr">
        <is>
          <t>MÖNSTERÅS</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1826-2019</t>
        </is>
      </c>
      <c r="B1196" s="1" t="n">
        <v>43462</v>
      </c>
      <c r="C1196" s="1" t="n">
        <v>45190</v>
      </c>
      <c r="D1196" t="inlineStr">
        <is>
          <t>KALMAR LÄN</t>
        </is>
      </c>
      <c r="E1196" t="inlineStr">
        <is>
          <t>MÖNSTERÅS</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72620-2018</t>
        </is>
      </c>
      <c r="B1197" s="1" t="n">
        <v>43463</v>
      </c>
      <c r="C1197" s="1" t="n">
        <v>45190</v>
      </c>
      <c r="D1197" t="inlineStr">
        <is>
          <t>KALMAR LÄN</t>
        </is>
      </c>
      <c r="E1197" t="inlineStr">
        <is>
          <t>NYBRO</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72617-2018</t>
        </is>
      </c>
      <c r="B1198" s="1" t="n">
        <v>43463</v>
      </c>
      <c r="C1198" s="1" t="n">
        <v>45190</v>
      </c>
      <c r="D1198" t="inlineStr">
        <is>
          <t>KALMAR LÄN</t>
        </is>
      </c>
      <c r="E1198" t="inlineStr">
        <is>
          <t>NYBRO</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72618-2018</t>
        </is>
      </c>
      <c r="B1199" s="1" t="n">
        <v>43463</v>
      </c>
      <c r="C1199" s="1" t="n">
        <v>45190</v>
      </c>
      <c r="D1199" t="inlineStr">
        <is>
          <t>KALMAR LÄN</t>
        </is>
      </c>
      <c r="E1199" t="inlineStr">
        <is>
          <t>NYBRO</t>
        </is>
      </c>
      <c r="G1199" t="n">
        <v>10.3</v>
      </c>
      <c r="H1199" t="n">
        <v>0</v>
      </c>
      <c r="I1199" t="n">
        <v>0</v>
      </c>
      <c r="J1199" t="n">
        <v>0</v>
      </c>
      <c r="K1199" t="n">
        <v>0</v>
      </c>
      <c r="L1199" t="n">
        <v>0</v>
      </c>
      <c r="M1199" t="n">
        <v>0</v>
      </c>
      <c r="N1199" t="n">
        <v>0</v>
      </c>
      <c r="O1199" t="n">
        <v>0</v>
      </c>
      <c r="P1199" t="n">
        <v>0</v>
      </c>
      <c r="Q1199" t="n">
        <v>0</v>
      </c>
      <c r="R1199" s="2" t="inlineStr"/>
    </row>
    <row r="1200" ht="15" customHeight="1">
      <c r="A1200" t="inlineStr">
        <is>
          <t>A 72619-2018</t>
        </is>
      </c>
      <c r="B1200" s="1" t="n">
        <v>43463</v>
      </c>
      <c r="C1200" s="1" t="n">
        <v>45190</v>
      </c>
      <c r="D1200" t="inlineStr">
        <is>
          <t>KALMAR LÄN</t>
        </is>
      </c>
      <c r="E1200" t="inlineStr">
        <is>
          <t>NYBRO</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72646-2018</t>
        </is>
      </c>
      <c r="B1201" s="1" t="n">
        <v>43465</v>
      </c>
      <c r="C1201" s="1" t="n">
        <v>45190</v>
      </c>
      <c r="D1201" t="inlineStr">
        <is>
          <t>KALMAR LÄN</t>
        </is>
      </c>
      <c r="E1201" t="inlineStr">
        <is>
          <t>OSKARSHAMN</t>
        </is>
      </c>
      <c r="G1201" t="n">
        <v>3.9</v>
      </c>
      <c r="H1201" t="n">
        <v>0</v>
      </c>
      <c r="I1201" t="n">
        <v>0</v>
      </c>
      <c r="J1201" t="n">
        <v>0</v>
      </c>
      <c r="K1201" t="n">
        <v>0</v>
      </c>
      <c r="L1201" t="n">
        <v>0</v>
      </c>
      <c r="M1201" t="n">
        <v>0</v>
      </c>
      <c r="N1201" t="n">
        <v>0</v>
      </c>
      <c r="O1201" t="n">
        <v>0</v>
      </c>
      <c r="P1201" t="n">
        <v>0</v>
      </c>
      <c r="Q1201" t="n">
        <v>0</v>
      </c>
      <c r="R1201" s="2" t="inlineStr"/>
    </row>
    <row r="1202" ht="15" customHeight="1">
      <c r="A1202" t="inlineStr">
        <is>
          <t>A 72647-2018</t>
        </is>
      </c>
      <c r="B1202" s="1" t="n">
        <v>43465</v>
      </c>
      <c r="C1202" s="1" t="n">
        <v>45190</v>
      </c>
      <c r="D1202" t="inlineStr">
        <is>
          <t>KALMAR LÄN</t>
        </is>
      </c>
      <c r="E1202" t="inlineStr">
        <is>
          <t>OSKARSHAMN</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8-2019</t>
        </is>
      </c>
      <c r="B1203" s="1" t="n">
        <v>43466</v>
      </c>
      <c r="C1203" s="1" t="n">
        <v>45190</v>
      </c>
      <c r="D1203" t="inlineStr">
        <is>
          <t>KALMAR LÄN</t>
        </is>
      </c>
      <c r="E1203" t="inlineStr">
        <is>
          <t>NYBRO</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7-2019</t>
        </is>
      </c>
      <c r="B1204" s="1" t="n">
        <v>43466</v>
      </c>
      <c r="C1204" s="1" t="n">
        <v>45190</v>
      </c>
      <c r="D1204" t="inlineStr">
        <is>
          <t>KALMAR LÄN</t>
        </is>
      </c>
      <c r="E1204" t="inlineStr">
        <is>
          <t>NYBRO</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2074-2019</t>
        </is>
      </c>
      <c r="B1205" s="1" t="n">
        <v>43466</v>
      </c>
      <c r="C1205" s="1" t="n">
        <v>45190</v>
      </c>
      <c r="D1205" t="inlineStr">
        <is>
          <t>KALMAR LÄN</t>
        </is>
      </c>
      <c r="E1205" t="inlineStr">
        <is>
          <t>HULTSFRED</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2168-2019</t>
        </is>
      </c>
      <c r="B1206" s="1" t="n">
        <v>43467</v>
      </c>
      <c r="C1206" s="1" t="n">
        <v>45190</v>
      </c>
      <c r="D1206" t="inlineStr">
        <is>
          <t>KALMAR LÄN</t>
        </is>
      </c>
      <c r="E1206" t="inlineStr">
        <is>
          <t>HULTSFRED</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221-2019</t>
        </is>
      </c>
      <c r="B1207" s="1" t="n">
        <v>43467</v>
      </c>
      <c r="C1207" s="1" t="n">
        <v>45190</v>
      </c>
      <c r="D1207" t="inlineStr">
        <is>
          <t>KALMAR LÄN</t>
        </is>
      </c>
      <c r="E1207" t="inlineStr">
        <is>
          <t>NYBRO</t>
        </is>
      </c>
      <c r="G1207" t="n">
        <v>6.3</v>
      </c>
      <c r="H1207" t="n">
        <v>0</v>
      </c>
      <c r="I1207" t="n">
        <v>0</v>
      </c>
      <c r="J1207" t="n">
        <v>0</v>
      </c>
      <c r="K1207" t="n">
        <v>0</v>
      </c>
      <c r="L1207" t="n">
        <v>0</v>
      </c>
      <c r="M1207" t="n">
        <v>0</v>
      </c>
      <c r="N1207" t="n">
        <v>0</v>
      </c>
      <c r="O1207" t="n">
        <v>0</v>
      </c>
      <c r="P1207" t="n">
        <v>0</v>
      </c>
      <c r="Q1207" t="n">
        <v>0</v>
      </c>
      <c r="R1207" s="2" t="inlineStr"/>
    </row>
    <row r="1208" ht="15" customHeight="1">
      <c r="A1208" t="inlineStr">
        <is>
          <t>A 2331-2019</t>
        </is>
      </c>
      <c r="B1208" s="1" t="n">
        <v>43468</v>
      </c>
      <c r="C1208" s="1" t="n">
        <v>45190</v>
      </c>
      <c r="D1208" t="inlineStr">
        <is>
          <t>KALMAR LÄN</t>
        </is>
      </c>
      <c r="E1208" t="inlineStr">
        <is>
          <t>EMMABODA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436-2019</t>
        </is>
      </c>
      <c r="B1209" s="1" t="n">
        <v>43468</v>
      </c>
      <c r="C1209" s="1" t="n">
        <v>45190</v>
      </c>
      <c r="D1209" t="inlineStr">
        <is>
          <t>KALMAR LÄN</t>
        </is>
      </c>
      <c r="E1209" t="inlineStr">
        <is>
          <t>MÖNSTERÅS</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2333-2019</t>
        </is>
      </c>
      <c r="B1210" s="1" t="n">
        <v>43468</v>
      </c>
      <c r="C1210" s="1" t="n">
        <v>45190</v>
      </c>
      <c r="D1210" t="inlineStr">
        <is>
          <t>KALMAR LÄN</t>
        </is>
      </c>
      <c r="E1210" t="inlineStr">
        <is>
          <t>EMMABODA</t>
        </is>
      </c>
      <c r="G1210" t="n">
        <v>3.2</v>
      </c>
      <c r="H1210" t="n">
        <v>0</v>
      </c>
      <c r="I1210" t="n">
        <v>0</v>
      </c>
      <c r="J1210" t="n">
        <v>0</v>
      </c>
      <c r="K1210" t="n">
        <v>0</v>
      </c>
      <c r="L1210" t="n">
        <v>0</v>
      </c>
      <c r="M1210" t="n">
        <v>0</v>
      </c>
      <c r="N1210" t="n">
        <v>0</v>
      </c>
      <c r="O1210" t="n">
        <v>0</v>
      </c>
      <c r="P1210" t="n">
        <v>0</v>
      </c>
      <c r="Q1210" t="n">
        <v>0</v>
      </c>
      <c r="R1210" s="2" t="inlineStr"/>
    </row>
    <row r="1211" ht="15" customHeight="1">
      <c r="A1211" t="inlineStr">
        <is>
          <t>A 2525-2019</t>
        </is>
      </c>
      <c r="B1211" s="1" t="n">
        <v>43468</v>
      </c>
      <c r="C1211" s="1" t="n">
        <v>45190</v>
      </c>
      <c r="D1211" t="inlineStr">
        <is>
          <t>KALMAR LÄN</t>
        </is>
      </c>
      <c r="E1211" t="inlineStr">
        <is>
          <t>HÖGSBY</t>
        </is>
      </c>
      <c r="G1211" t="n">
        <v>13.7</v>
      </c>
      <c r="H1211" t="n">
        <v>0</v>
      </c>
      <c r="I1211" t="n">
        <v>0</v>
      </c>
      <c r="J1211" t="n">
        <v>0</v>
      </c>
      <c r="K1211" t="n">
        <v>0</v>
      </c>
      <c r="L1211" t="n">
        <v>0</v>
      </c>
      <c r="M1211" t="n">
        <v>0</v>
      </c>
      <c r="N1211" t="n">
        <v>0</v>
      </c>
      <c r="O1211" t="n">
        <v>0</v>
      </c>
      <c r="P1211" t="n">
        <v>0</v>
      </c>
      <c r="Q1211" t="n">
        <v>0</v>
      </c>
      <c r="R1211" s="2" t="inlineStr"/>
      <c r="U1211">
        <f>HYPERLINK("https://klasma.github.io/Logging_HOGSBY/knärot/A 2525-2019.png", "A 2525-2019")</f>
        <v/>
      </c>
      <c r="V1211">
        <f>HYPERLINK("https://klasma.github.io/Logging_HOGSBY/klagomål/A 2525-2019.docx", "A 2525-2019")</f>
        <v/>
      </c>
      <c r="W1211">
        <f>HYPERLINK("https://klasma.github.io/Logging_HOGSBY/klagomålsmail/A 2525-2019.docx", "A 2525-2019")</f>
        <v/>
      </c>
      <c r="X1211">
        <f>HYPERLINK("https://klasma.github.io/Logging_HOGSBY/tillsyn/A 2525-2019.docx", "A 2525-2019")</f>
        <v/>
      </c>
      <c r="Y1211">
        <f>HYPERLINK("https://klasma.github.io/Logging_HOGSBY/tillsynsmail/A 2525-2019.docx", "A 2525-2019")</f>
        <v/>
      </c>
    </row>
    <row r="1212" ht="15" customHeight="1">
      <c r="A1212" t="inlineStr">
        <is>
          <t>A 437-2019</t>
        </is>
      </c>
      <c r="B1212" s="1" t="n">
        <v>43468</v>
      </c>
      <c r="C1212" s="1" t="n">
        <v>45190</v>
      </c>
      <c r="D1212" t="inlineStr">
        <is>
          <t>KALMAR LÄN</t>
        </is>
      </c>
      <c r="E1212" t="inlineStr">
        <is>
          <t>MÖNSTERÅS</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2171-2019</t>
        </is>
      </c>
      <c r="B1213" s="1" t="n">
        <v>43468</v>
      </c>
      <c r="C1213" s="1" t="n">
        <v>45190</v>
      </c>
      <c r="D1213" t="inlineStr">
        <is>
          <t>KALMAR LÄN</t>
        </is>
      </c>
      <c r="E1213" t="inlineStr">
        <is>
          <t>EMMABODA</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269-2019</t>
        </is>
      </c>
      <c r="B1214" s="1" t="n">
        <v>43468</v>
      </c>
      <c r="C1214" s="1" t="n">
        <v>45190</v>
      </c>
      <c r="D1214" t="inlineStr">
        <is>
          <t>KALMAR LÄN</t>
        </is>
      </c>
      <c r="E1214" t="inlineStr">
        <is>
          <t>HULTSFRED</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382-2019</t>
        </is>
      </c>
      <c r="B1215" s="1" t="n">
        <v>43468</v>
      </c>
      <c r="C1215" s="1" t="n">
        <v>45190</v>
      </c>
      <c r="D1215" t="inlineStr">
        <is>
          <t>KALMAR LÄN</t>
        </is>
      </c>
      <c r="E1215" t="inlineStr">
        <is>
          <t>EMMABODA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439-2019</t>
        </is>
      </c>
      <c r="B1216" s="1" t="n">
        <v>43468</v>
      </c>
      <c r="C1216" s="1" t="n">
        <v>45190</v>
      </c>
      <c r="D1216" t="inlineStr">
        <is>
          <t>KALMAR LÄN</t>
        </is>
      </c>
      <c r="E1216" t="inlineStr">
        <is>
          <t>MÖNSTERÅS</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454-2019</t>
        </is>
      </c>
      <c r="B1217" s="1" t="n">
        <v>43468</v>
      </c>
      <c r="C1217" s="1" t="n">
        <v>45190</v>
      </c>
      <c r="D1217" t="inlineStr">
        <is>
          <t>KALMAR LÄN</t>
        </is>
      </c>
      <c r="E1217" t="inlineStr">
        <is>
          <t>HULTSFRED</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686-2019</t>
        </is>
      </c>
      <c r="B1218" s="1" t="n">
        <v>43469</v>
      </c>
      <c r="C1218" s="1" t="n">
        <v>45190</v>
      </c>
      <c r="D1218" t="inlineStr">
        <is>
          <t>KALMAR LÄN</t>
        </is>
      </c>
      <c r="E1218" t="inlineStr">
        <is>
          <t>OSKARSHAMN</t>
        </is>
      </c>
      <c r="G1218" t="n">
        <v>5.2</v>
      </c>
      <c r="H1218" t="n">
        <v>0</v>
      </c>
      <c r="I1218" t="n">
        <v>0</v>
      </c>
      <c r="J1218" t="n">
        <v>0</v>
      </c>
      <c r="K1218" t="n">
        <v>0</v>
      </c>
      <c r="L1218" t="n">
        <v>0</v>
      </c>
      <c r="M1218" t="n">
        <v>0</v>
      </c>
      <c r="N1218" t="n">
        <v>0</v>
      </c>
      <c r="O1218" t="n">
        <v>0</v>
      </c>
      <c r="P1218" t="n">
        <v>0</v>
      </c>
      <c r="Q1218" t="n">
        <v>0</v>
      </c>
      <c r="R1218" s="2" t="inlineStr"/>
    </row>
    <row r="1219" ht="15" customHeight="1">
      <c r="A1219" t="inlineStr">
        <is>
          <t>A 2680-2019</t>
        </is>
      </c>
      <c r="B1219" s="1" t="n">
        <v>43469</v>
      </c>
      <c r="C1219" s="1" t="n">
        <v>45190</v>
      </c>
      <c r="D1219" t="inlineStr">
        <is>
          <t>KALMAR LÄN</t>
        </is>
      </c>
      <c r="E1219" t="inlineStr">
        <is>
          <t>HULTSFRED</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2821-2019</t>
        </is>
      </c>
      <c r="B1220" s="1" t="n">
        <v>43469</v>
      </c>
      <c r="C1220" s="1" t="n">
        <v>45190</v>
      </c>
      <c r="D1220" t="inlineStr">
        <is>
          <t>KALMAR LÄN</t>
        </is>
      </c>
      <c r="E1220" t="inlineStr">
        <is>
          <t>VÄSTERVIK</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2933-2019</t>
        </is>
      </c>
      <c r="B1221" s="1" t="n">
        <v>43469</v>
      </c>
      <c r="C1221" s="1" t="n">
        <v>45190</v>
      </c>
      <c r="D1221" t="inlineStr">
        <is>
          <t>KALMAR LÄN</t>
        </is>
      </c>
      <c r="E1221" t="inlineStr">
        <is>
          <t>NYBRO</t>
        </is>
      </c>
      <c r="G1221" t="n">
        <v>11.5</v>
      </c>
      <c r="H1221" t="n">
        <v>0</v>
      </c>
      <c r="I1221" t="n">
        <v>0</v>
      </c>
      <c r="J1221" t="n">
        <v>0</v>
      </c>
      <c r="K1221" t="n">
        <v>0</v>
      </c>
      <c r="L1221" t="n">
        <v>0</v>
      </c>
      <c r="M1221" t="n">
        <v>0</v>
      </c>
      <c r="N1221" t="n">
        <v>0</v>
      </c>
      <c r="O1221" t="n">
        <v>0</v>
      </c>
      <c r="P1221" t="n">
        <v>0</v>
      </c>
      <c r="Q1221" t="n">
        <v>0</v>
      </c>
      <c r="R1221" s="2" t="inlineStr"/>
    </row>
    <row r="1222" ht="15" customHeight="1">
      <c r="A1222" t="inlineStr">
        <is>
          <t>A 583-2019</t>
        </is>
      </c>
      <c r="B1222" s="1" t="n">
        <v>43469</v>
      </c>
      <c r="C1222" s="1" t="n">
        <v>45190</v>
      </c>
      <c r="D1222" t="inlineStr">
        <is>
          <t>KALMAR LÄN</t>
        </is>
      </c>
      <c r="E1222" t="inlineStr">
        <is>
          <t>VIMMERBY</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689-2019</t>
        </is>
      </c>
      <c r="B1223" s="1" t="n">
        <v>43469</v>
      </c>
      <c r="C1223" s="1" t="n">
        <v>45190</v>
      </c>
      <c r="D1223" t="inlineStr">
        <is>
          <t>KALMAR LÄN</t>
        </is>
      </c>
      <c r="E1223" t="inlineStr">
        <is>
          <t>KALMAR</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2678-2019</t>
        </is>
      </c>
      <c r="B1224" s="1" t="n">
        <v>43469</v>
      </c>
      <c r="C1224" s="1" t="n">
        <v>45190</v>
      </c>
      <c r="D1224" t="inlineStr">
        <is>
          <t>KALMAR LÄN</t>
        </is>
      </c>
      <c r="E1224" t="inlineStr">
        <is>
          <t>HULTSFRED</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719-2019</t>
        </is>
      </c>
      <c r="B1225" s="1" t="n">
        <v>43471</v>
      </c>
      <c r="C1225" s="1" t="n">
        <v>45190</v>
      </c>
      <c r="D1225" t="inlineStr">
        <is>
          <t>KALMAR LÄN</t>
        </is>
      </c>
      <c r="E1225" t="inlineStr">
        <is>
          <t>OSKARSHAMN</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3179-2019</t>
        </is>
      </c>
      <c r="B1226" s="1" t="n">
        <v>43472</v>
      </c>
      <c r="C1226" s="1" t="n">
        <v>45190</v>
      </c>
      <c r="D1226" t="inlineStr">
        <is>
          <t>KALMAR LÄN</t>
        </is>
      </c>
      <c r="E1226" t="inlineStr">
        <is>
          <t>KALMAR</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840-2019</t>
        </is>
      </c>
      <c r="B1227" s="1" t="n">
        <v>43472</v>
      </c>
      <c r="C1227" s="1" t="n">
        <v>45190</v>
      </c>
      <c r="D1227" t="inlineStr">
        <is>
          <t>KALMAR LÄN</t>
        </is>
      </c>
      <c r="E1227" t="inlineStr">
        <is>
          <t>NYBRO</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1085-2019</t>
        </is>
      </c>
      <c r="B1228" s="1" t="n">
        <v>43472</v>
      </c>
      <c r="C1228" s="1" t="n">
        <v>45190</v>
      </c>
      <c r="D1228" t="inlineStr">
        <is>
          <t>KALMAR LÄN</t>
        </is>
      </c>
      <c r="E1228" t="inlineStr">
        <is>
          <t>HULTSFRED</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928-2019</t>
        </is>
      </c>
      <c r="B1229" s="1" t="n">
        <v>43472</v>
      </c>
      <c r="C1229" s="1" t="n">
        <v>45190</v>
      </c>
      <c r="D1229" t="inlineStr">
        <is>
          <t>KALMAR LÄN</t>
        </is>
      </c>
      <c r="E1229" t="inlineStr">
        <is>
          <t>HULTSFRED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1023-2019</t>
        </is>
      </c>
      <c r="B1230" s="1" t="n">
        <v>43472</v>
      </c>
      <c r="C1230" s="1" t="n">
        <v>45190</v>
      </c>
      <c r="D1230" t="inlineStr">
        <is>
          <t>KALMAR LÄN</t>
        </is>
      </c>
      <c r="E1230" t="inlineStr">
        <is>
          <t>HÖGSBY</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1034-2019</t>
        </is>
      </c>
      <c r="B1231" s="1" t="n">
        <v>43472</v>
      </c>
      <c r="C1231" s="1" t="n">
        <v>45190</v>
      </c>
      <c r="D1231" t="inlineStr">
        <is>
          <t>KALMAR LÄN</t>
        </is>
      </c>
      <c r="E1231" t="inlineStr">
        <is>
          <t>OSKARSHAMN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848-2019</t>
        </is>
      </c>
      <c r="B1232" s="1" t="n">
        <v>43472</v>
      </c>
      <c r="C1232" s="1" t="n">
        <v>45190</v>
      </c>
      <c r="D1232" t="inlineStr">
        <is>
          <t>KALMAR LÄN</t>
        </is>
      </c>
      <c r="E1232" t="inlineStr">
        <is>
          <t>NYBRO</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1039-2019</t>
        </is>
      </c>
      <c r="B1233" s="1" t="n">
        <v>43472</v>
      </c>
      <c r="C1233" s="1" t="n">
        <v>45190</v>
      </c>
      <c r="D1233" t="inlineStr">
        <is>
          <t>KALMAR LÄN</t>
        </is>
      </c>
      <c r="E1233" t="inlineStr">
        <is>
          <t>NYBRO</t>
        </is>
      </c>
      <c r="G1233" t="n">
        <v>5.9</v>
      </c>
      <c r="H1233" t="n">
        <v>0</v>
      </c>
      <c r="I1233" t="n">
        <v>0</v>
      </c>
      <c r="J1233" t="n">
        <v>0</v>
      </c>
      <c r="K1233" t="n">
        <v>0</v>
      </c>
      <c r="L1233" t="n">
        <v>0</v>
      </c>
      <c r="M1233" t="n">
        <v>0</v>
      </c>
      <c r="N1233" t="n">
        <v>0</v>
      </c>
      <c r="O1233" t="n">
        <v>0</v>
      </c>
      <c r="P1233" t="n">
        <v>0</v>
      </c>
      <c r="Q1233" t="n">
        <v>0</v>
      </c>
      <c r="R1233" s="2" t="inlineStr"/>
    </row>
    <row r="1234" ht="15" customHeight="1">
      <c r="A1234" t="inlineStr">
        <is>
          <t>A 1107-2019</t>
        </is>
      </c>
      <c r="B1234" s="1" t="n">
        <v>43472</v>
      </c>
      <c r="C1234" s="1" t="n">
        <v>45190</v>
      </c>
      <c r="D1234" t="inlineStr">
        <is>
          <t>KALMAR LÄN</t>
        </is>
      </c>
      <c r="E1234" t="inlineStr">
        <is>
          <t>KALMAR</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821-2019</t>
        </is>
      </c>
      <c r="B1235" s="1" t="n">
        <v>43472</v>
      </c>
      <c r="C1235" s="1" t="n">
        <v>45190</v>
      </c>
      <c r="D1235" t="inlineStr">
        <is>
          <t>KALMAR LÄN</t>
        </is>
      </c>
      <c r="E1235" t="inlineStr">
        <is>
          <t>NYBRO</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838-2019</t>
        </is>
      </c>
      <c r="B1236" s="1" t="n">
        <v>43472</v>
      </c>
      <c r="C1236" s="1" t="n">
        <v>45190</v>
      </c>
      <c r="D1236" t="inlineStr">
        <is>
          <t>KALMAR LÄN</t>
        </is>
      </c>
      <c r="E1236" t="inlineStr">
        <is>
          <t>NYBRO</t>
        </is>
      </c>
      <c r="G1236" t="n">
        <v>8.699999999999999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959-2019</t>
        </is>
      </c>
      <c r="B1237" s="1" t="n">
        <v>43472</v>
      </c>
      <c r="C1237" s="1" t="n">
        <v>45190</v>
      </c>
      <c r="D1237" t="inlineStr">
        <is>
          <t>KALMAR LÄN</t>
        </is>
      </c>
      <c r="E1237" t="inlineStr">
        <is>
          <t>HULTSFRED</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1016-2019</t>
        </is>
      </c>
      <c r="B1238" s="1" t="n">
        <v>43472</v>
      </c>
      <c r="C1238" s="1" t="n">
        <v>45190</v>
      </c>
      <c r="D1238" t="inlineStr">
        <is>
          <t>KALMAR LÄN</t>
        </is>
      </c>
      <c r="E1238" t="inlineStr">
        <is>
          <t>HULTSFRED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1108-2019</t>
        </is>
      </c>
      <c r="B1239" s="1" t="n">
        <v>43472</v>
      </c>
      <c r="C1239" s="1" t="n">
        <v>45190</v>
      </c>
      <c r="D1239" t="inlineStr">
        <is>
          <t>KALMAR LÄN</t>
        </is>
      </c>
      <c r="E1239" t="inlineStr">
        <is>
          <t>KALMAR</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1341-2019</t>
        </is>
      </c>
      <c r="B1240" s="1" t="n">
        <v>43473</v>
      </c>
      <c r="C1240" s="1" t="n">
        <v>45190</v>
      </c>
      <c r="D1240" t="inlineStr">
        <is>
          <t>KALMAR LÄN</t>
        </is>
      </c>
      <c r="E1240" t="inlineStr">
        <is>
          <t>VÄSTERVIK</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1400-2019</t>
        </is>
      </c>
      <c r="B1241" s="1" t="n">
        <v>43473</v>
      </c>
      <c r="C1241" s="1" t="n">
        <v>45190</v>
      </c>
      <c r="D1241" t="inlineStr">
        <is>
          <t>KALMAR LÄN</t>
        </is>
      </c>
      <c r="E1241" t="inlineStr">
        <is>
          <t>HULTSFRED</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1510-2019</t>
        </is>
      </c>
      <c r="B1242" s="1" t="n">
        <v>43473</v>
      </c>
      <c r="C1242" s="1" t="n">
        <v>45190</v>
      </c>
      <c r="D1242" t="inlineStr">
        <is>
          <t>KALMAR LÄN</t>
        </is>
      </c>
      <c r="E1242" t="inlineStr">
        <is>
          <t>KALMAR</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1519-2019</t>
        </is>
      </c>
      <c r="B1243" s="1" t="n">
        <v>43473</v>
      </c>
      <c r="C1243" s="1" t="n">
        <v>45190</v>
      </c>
      <c r="D1243" t="inlineStr">
        <is>
          <t>KALMAR LÄN</t>
        </is>
      </c>
      <c r="E1243" t="inlineStr">
        <is>
          <t>OSKARSHAMN</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3131-2019</t>
        </is>
      </c>
      <c r="B1244" s="1" t="n">
        <v>43473</v>
      </c>
      <c r="C1244" s="1" t="n">
        <v>45190</v>
      </c>
      <c r="D1244" t="inlineStr">
        <is>
          <t>KALMAR LÄN</t>
        </is>
      </c>
      <c r="E1244" t="inlineStr">
        <is>
          <t>VIMMERBY</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3221-2019</t>
        </is>
      </c>
      <c r="B1245" s="1" t="n">
        <v>43473</v>
      </c>
      <c r="C1245" s="1" t="n">
        <v>45190</v>
      </c>
      <c r="D1245" t="inlineStr">
        <is>
          <t>KALMAR LÄN</t>
        </is>
      </c>
      <c r="E1245" t="inlineStr">
        <is>
          <t>HULTSFRED</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1513-2019</t>
        </is>
      </c>
      <c r="B1246" s="1" t="n">
        <v>43473</v>
      </c>
      <c r="C1246" s="1" t="n">
        <v>45190</v>
      </c>
      <c r="D1246" t="inlineStr">
        <is>
          <t>KALMAR LÄN</t>
        </is>
      </c>
      <c r="E1246" t="inlineStr">
        <is>
          <t>KALMAR</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3288-2019</t>
        </is>
      </c>
      <c r="B1247" s="1" t="n">
        <v>43473</v>
      </c>
      <c r="C1247" s="1" t="n">
        <v>45190</v>
      </c>
      <c r="D1247" t="inlineStr">
        <is>
          <t>KALMAR LÄN</t>
        </is>
      </c>
      <c r="E1247" t="inlineStr">
        <is>
          <t>NYBRO</t>
        </is>
      </c>
      <c r="F1247" t="inlineStr">
        <is>
          <t>Kyrkan</t>
        </is>
      </c>
      <c r="G1247" t="n">
        <v>11.8</v>
      </c>
      <c r="H1247" t="n">
        <v>0</v>
      </c>
      <c r="I1247" t="n">
        <v>0</v>
      </c>
      <c r="J1247" t="n">
        <v>0</v>
      </c>
      <c r="K1247" t="n">
        <v>0</v>
      </c>
      <c r="L1247" t="n">
        <v>0</v>
      </c>
      <c r="M1247" t="n">
        <v>0</v>
      </c>
      <c r="N1247" t="n">
        <v>0</v>
      </c>
      <c r="O1247" t="n">
        <v>0</v>
      </c>
      <c r="P1247" t="n">
        <v>0</v>
      </c>
      <c r="Q1247" t="n">
        <v>0</v>
      </c>
      <c r="R1247" s="2" t="inlineStr"/>
    </row>
    <row r="1248" ht="15" customHeight="1">
      <c r="A1248" t="inlineStr">
        <is>
          <t>A 1490-2019</t>
        </is>
      </c>
      <c r="B1248" s="1" t="n">
        <v>43473</v>
      </c>
      <c r="C1248" s="1" t="n">
        <v>45190</v>
      </c>
      <c r="D1248" t="inlineStr">
        <is>
          <t>KALMAR LÄN</t>
        </is>
      </c>
      <c r="E1248" t="inlineStr">
        <is>
          <t>VÄSTERVIK</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1529-2019</t>
        </is>
      </c>
      <c r="B1249" s="1" t="n">
        <v>43473</v>
      </c>
      <c r="C1249" s="1" t="n">
        <v>45190</v>
      </c>
      <c r="D1249" t="inlineStr">
        <is>
          <t>KALMAR LÄN</t>
        </is>
      </c>
      <c r="E1249" t="inlineStr">
        <is>
          <t>TORSÅS</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1579-2019</t>
        </is>
      </c>
      <c r="B1250" s="1" t="n">
        <v>43474</v>
      </c>
      <c r="C1250" s="1" t="n">
        <v>45190</v>
      </c>
      <c r="D1250" t="inlineStr">
        <is>
          <t>KALMAR LÄN</t>
        </is>
      </c>
      <c r="E1250" t="inlineStr">
        <is>
          <t>VIMMERBY</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1617-2019</t>
        </is>
      </c>
      <c r="B1251" s="1" t="n">
        <v>43474</v>
      </c>
      <c r="C1251" s="1" t="n">
        <v>45190</v>
      </c>
      <c r="D1251" t="inlineStr">
        <is>
          <t>KALMAR LÄN</t>
        </is>
      </c>
      <c r="E1251" t="inlineStr">
        <is>
          <t>EMMABODA</t>
        </is>
      </c>
      <c r="G1251" t="n">
        <v>20.5</v>
      </c>
      <c r="H1251" t="n">
        <v>0</v>
      </c>
      <c r="I1251" t="n">
        <v>0</v>
      </c>
      <c r="J1251" t="n">
        <v>0</v>
      </c>
      <c r="K1251" t="n">
        <v>0</v>
      </c>
      <c r="L1251" t="n">
        <v>0</v>
      </c>
      <c r="M1251" t="n">
        <v>0</v>
      </c>
      <c r="N1251" t="n">
        <v>0</v>
      </c>
      <c r="O1251" t="n">
        <v>0</v>
      </c>
      <c r="P1251" t="n">
        <v>0</v>
      </c>
      <c r="Q1251" t="n">
        <v>0</v>
      </c>
      <c r="R1251" s="2" t="inlineStr"/>
    </row>
    <row r="1252" ht="15" customHeight="1">
      <c r="A1252" t="inlineStr">
        <is>
          <t>A 1657-2019</t>
        </is>
      </c>
      <c r="B1252" s="1" t="n">
        <v>43474</v>
      </c>
      <c r="C1252" s="1" t="n">
        <v>45190</v>
      </c>
      <c r="D1252" t="inlineStr">
        <is>
          <t>KALMAR LÄN</t>
        </is>
      </c>
      <c r="E1252" t="inlineStr">
        <is>
          <t>EMMABODA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3314-2019</t>
        </is>
      </c>
      <c r="B1253" s="1" t="n">
        <v>43474</v>
      </c>
      <c r="C1253" s="1" t="n">
        <v>45190</v>
      </c>
      <c r="D1253" t="inlineStr">
        <is>
          <t>KALMAR LÄN</t>
        </is>
      </c>
      <c r="E1253" t="inlineStr">
        <is>
          <t>HULTSFRED</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3694-2019</t>
        </is>
      </c>
      <c r="B1254" s="1" t="n">
        <v>43474</v>
      </c>
      <c r="C1254" s="1" t="n">
        <v>45190</v>
      </c>
      <c r="D1254" t="inlineStr">
        <is>
          <t>KALMAR LÄN</t>
        </is>
      </c>
      <c r="E1254" t="inlineStr">
        <is>
          <t>OSKARSHAMN</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1951-2019</t>
        </is>
      </c>
      <c r="B1255" s="1" t="n">
        <v>43475</v>
      </c>
      <c r="C1255" s="1" t="n">
        <v>45190</v>
      </c>
      <c r="D1255" t="inlineStr">
        <is>
          <t>KALMAR LÄN</t>
        </is>
      </c>
      <c r="E1255" t="inlineStr">
        <is>
          <t>HULTSFRED</t>
        </is>
      </c>
      <c r="F1255" t="inlineStr">
        <is>
          <t>Sveaskog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1983-2019</t>
        </is>
      </c>
      <c r="B1256" s="1" t="n">
        <v>43475</v>
      </c>
      <c r="C1256" s="1" t="n">
        <v>45190</v>
      </c>
      <c r="D1256" t="inlineStr">
        <is>
          <t>KALMAR LÄN</t>
        </is>
      </c>
      <c r="E1256" t="inlineStr">
        <is>
          <t>TORSÅS</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3838-2019</t>
        </is>
      </c>
      <c r="B1257" s="1" t="n">
        <v>43475</v>
      </c>
      <c r="C1257" s="1" t="n">
        <v>45190</v>
      </c>
      <c r="D1257" t="inlineStr">
        <is>
          <t>KALMAR LÄN</t>
        </is>
      </c>
      <c r="E1257" t="inlineStr">
        <is>
          <t>HÖGSBY</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3881-2019</t>
        </is>
      </c>
      <c r="B1258" s="1" t="n">
        <v>43475</v>
      </c>
      <c r="C1258" s="1" t="n">
        <v>45190</v>
      </c>
      <c r="D1258" t="inlineStr">
        <is>
          <t>KALMAR LÄN</t>
        </is>
      </c>
      <c r="E1258" t="inlineStr">
        <is>
          <t>HÖGSBY</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2060-2019</t>
        </is>
      </c>
      <c r="B1259" s="1" t="n">
        <v>43475</v>
      </c>
      <c r="C1259" s="1" t="n">
        <v>45190</v>
      </c>
      <c r="D1259" t="inlineStr">
        <is>
          <t>KALMAR LÄN</t>
        </is>
      </c>
      <c r="E1259" t="inlineStr">
        <is>
          <t>NYBRO</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2165-2019</t>
        </is>
      </c>
      <c r="B1260" s="1" t="n">
        <v>43475</v>
      </c>
      <c r="C1260" s="1" t="n">
        <v>45190</v>
      </c>
      <c r="D1260" t="inlineStr">
        <is>
          <t>KALMAR LÄN</t>
        </is>
      </c>
      <c r="E1260" t="inlineStr">
        <is>
          <t>VIMMERBY</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2178-2019</t>
        </is>
      </c>
      <c r="B1261" s="1" t="n">
        <v>43475</v>
      </c>
      <c r="C1261" s="1" t="n">
        <v>45190</v>
      </c>
      <c r="D1261" t="inlineStr">
        <is>
          <t>KALMAR LÄN</t>
        </is>
      </c>
      <c r="E1261" t="inlineStr">
        <is>
          <t>HULTSFRED</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3811-2019</t>
        </is>
      </c>
      <c r="B1262" s="1" t="n">
        <v>43475</v>
      </c>
      <c r="C1262" s="1" t="n">
        <v>45190</v>
      </c>
      <c r="D1262" t="inlineStr">
        <is>
          <t>KALMAR LÄN</t>
        </is>
      </c>
      <c r="E1262" t="inlineStr">
        <is>
          <t>HÖGSBY</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3834-2019</t>
        </is>
      </c>
      <c r="B1263" s="1" t="n">
        <v>43475</v>
      </c>
      <c r="C1263" s="1" t="n">
        <v>45190</v>
      </c>
      <c r="D1263" t="inlineStr">
        <is>
          <t>KALMAR LÄN</t>
        </is>
      </c>
      <c r="E1263" t="inlineStr">
        <is>
          <t>HÖGSBY</t>
        </is>
      </c>
      <c r="G1263" t="n">
        <v>4.1</v>
      </c>
      <c r="H1263" t="n">
        <v>0</v>
      </c>
      <c r="I1263" t="n">
        <v>0</v>
      </c>
      <c r="J1263" t="n">
        <v>0</v>
      </c>
      <c r="K1263" t="n">
        <v>0</v>
      </c>
      <c r="L1263" t="n">
        <v>0</v>
      </c>
      <c r="M1263" t="n">
        <v>0</v>
      </c>
      <c r="N1263" t="n">
        <v>0</v>
      </c>
      <c r="O1263" t="n">
        <v>0</v>
      </c>
      <c r="P1263" t="n">
        <v>0</v>
      </c>
      <c r="Q1263" t="n">
        <v>0</v>
      </c>
      <c r="R1263" s="2" t="inlineStr"/>
    </row>
    <row r="1264" ht="15" customHeight="1">
      <c r="A1264" t="inlineStr">
        <is>
          <t>A 3873-2019</t>
        </is>
      </c>
      <c r="B1264" s="1" t="n">
        <v>43475</v>
      </c>
      <c r="C1264" s="1" t="n">
        <v>45190</v>
      </c>
      <c r="D1264" t="inlineStr">
        <is>
          <t>KALMAR LÄN</t>
        </is>
      </c>
      <c r="E1264" t="inlineStr">
        <is>
          <t>HÖGSBY</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3968-2019</t>
        </is>
      </c>
      <c r="B1265" s="1" t="n">
        <v>43475</v>
      </c>
      <c r="C1265" s="1" t="n">
        <v>45190</v>
      </c>
      <c r="D1265" t="inlineStr">
        <is>
          <t>KALMAR LÄN</t>
        </is>
      </c>
      <c r="E1265" t="inlineStr">
        <is>
          <t>HULTSFRED</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3988-2019</t>
        </is>
      </c>
      <c r="B1266" s="1" t="n">
        <v>43475</v>
      </c>
      <c r="C1266" s="1" t="n">
        <v>45190</v>
      </c>
      <c r="D1266" t="inlineStr">
        <is>
          <t>KALMAR LÄN</t>
        </is>
      </c>
      <c r="E1266" t="inlineStr">
        <is>
          <t>HULTSFRED</t>
        </is>
      </c>
      <c r="F1266" t="inlineStr">
        <is>
          <t>Kommuner</t>
        </is>
      </c>
      <c r="G1266" t="n">
        <v>5.5</v>
      </c>
      <c r="H1266" t="n">
        <v>0</v>
      </c>
      <c r="I1266" t="n">
        <v>0</v>
      </c>
      <c r="J1266" t="n">
        <v>0</v>
      </c>
      <c r="K1266" t="n">
        <v>0</v>
      </c>
      <c r="L1266" t="n">
        <v>0</v>
      </c>
      <c r="M1266" t="n">
        <v>0</v>
      </c>
      <c r="N1266" t="n">
        <v>0</v>
      </c>
      <c r="O1266" t="n">
        <v>0</v>
      </c>
      <c r="P1266" t="n">
        <v>0</v>
      </c>
      <c r="Q1266" t="n">
        <v>0</v>
      </c>
      <c r="R1266" s="2" t="inlineStr"/>
    </row>
    <row r="1267" ht="15" customHeight="1">
      <c r="A1267" t="inlineStr">
        <is>
          <t>A 3998-2019</t>
        </is>
      </c>
      <c r="B1267" s="1" t="n">
        <v>43475</v>
      </c>
      <c r="C1267" s="1" t="n">
        <v>45190</v>
      </c>
      <c r="D1267" t="inlineStr">
        <is>
          <t>KALMAR LÄN</t>
        </is>
      </c>
      <c r="E1267" t="inlineStr">
        <is>
          <t>HULTSFRED</t>
        </is>
      </c>
      <c r="F1267" t="inlineStr">
        <is>
          <t>Kommuner</t>
        </is>
      </c>
      <c r="G1267" t="n">
        <v>8.300000000000001</v>
      </c>
      <c r="H1267" t="n">
        <v>0</v>
      </c>
      <c r="I1267" t="n">
        <v>0</v>
      </c>
      <c r="J1267" t="n">
        <v>0</v>
      </c>
      <c r="K1267" t="n">
        <v>0</v>
      </c>
      <c r="L1267" t="n">
        <v>0</v>
      </c>
      <c r="M1267" t="n">
        <v>0</v>
      </c>
      <c r="N1267" t="n">
        <v>0</v>
      </c>
      <c r="O1267" t="n">
        <v>0</v>
      </c>
      <c r="P1267" t="n">
        <v>0</v>
      </c>
      <c r="Q1267" t="n">
        <v>0</v>
      </c>
      <c r="R1267" s="2" t="inlineStr"/>
    </row>
    <row r="1268" ht="15" customHeight="1">
      <c r="A1268" t="inlineStr">
        <is>
          <t>A 2112-2019</t>
        </is>
      </c>
      <c r="B1268" s="1" t="n">
        <v>43475</v>
      </c>
      <c r="C1268" s="1" t="n">
        <v>45190</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2170-2019</t>
        </is>
      </c>
      <c r="B1269" s="1" t="n">
        <v>43475</v>
      </c>
      <c r="C1269" s="1" t="n">
        <v>45190</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2235-2019</t>
        </is>
      </c>
      <c r="B1270" s="1" t="n">
        <v>43475</v>
      </c>
      <c r="C1270" s="1" t="n">
        <v>45190</v>
      </c>
      <c r="D1270" t="inlineStr">
        <is>
          <t>KALMAR LÄN</t>
        </is>
      </c>
      <c r="E1270" t="inlineStr">
        <is>
          <t>OSKARSHAMN</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3830-2019</t>
        </is>
      </c>
      <c r="B1271" s="1" t="n">
        <v>43475</v>
      </c>
      <c r="C1271" s="1" t="n">
        <v>45190</v>
      </c>
      <c r="D1271" t="inlineStr">
        <is>
          <t>KALMAR LÄN</t>
        </is>
      </c>
      <c r="E1271" t="inlineStr">
        <is>
          <t>HÖGSBY</t>
        </is>
      </c>
      <c r="G1271" t="n">
        <v>12.9</v>
      </c>
      <c r="H1271" t="n">
        <v>0</v>
      </c>
      <c r="I1271" t="n">
        <v>0</v>
      </c>
      <c r="J1271" t="n">
        <v>0</v>
      </c>
      <c r="K1271" t="n">
        <v>0</v>
      </c>
      <c r="L1271" t="n">
        <v>0</v>
      </c>
      <c r="M1271" t="n">
        <v>0</v>
      </c>
      <c r="N1271" t="n">
        <v>0</v>
      </c>
      <c r="O1271" t="n">
        <v>0</v>
      </c>
      <c r="P1271" t="n">
        <v>0</v>
      </c>
      <c r="Q1271" t="n">
        <v>0</v>
      </c>
      <c r="R1271" s="2" t="inlineStr"/>
    </row>
    <row r="1272" ht="15" customHeight="1">
      <c r="A1272" t="inlineStr">
        <is>
          <t>A 3986-2019</t>
        </is>
      </c>
      <c r="B1272" s="1" t="n">
        <v>43475</v>
      </c>
      <c r="C1272" s="1" t="n">
        <v>45190</v>
      </c>
      <c r="D1272" t="inlineStr">
        <is>
          <t>KALMAR LÄN</t>
        </is>
      </c>
      <c r="E1272" t="inlineStr">
        <is>
          <t>NYBRO</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3820-2019</t>
        </is>
      </c>
      <c r="B1273" s="1" t="n">
        <v>43475</v>
      </c>
      <c r="C1273" s="1" t="n">
        <v>45190</v>
      </c>
      <c r="D1273" t="inlineStr">
        <is>
          <t>KALMAR LÄN</t>
        </is>
      </c>
      <c r="E1273" t="inlineStr">
        <is>
          <t>HÖGSBY</t>
        </is>
      </c>
      <c r="G1273" t="n">
        <v>9.300000000000001</v>
      </c>
      <c r="H1273" t="n">
        <v>0</v>
      </c>
      <c r="I1273" t="n">
        <v>0</v>
      </c>
      <c r="J1273" t="n">
        <v>0</v>
      </c>
      <c r="K1273" t="n">
        <v>0</v>
      </c>
      <c r="L1273" t="n">
        <v>0</v>
      </c>
      <c r="M1273" t="n">
        <v>0</v>
      </c>
      <c r="N1273" t="n">
        <v>0</v>
      </c>
      <c r="O1273" t="n">
        <v>0</v>
      </c>
      <c r="P1273" t="n">
        <v>0</v>
      </c>
      <c r="Q1273" t="n">
        <v>0</v>
      </c>
      <c r="R1273" s="2" t="inlineStr"/>
    </row>
    <row r="1274" ht="15" customHeight="1">
      <c r="A1274" t="inlineStr">
        <is>
          <t>A 3869-2019</t>
        </is>
      </c>
      <c r="B1274" s="1" t="n">
        <v>43475</v>
      </c>
      <c r="C1274" s="1" t="n">
        <v>45190</v>
      </c>
      <c r="D1274" t="inlineStr">
        <is>
          <t>KALMAR LÄN</t>
        </is>
      </c>
      <c r="E1274" t="inlineStr">
        <is>
          <t>HÖGSBY</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3883-2019</t>
        </is>
      </c>
      <c r="B1275" s="1" t="n">
        <v>43475</v>
      </c>
      <c r="C1275" s="1" t="n">
        <v>45190</v>
      </c>
      <c r="D1275" t="inlineStr">
        <is>
          <t>KALMAR LÄN</t>
        </is>
      </c>
      <c r="E1275" t="inlineStr">
        <is>
          <t>HÖGSBY</t>
        </is>
      </c>
      <c r="G1275" t="n">
        <v>22.7</v>
      </c>
      <c r="H1275" t="n">
        <v>0</v>
      </c>
      <c r="I1275" t="n">
        <v>0</v>
      </c>
      <c r="J1275" t="n">
        <v>0</v>
      </c>
      <c r="K1275" t="n">
        <v>0</v>
      </c>
      <c r="L1275" t="n">
        <v>0</v>
      </c>
      <c r="M1275" t="n">
        <v>0</v>
      </c>
      <c r="N1275" t="n">
        <v>0</v>
      </c>
      <c r="O1275" t="n">
        <v>0</v>
      </c>
      <c r="P1275" t="n">
        <v>0</v>
      </c>
      <c r="Q1275" t="n">
        <v>0</v>
      </c>
      <c r="R1275" s="2" t="inlineStr"/>
    </row>
    <row r="1276" ht="15" customHeight="1">
      <c r="A1276" t="inlineStr">
        <is>
          <t>A 3979-2019</t>
        </is>
      </c>
      <c r="B1276" s="1" t="n">
        <v>43475</v>
      </c>
      <c r="C1276" s="1" t="n">
        <v>45190</v>
      </c>
      <c r="D1276" t="inlineStr">
        <is>
          <t>KALMAR LÄN</t>
        </is>
      </c>
      <c r="E1276" t="inlineStr">
        <is>
          <t>HÖGSBY</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3994-2019</t>
        </is>
      </c>
      <c r="B1277" s="1" t="n">
        <v>43475</v>
      </c>
      <c r="C1277" s="1" t="n">
        <v>45190</v>
      </c>
      <c r="D1277" t="inlineStr">
        <is>
          <t>KALMAR LÄN</t>
        </is>
      </c>
      <c r="E1277" t="inlineStr">
        <is>
          <t>HULTSFRED</t>
        </is>
      </c>
      <c r="F1277" t="inlineStr">
        <is>
          <t>Kommuner</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2474-2019</t>
        </is>
      </c>
      <c r="B1278" s="1" t="n">
        <v>43476</v>
      </c>
      <c r="C1278" s="1" t="n">
        <v>45190</v>
      </c>
      <c r="D1278" t="inlineStr">
        <is>
          <t>KALMAR LÄN</t>
        </is>
      </c>
      <c r="E1278" t="inlineStr">
        <is>
          <t>OSKARSHAMN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2437-2019</t>
        </is>
      </c>
      <c r="B1279" s="1" t="n">
        <v>43476</v>
      </c>
      <c r="C1279" s="1" t="n">
        <v>45190</v>
      </c>
      <c r="D1279" t="inlineStr">
        <is>
          <t>KALMAR LÄN</t>
        </is>
      </c>
      <c r="E1279" t="inlineStr">
        <is>
          <t>VÄSTERVIK</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2459-2019</t>
        </is>
      </c>
      <c r="B1280" s="1" t="n">
        <v>43476</v>
      </c>
      <c r="C1280" s="1" t="n">
        <v>45190</v>
      </c>
      <c r="D1280" t="inlineStr">
        <is>
          <t>KALMAR LÄN</t>
        </is>
      </c>
      <c r="E1280" t="inlineStr">
        <is>
          <t>NYBRO</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2545-2019</t>
        </is>
      </c>
      <c r="B1281" s="1" t="n">
        <v>43476</v>
      </c>
      <c r="C1281" s="1" t="n">
        <v>45190</v>
      </c>
      <c r="D1281" t="inlineStr">
        <is>
          <t>KALMAR LÄN</t>
        </is>
      </c>
      <c r="E1281" t="inlineStr">
        <is>
          <t>VIMMERBY</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2653-2019</t>
        </is>
      </c>
      <c r="B1282" s="1" t="n">
        <v>43478</v>
      </c>
      <c r="C1282" s="1" t="n">
        <v>45190</v>
      </c>
      <c r="D1282" t="inlineStr">
        <is>
          <t>KALMAR LÄN</t>
        </is>
      </c>
      <c r="E1282" t="inlineStr">
        <is>
          <t>OSKARSHAMN</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2669-2019</t>
        </is>
      </c>
      <c r="B1283" s="1" t="n">
        <v>43478</v>
      </c>
      <c r="C1283" s="1" t="n">
        <v>45190</v>
      </c>
      <c r="D1283" t="inlineStr">
        <is>
          <t>KALMAR LÄN</t>
        </is>
      </c>
      <c r="E1283" t="inlineStr">
        <is>
          <t>HULTSFRED</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2844-2019</t>
        </is>
      </c>
      <c r="B1284" s="1" t="n">
        <v>43479</v>
      </c>
      <c r="C1284" s="1" t="n">
        <v>45190</v>
      </c>
      <c r="D1284" t="inlineStr">
        <is>
          <t>KALMAR LÄN</t>
        </is>
      </c>
      <c r="E1284" t="inlineStr">
        <is>
          <t>OSKARSHAMN</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2856-2019</t>
        </is>
      </c>
      <c r="B1285" s="1" t="n">
        <v>43479</v>
      </c>
      <c r="C1285" s="1" t="n">
        <v>45190</v>
      </c>
      <c r="D1285" t="inlineStr">
        <is>
          <t>KALMAR LÄN</t>
        </is>
      </c>
      <c r="E1285" t="inlineStr">
        <is>
          <t>VIMMERBY</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3018-2019</t>
        </is>
      </c>
      <c r="B1286" s="1" t="n">
        <v>43479</v>
      </c>
      <c r="C1286" s="1" t="n">
        <v>45190</v>
      </c>
      <c r="D1286" t="inlineStr">
        <is>
          <t>KALMAR LÄN</t>
        </is>
      </c>
      <c r="E1286" t="inlineStr">
        <is>
          <t>HULTSFRED</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2891-2019</t>
        </is>
      </c>
      <c r="B1287" s="1" t="n">
        <v>43479</v>
      </c>
      <c r="C1287" s="1" t="n">
        <v>45190</v>
      </c>
      <c r="D1287" t="inlineStr">
        <is>
          <t>KALMAR LÄN</t>
        </is>
      </c>
      <c r="E1287" t="inlineStr">
        <is>
          <t>NYBRO</t>
        </is>
      </c>
      <c r="G1287" t="n">
        <v>21.9</v>
      </c>
      <c r="H1287" t="n">
        <v>0</v>
      </c>
      <c r="I1287" t="n">
        <v>0</v>
      </c>
      <c r="J1287" t="n">
        <v>0</v>
      </c>
      <c r="K1287" t="n">
        <v>0</v>
      </c>
      <c r="L1287" t="n">
        <v>0</v>
      </c>
      <c r="M1287" t="n">
        <v>0</v>
      </c>
      <c r="N1287" t="n">
        <v>0</v>
      </c>
      <c r="O1287" t="n">
        <v>0</v>
      </c>
      <c r="P1287" t="n">
        <v>0</v>
      </c>
      <c r="Q1287" t="n">
        <v>0</v>
      </c>
      <c r="R1287" s="2" t="inlineStr"/>
    </row>
    <row r="1288" ht="15" customHeight="1">
      <c r="A1288" t="inlineStr">
        <is>
          <t>A 4757-2019</t>
        </is>
      </c>
      <c r="B1288" s="1" t="n">
        <v>43479</v>
      </c>
      <c r="C1288" s="1" t="n">
        <v>45190</v>
      </c>
      <c r="D1288" t="inlineStr">
        <is>
          <t>KALMAR LÄN</t>
        </is>
      </c>
      <c r="E1288" t="inlineStr">
        <is>
          <t>KALMAR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4863-2019</t>
        </is>
      </c>
      <c r="B1289" s="1" t="n">
        <v>43479</v>
      </c>
      <c r="C1289" s="1" t="n">
        <v>45190</v>
      </c>
      <c r="D1289" t="inlineStr">
        <is>
          <t>KALMAR LÄN</t>
        </is>
      </c>
      <c r="E1289" t="inlineStr">
        <is>
          <t>KALMAR</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2996-2019</t>
        </is>
      </c>
      <c r="B1290" s="1" t="n">
        <v>43479</v>
      </c>
      <c r="C1290" s="1" t="n">
        <v>45190</v>
      </c>
      <c r="D1290" t="inlineStr">
        <is>
          <t>KALMAR LÄN</t>
        </is>
      </c>
      <c r="E1290" t="inlineStr">
        <is>
          <t>HULTSFRED</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3095-2019</t>
        </is>
      </c>
      <c r="B1291" s="1" t="n">
        <v>43479</v>
      </c>
      <c r="C1291" s="1" t="n">
        <v>45190</v>
      </c>
      <c r="D1291" t="inlineStr">
        <is>
          <t>KALMAR LÄN</t>
        </is>
      </c>
      <c r="E1291" t="inlineStr">
        <is>
          <t>VIMMERBY</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2831-2019</t>
        </is>
      </c>
      <c r="B1292" s="1" t="n">
        <v>43479</v>
      </c>
      <c r="C1292" s="1" t="n">
        <v>45190</v>
      </c>
      <c r="D1292" t="inlineStr">
        <is>
          <t>KALMAR LÄN</t>
        </is>
      </c>
      <c r="E1292" t="inlineStr">
        <is>
          <t>EMMABODA</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2854-2019</t>
        </is>
      </c>
      <c r="B1293" s="1" t="n">
        <v>43479</v>
      </c>
      <c r="C1293" s="1" t="n">
        <v>45190</v>
      </c>
      <c r="D1293" t="inlineStr">
        <is>
          <t>KALMAR LÄN</t>
        </is>
      </c>
      <c r="E1293" t="inlineStr">
        <is>
          <t>NYBRO</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2864-2019</t>
        </is>
      </c>
      <c r="B1294" s="1" t="n">
        <v>43479</v>
      </c>
      <c r="C1294" s="1" t="n">
        <v>45190</v>
      </c>
      <c r="D1294" t="inlineStr">
        <is>
          <t>KALMAR LÄN</t>
        </is>
      </c>
      <c r="E1294" t="inlineStr">
        <is>
          <t>VIMMERBY</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2911-2019</t>
        </is>
      </c>
      <c r="B1295" s="1" t="n">
        <v>43479</v>
      </c>
      <c r="C1295" s="1" t="n">
        <v>45190</v>
      </c>
      <c r="D1295" t="inlineStr">
        <is>
          <t>KALMAR LÄN</t>
        </is>
      </c>
      <c r="E1295" t="inlineStr">
        <is>
          <t>NYBRO</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4867-2019</t>
        </is>
      </c>
      <c r="B1296" s="1" t="n">
        <v>43479</v>
      </c>
      <c r="C1296" s="1" t="n">
        <v>45190</v>
      </c>
      <c r="D1296" t="inlineStr">
        <is>
          <t>KALMAR LÄN</t>
        </is>
      </c>
      <c r="E1296" t="inlineStr">
        <is>
          <t>KALMAR</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3273-2019</t>
        </is>
      </c>
      <c r="B1297" s="1" t="n">
        <v>43480</v>
      </c>
      <c r="C1297" s="1" t="n">
        <v>45190</v>
      </c>
      <c r="D1297" t="inlineStr">
        <is>
          <t>KALMAR LÄN</t>
        </is>
      </c>
      <c r="E1297" t="inlineStr">
        <is>
          <t>HULTSFRED</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3572-2019</t>
        </is>
      </c>
      <c r="B1298" s="1" t="n">
        <v>43480</v>
      </c>
      <c r="C1298" s="1" t="n">
        <v>45190</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5049-2019</t>
        </is>
      </c>
      <c r="B1299" s="1" t="n">
        <v>43480</v>
      </c>
      <c r="C1299" s="1" t="n">
        <v>45190</v>
      </c>
      <c r="D1299" t="inlineStr">
        <is>
          <t>KALMAR LÄN</t>
        </is>
      </c>
      <c r="E1299" t="inlineStr">
        <is>
          <t>NYBRO</t>
        </is>
      </c>
      <c r="G1299" t="n">
        <v>2.9</v>
      </c>
      <c r="H1299" t="n">
        <v>0</v>
      </c>
      <c r="I1299" t="n">
        <v>0</v>
      </c>
      <c r="J1299" t="n">
        <v>0</v>
      </c>
      <c r="K1299" t="n">
        <v>0</v>
      </c>
      <c r="L1299" t="n">
        <v>0</v>
      </c>
      <c r="M1299" t="n">
        <v>0</v>
      </c>
      <c r="N1299" t="n">
        <v>0</v>
      </c>
      <c r="O1299" t="n">
        <v>0</v>
      </c>
      <c r="P1299" t="n">
        <v>0</v>
      </c>
      <c r="Q1299" t="n">
        <v>0</v>
      </c>
      <c r="R1299" s="2" t="inlineStr"/>
    </row>
    <row r="1300" ht="15" customHeight="1">
      <c r="A1300" t="inlineStr">
        <is>
          <t>A 5249-2019</t>
        </is>
      </c>
      <c r="B1300" s="1" t="n">
        <v>43480</v>
      </c>
      <c r="C1300" s="1" t="n">
        <v>45190</v>
      </c>
      <c r="D1300" t="inlineStr">
        <is>
          <t>KALMAR LÄN</t>
        </is>
      </c>
      <c r="E1300" t="inlineStr">
        <is>
          <t>VIMMERBY</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3197-2019</t>
        </is>
      </c>
      <c r="B1301" s="1" t="n">
        <v>43480</v>
      </c>
      <c r="C1301" s="1" t="n">
        <v>45190</v>
      </c>
      <c r="D1301" t="inlineStr">
        <is>
          <t>KALMAR LÄN</t>
        </is>
      </c>
      <c r="E1301" t="inlineStr">
        <is>
          <t>KALMAR</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3252-2019</t>
        </is>
      </c>
      <c r="B1302" s="1" t="n">
        <v>43480</v>
      </c>
      <c r="C1302" s="1" t="n">
        <v>45190</v>
      </c>
      <c r="D1302" t="inlineStr">
        <is>
          <t>KALMAR LÄN</t>
        </is>
      </c>
      <c r="E1302" t="inlineStr">
        <is>
          <t>NYBRO</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5259-2019</t>
        </is>
      </c>
      <c r="B1303" s="1" t="n">
        <v>43480</v>
      </c>
      <c r="C1303" s="1" t="n">
        <v>45190</v>
      </c>
      <c r="D1303" t="inlineStr">
        <is>
          <t>KALMAR LÄN</t>
        </is>
      </c>
      <c r="E1303" t="inlineStr">
        <is>
          <t>NYBRO</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5197-2019</t>
        </is>
      </c>
      <c r="B1304" s="1" t="n">
        <v>43481</v>
      </c>
      <c r="C1304" s="1" t="n">
        <v>45190</v>
      </c>
      <c r="D1304" t="inlineStr">
        <is>
          <t>KALMAR LÄN</t>
        </is>
      </c>
      <c r="E1304" t="inlineStr">
        <is>
          <t>EMMABODA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3415-2019</t>
        </is>
      </c>
      <c r="B1305" s="1" t="n">
        <v>43481</v>
      </c>
      <c r="C1305" s="1" t="n">
        <v>45190</v>
      </c>
      <c r="D1305" t="inlineStr">
        <is>
          <t>KALMAR LÄN</t>
        </is>
      </c>
      <c r="E1305" t="inlineStr">
        <is>
          <t>KALMAR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3615-2019</t>
        </is>
      </c>
      <c r="B1306" s="1" t="n">
        <v>43481</v>
      </c>
      <c r="C1306" s="1" t="n">
        <v>45190</v>
      </c>
      <c r="D1306" t="inlineStr">
        <is>
          <t>KALMAR LÄN</t>
        </is>
      </c>
      <c r="E1306" t="inlineStr">
        <is>
          <t>VIMMERBY</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3660-2019</t>
        </is>
      </c>
      <c r="B1307" s="1" t="n">
        <v>43481</v>
      </c>
      <c r="C1307" s="1" t="n">
        <v>45190</v>
      </c>
      <c r="D1307" t="inlineStr">
        <is>
          <t>KALMAR LÄN</t>
        </is>
      </c>
      <c r="E1307" t="inlineStr">
        <is>
          <t>NYBRO</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3552-2019</t>
        </is>
      </c>
      <c r="B1308" s="1" t="n">
        <v>43481</v>
      </c>
      <c r="C1308" s="1" t="n">
        <v>45190</v>
      </c>
      <c r="D1308" t="inlineStr">
        <is>
          <t>KALMAR LÄN</t>
        </is>
      </c>
      <c r="E1308" t="inlineStr">
        <is>
          <t>HULTSFRED</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3770-2019</t>
        </is>
      </c>
      <c r="B1309" s="1" t="n">
        <v>43481</v>
      </c>
      <c r="C1309" s="1" t="n">
        <v>45190</v>
      </c>
      <c r="D1309" t="inlineStr">
        <is>
          <t>KALMAR LÄN</t>
        </is>
      </c>
      <c r="E1309" t="inlineStr">
        <is>
          <t>TORSÅS</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3846-2019</t>
        </is>
      </c>
      <c r="B1310" s="1" t="n">
        <v>43482</v>
      </c>
      <c r="C1310" s="1" t="n">
        <v>45190</v>
      </c>
      <c r="D1310" t="inlineStr">
        <is>
          <t>KALMAR LÄN</t>
        </is>
      </c>
      <c r="E1310" t="inlineStr">
        <is>
          <t>KALMAR</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4097-2019</t>
        </is>
      </c>
      <c r="B1311" s="1" t="n">
        <v>43482</v>
      </c>
      <c r="C1311" s="1" t="n">
        <v>45190</v>
      </c>
      <c r="D1311" t="inlineStr">
        <is>
          <t>KALMAR LÄN</t>
        </is>
      </c>
      <c r="E1311" t="inlineStr">
        <is>
          <t>KALMAR</t>
        </is>
      </c>
      <c r="G1311" t="n">
        <v>3.7</v>
      </c>
      <c r="H1311" t="n">
        <v>0</v>
      </c>
      <c r="I1311" t="n">
        <v>0</v>
      </c>
      <c r="J1311" t="n">
        <v>0</v>
      </c>
      <c r="K1311" t="n">
        <v>0</v>
      </c>
      <c r="L1311" t="n">
        <v>0</v>
      </c>
      <c r="M1311" t="n">
        <v>0</v>
      </c>
      <c r="N1311" t="n">
        <v>0</v>
      </c>
      <c r="O1311" t="n">
        <v>0</v>
      </c>
      <c r="P1311" t="n">
        <v>0</v>
      </c>
      <c r="Q1311" t="n">
        <v>0</v>
      </c>
      <c r="R1311" s="2" t="inlineStr"/>
    </row>
    <row r="1312" ht="15" customHeight="1">
      <c r="A1312" t="inlineStr">
        <is>
          <t>A 4096-2019</t>
        </is>
      </c>
      <c r="B1312" s="1" t="n">
        <v>43482</v>
      </c>
      <c r="C1312" s="1" t="n">
        <v>45190</v>
      </c>
      <c r="D1312" t="inlineStr">
        <is>
          <t>KALMAR LÄN</t>
        </is>
      </c>
      <c r="E1312" t="inlineStr">
        <is>
          <t>KALMAR</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3847-2019</t>
        </is>
      </c>
      <c r="B1313" s="1" t="n">
        <v>43482</v>
      </c>
      <c r="C1313" s="1" t="n">
        <v>45190</v>
      </c>
      <c r="D1313" t="inlineStr">
        <is>
          <t>KALMAR LÄN</t>
        </is>
      </c>
      <c r="E1313" t="inlineStr">
        <is>
          <t>KALMAR</t>
        </is>
      </c>
      <c r="G1313" t="n">
        <v>3.9</v>
      </c>
      <c r="H1313" t="n">
        <v>0</v>
      </c>
      <c r="I1313" t="n">
        <v>0</v>
      </c>
      <c r="J1313" t="n">
        <v>0</v>
      </c>
      <c r="K1313" t="n">
        <v>0</v>
      </c>
      <c r="L1313" t="n">
        <v>0</v>
      </c>
      <c r="M1313" t="n">
        <v>0</v>
      </c>
      <c r="N1313" t="n">
        <v>0</v>
      </c>
      <c r="O1313" t="n">
        <v>0</v>
      </c>
      <c r="P1313" t="n">
        <v>0</v>
      </c>
      <c r="Q1313" t="n">
        <v>0</v>
      </c>
      <c r="R1313" s="2" t="inlineStr"/>
    </row>
    <row r="1314" ht="15" customHeight="1">
      <c r="A1314" t="inlineStr">
        <is>
          <t>A 3851-2019</t>
        </is>
      </c>
      <c r="B1314" s="1" t="n">
        <v>43482</v>
      </c>
      <c r="C1314" s="1" t="n">
        <v>45190</v>
      </c>
      <c r="D1314" t="inlineStr">
        <is>
          <t>KALMAR LÄN</t>
        </is>
      </c>
      <c r="E1314" t="inlineStr">
        <is>
          <t>NYBRO</t>
        </is>
      </c>
      <c r="G1314" t="n">
        <v>6.8</v>
      </c>
      <c r="H1314" t="n">
        <v>0</v>
      </c>
      <c r="I1314" t="n">
        <v>0</v>
      </c>
      <c r="J1314" t="n">
        <v>0</v>
      </c>
      <c r="K1314" t="n">
        <v>0</v>
      </c>
      <c r="L1314" t="n">
        <v>0</v>
      </c>
      <c r="M1314" t="n">
        <v>0</v>
      </c>
      <c r="N1314" t="n">
        <v>0</v>
      </c>
      <c r="O1314" t="n">
        <v>0</v>
      </c>
      <c r="P1314" t="n">
        <v>0</v>
      </c>
      <c r="Q1314" t="n">
        <v>0</v>
      </c>
      <c r="R1314" s="2" t="inlineStr"/>
    </row>
    <row r="1315" ht="15" customHeight="1">
      <c r="A1315" t="inlineStr">
        <is>
          <t>A 3980-2019</t>
        </is>
      </c>
      <c r="B1315" s="1" t="n">
        <v>43482</v>
      </c>
      <c r="C1315" s="1" t="n">
        <v>45190</v>
      </c>
      <c r="D1315" t="inlineStr">
        <is>
          <t>KALMAR LÄN</t>
        </is>
      </c>
      <c r="E1315" t="inlineStr">
        <is>
          <t>OSKARSHAMN</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4316-2019</t>
        </is>
      </c>
      <c r="B1316" s="1" t="n">
        <v>43483</v>
      </c>
      <c r="C1316" s="1" t="n">
        <v>45190</v>
      </c>
      <c r="D1316" t="inlineStr">
        <is>
          <t>KALMAR LÄN</t>
        </is>
      </c>
      <c r="E1316" t="inlineStr">
        <is>
          <t>TORSÅS</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4366-2019</t>
        </is>
      </c>
      <c r="B1317" s="1" t="n">
        <v>43483</v>
      </c>
      <c r="C1317" s="1" t="n">
        <v>45190</v>
      </c>
      <c r="D1317" t="inlineStr">
        <is>
          <t>KALMAR LÄN</t>
        </is>
      </c>
      <c r="E1317" t="inlineStr">
        <is>
          <t>HÖGSBY</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4307-2019</t>
        </is>
      </c>
      <c r="B1318" s="1" t="n">
        <v>43483</v>
      </c>
      <c r="C1318" s="1" t="n">
        <v>45190</v>
      </c>
      <c r="D1318" t="inlineStr">
        <is>
          <t>KALMAR LÄN</t>
        </is>
      </c>
      <c r="E1318" t="inlineStr">
        <is>
          <t>TORSÅS</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4371-2019</t>
        </is>
      </c>
      <c r="B1319" s="1" t="n">
        <v>43483</v>
      </c>
      <c r="C1319" s="1" t="n">
        <v>45190</v>
      </c>
      <c r="D1319" t="inlineStr">
        <is>
          <t>KALMAR LÄN</t>
        </is>
      </c>
      <c r="E1319" t="inlineStr">
        <is>
          <t>HÖGSBY</t>
        </is>
      </c>
      <c r="G1319" t="n">
        <v>2.9</v>
      </c>
      <c r="H1319" t="n">
        <v>0</v>
      </c>
      <c r="I1319" t="n">
        <v>0</v>
      </c>
      <c r="J1319" t="n">
        <v>0</v>
      </c>
      <c r="K1319" t="n">
        <v>0</v>
      </c>
      <c r="L1319" t="n">
        <v>0</v>
      </c>
      <c r="M1319" t="n">
        <v>0</v>
      </c>
      <c r="N1319" t="n">
        <v>0</v>
      </c>
      <c r="O1319" t="n">
        <v>0</v>
      </c>
      <c r="P1319" t="n">
        <v>0</v>
      </c>
      <c r="Q1319" t="n">
        <v>0</v>
      </c>
      <c r="R1319" s="2" t="inlineStr"/>
    </row>
    <row r="1320" ht="15" customHeight="1">
      <c r="A1320" t="inlineStr">
        <is>
          <t>A 4288-2019</t>
        </is>
      </c>
      <c r="B1320" s="1" t="n">
        <v>43483</v>
      </c>
      <c r="C1320" s="1" t="n">
        <v>45190</v>
      </c>
      <c r="D1320" t="inlineStr">
        <is>
          <t>KALMAR LÄN</t>
        </is>
      </c>
      <c r="E1320" t="inlineStr">
        <is>
          <t>VIMMERBY</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4356-2019</t>
        </is>
      </c>
      <c r="B1321" s="1" t="n">
        <v>43483</v>
      </c>
      <c r="C1321" s="1" t="n">
        <v>45190</v>
      </c>
      <c r="D1321" t="inlineStr">
        <is>
          <t>KALMAR LÄN</t>
        </is>
      </c>
      <c r="E1321" t="inlineStr">
        <is>
          <t>BORGHOLM</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4370-2019</t>
        </is>
      </c>
      <c r="B1322" s="1" t="n">
        <v>43483</v>
      </c>
      <c r="C1322" s="1" t="n">
        <v>45190</v>
      </c>
      <c r="D1322" t="inlineStr">
        <is>
          <t>KALMAR LÄN</t>
        </is>
      </c>
      <c r="E1322" t="inlineStr">
        <is>
          <t>HÖGSBY</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4382-2019</t>
        </is>
      </c>
      <c r="B1323" s="1" t="n">
        <v>43484</v>
      </c>
      <c r="C1323" s="1" t="n">
        <v>45190</v>
      </c>
      <c r="D1323" t="inlineStr">
        <is>
          <t>KALMAR LÄN</t>
        </is>
      </c>
      <c r="E1323" t="inlineStr">
        <is>
          <t>HULTSFRED</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4415-2019</t>
        </is>
      </c>
      <c r="B1324" s="1" t="n">
        <v>43485</v>
      </c>
      <c r="C1324" s="1" t="n">
        <v>45190</v>
      </c>
      <c r="D1324" t="inlineStr">
        <is>
          <t>KALMAR LÄN</t>
        </is>
      </c>
      <c r="E1324" t="inlineStr">
        <is>
          <t>NYBRO</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4459-2019</t>
        </is>
      </c>
      <c r="B1325" s="1" t="n">
        <v>43485</v>
      </c>
      <c r="C1325" s="1" t="n">
        <v>45190</v>
      </c>
      <c r="D1325" t="inlineStr">
        <is>
          <t>KALMAR LÄN</t>
        </is>
      </c>
      <c r="E1325" t="inlineStr">
        <is>
          <t>OSKARSHAMN</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4433-2019</t>
        </is>
      </c>
      <c r="B1326" s="1" t="n">
        <v>43485</v>
      </c>
      <c r="C1326" s="1" t="n">
        <v>45190</v>
      </c>
      <c r="D1326" t="inlineStr">
        <is>
          <t>KALMAR LÄN</t>
        </is>
      </c>
      <c r="E1326" t="inlineStr">
        <is>
          <t>NYBRO</t>
        </is>
      </c>
      <c r="G1326" t="n">
        <v>5.1</v>
      </c>
      <c r="H1326" t="n">
        <v>0</v>
      </c>
      <c r="I1326" t="n">
        <v>0</v>
      </c>
      <c r="J1326" t="n">
        <v>0</v>
      </c>
      <c r="K1326" t="n">
        <v>0</v>
      </c>
      <c r="L1326" t="n">
        <v>0</v>
      </c>
      <c r="M1326" t="n">
        <v>0</v>
      </c>
      <c r="N1326" t="n">
        <v>0</v>
      </c>
      <c r="O1326" t="n">
        <v>0</v>
      </c>
      <c r="P1326" t="n">
        <v>0</v>
      </c>
      <c r="Q1326" t="n">
        <v>0</v>
      </c>
      <c r="R1326" s="2" t="inlineStr"/>
    </row>
    <row r="1327" ht="15" customHeight="1">
      <c r="A1327" t="inlineStr">
        <is>
          <t>A 4460-2019</t>
        </is>
      </c>
      <c r="B1327" s="1" t="n">
        <v>43485</v>
      </c>
      <c r="C1327" s="1" t="n">
        <v>45190</v>
      </c>
      <c r="D1327" t="inlineStr">
        <is>
          <t>KALMAR LÄN</t>
        </is>
      </c>
      <c r="E1327" t="inlineStr">
        <is>
          <t>VIMMERBY</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4413-2019</t>
        </is>
      </c>
      <c r="B1328" s="1" t="n">
        <v>43485</v>
      </c>
      <c r="C1328" s="1" t="n">
        <v>45190</v>
      </c>
      <c r="D1328" t="inlineStr">
        <is>
          <t>KALMAR LÄN</t>
        </is>
      </c>
      <c r="E1328" t="inlineStr">
        <is>
          <t>KALMAR</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4429-2019</t>
        </is>
      </c>
      <c r="B1329" s="1" t="n">
        <v>43485</v>
      </c>
      <c r="C1329" s="1" t="n">
        <v>45190</v>
      </c>
      <c r="D1329" t="inlineStr">
        <is>
          <t>KALMAR LÄN</t>
        </is>
      </c>
      <c r="E1329" t="inlineStr">
        <is>
          <t>NYBRO</t>
        </is>
      </c>
      <c r="G1329" t="n">
        <v>8.9</v>
      </c>
      <c r="H1329" t="n">
        <v>0</v>
      </c>
      <c r="I1329" t="n">
        <v>0</v>
      </c>
      <c r="J1329" t="n">
        <v>0</v>
      </c>
      <c r="K1329" t="n">
        <v>0</v>
      </c>
      <c r="L1329" t="n">
        <v>0</v>
      </c>
      <c r="M1329" t="n">
        <v>0</v>
      </c>
      <c r="N1329" t="n">
        <v>0</v>
      </c>
      <c r="O1329" t="n">
        <v>0</v>
      </c>
      <c r="P1329" t="n">
        <v>0</v>
      </c>
      <c r="Q1329" t="n">
        <v>0</v>
      </c>
      <c r="R1329" s="2" t="inlineStr"/>
    </row>
    <row r="1330" ht="15" customHeight="1">
      <c r="A1330" t="inlineStr">
        <is>
          <t>A 4412-2019</t>
        </is>
      </c>
      <c r="B1330" s="1" t="n">
        <v>43485</v>
      </c>
      <c r="C1330" s="1" t="n">
        <v>45190</v>
      </c>
      <c r="D1330" t="inlineStr">
        <is>
          <t>KALMAR LÄN</t>
        </is>
      </c>
      <c r="E1330" t="inlineStr">
        <is>
          <t>KALMAR</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4428-2019</t>
        </is>
      </c>
      <c r="B1331" s="1" t="n">
        <v>43485</v>
      </c>
      <c r="C1331" s="1" t="n">
        <v>45190</v>
      </c>
      <c r="D1331" t="inlineStr">
        <is>
          <t>KALMAR LÄN</t>
        </is>
      </c>
      <c r="E1331" t="inlineStr">
        <is>
          <t>NYBRO</t>
        </is>
      </c>
      <c r="G1331" t="n">
        <v>6.4</v>
      </c>
      <c r="H1331" t="n">
        <v>0</v>
      </c>
      <c r="I1331" t="n">
        <v>0</v>
      </c>
      <c r="J1331" t="n">
        <v>0</v>
      </c>
      <c r="K1331" t="n">
        <v>0</v>
      </c>
      <c r="L1331" t="n">
        <v>0</v>
      </c>
      <c r="M1331" t="n">
        <v>0</v>
      </c>
      <c r="N1331" t="n">
        <v>0</v>
      </c>
      <c r="O1331" t="n">
        <v>0</v>
      </c>
      <c r="P1331" t="n">
        <v>0</v>
      </c>
      <c r="Q1331" t="n">
        <v>0</v>
      </c>
      <c r="R1331" s="2" t="inlineStr"/>
    </row>
    <row r="1332" ht="15" customHeight="1">
      <c r="A1332" t="inlineStr">
        <is>
          <t>A 4778-2019</t>
        </is>
      </c>
      <c r="B1332" s="1" t="n">
        <v>43486</v>
      </c>
      <c r="C1332" s="1" t="n">
        <v>45190</v>
      </c>
      <c r="D1332" t="inlineStr">
        <is>
          <t>KALMAR LÄN</t>
        </is>
      </c>
      <c r="E1332" t="inlineStr">
        <is>
          <t>HÖGSBY</t>
        </is>
      </c>
      <c r="G1332" t="n">
        <v>3.6</v>
      </c>
      <c r="H1332" t="n">
        <v>0</v>
      </c>
      <c r="I1332" t="n">
        <v>0</v>
      </c>
      <c r="J1332" t="n">
        <v>0</v>
      </c>
      <c r="K1332" t="n">
        <v>0</v>
      </c>
      <c r="L1332" t="n">
        <v>0</v>
      </c>
      <c r="M1332" t="n">
        <v>0</v>
      </c>
      <c r="N1332" t="n">
        <v>0</v>
      </c>
      <c r="O1332" t="n">
        <v>0</v>
      </c>
      <c r="P1332" t="n">
        <v>0</v>
      </c>
      <c r="Q1332" t="n">
        <v>0</v>
      </c>
      <c r="R1332" s="2" t="inlineStr"/>
    </row>
    <row r="1333" ht="15" customHeight="1">
      <c r="A1333" t="inlineStr">
        <is>
          <t>A 4782-2019</t>
        </is>
      </c>
      <c r="B1333" s="1" t="n">
        <v>43486</v>
      </c>
      <c r="C1333" s="1" t="n">
        <v>45190</v>
      </c>
      <c r="D1333" t="inlineStr">
        <is>
          <t>KALMAR LÄN</t>
        </is>
      </c>
      <c r="E1333" t="inlineStr">
        <is>
          <t>TORSÅS</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6186-2019</t>
        </is>
      </c>
      <c r="B1334" s="1" t="n">
        <v>43486</v>
      </c>
      <c r="C1334" s="1" t="n">
        <v>45190</v>
      </c>
      <c r="D1334" t="inlineStr">
        <is>
          <t>KALMAR LÄN</t>
        </is>
      </c>
      <c r="E1334" t="inlineStr">
        <is>
          <t>NYBRO</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4629-2019</t>
        </is>
      </c>
      <c r="B1335" s="1" t="n">
        <v>43486</v>
      </c>
      <c r="C1335" s="1" t="n">
        <v>45190</v>
      </c>
      <c r="D1335" t="inlineStr">
        <is>
          <t>KALMAR LÄN</t>
        </is>
      </c>
      <c r="E1335" t="inlineStr">
        <is>
          <t>OSKARSHAMN</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4665-2019</t>
        </is>
      </c>
      <c r="B1336" s="1" t="n">
        <v>43486</v>
      </c>
      <c r="C1336" s="1" t="n">
        <v>45190</v>
      </c>
      <c r="D1336" t="inlineStr">
        <is>
          <t>KALMAR LÄN</t>
        </is>
      </c>
      <c r="E1336" t="inlineStr">
        <is>
          <t>OSKARSHAMN</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4675-2019</t>
        </is>
      </c>
      <c r="B1337" s="1" t="n">
        <v>43486</v>
      </c>
      <c r="C1337" s="1" t="n">
        <v>45190</v>
      </c>
      <c r="D1337" t="inlineStr">
        <is>
          <t>KALMAR LÄN</t>
        </is>
      </c>
      <c r="E1337" t="inlineStr">
        <is>
          <t>VIMMERBY</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4721-2019</t>
        </is>
      </c>
      <c r="B1338" s="1" t="n">
        <v>43486</v>
      </c>
      <c r="C1338" s="1" t="n">
        <v>45190</v>
      </c>
      <c r="D1338" t="inlineStr">
        <is>
          <t>KALMAR LÄN</t>
        </is>
      </c>
      <c r="E1338" t="inlineStr">
        <is>
          <t>HÖGSBY</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6241-2019</t>
        </is>
      </c>
      <c r="B1339" s="1" t="n">
        <v>43486</v>
      </c>
      <c r="C1339" s="1" t="n">
        <v>45190</v>
      </c>
      <c r="D1339" t="inlineStr">
        <is>
          <t>KALMAR LÄN</t>
        </is>
      </c>
      <c r="E1339" t="inlineStr">
        <is>
          <t>HULTSFRED</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4553-2019</t>
        </is>
      </c>
      <c r="B1340" s="1" t="n">
        <v>43486</v>
      </c>
      <c r="C1340" s="1" t="n">
        <v>45190</v>
      </c>
      <c r="D1340" t="inlineStr">
        <is>
          <t>KALMAR LÄN</t>
        </is>
      </c>
      <c r="E1340" t="inlineStr">
        <is>
          <t>BORGHOLM</t>
        </is>
      </c>
      <c r="G1340" t="n">
        <v>12.2</v>
      </c>
      <c r="H1340" t="n">
        <v>0</v>
      </c>
      <c r="I1340" t="n">
        <v>0</v>
      </c>
      <c r="J1340" t="n">
        <v>0</v>
      </c>
      <c r="K1340" t="n">
        <v>0</v>
      </c>
      <c r="L1340" t="n">
        <v>0</v>
      </c>
      <c r="M1340" t="n">
        <v>0</v>
      </c>
      <c r="N1340" t="n">
        <v>0</v>
      </c>
      <c r="O1340" t="n">
        <v>0</v>
      </c>
      <c r="P1340" t="n">
        <v>0</v>
      </c>
      <c r="Q1340" t="n">
        <v>0</v>
      </c>
      <c r="R1340" s="2" t="inlineStr"/>
    </row>
    <row r="1341" ht="15" customHeight="1">
      <c r="A1341" t="inlineStr">
        <is>
          <t>A 4636-2019</t>
        </is>
      </c>
      <c r="B1341" s="1" t="n">
        <v>43486</v>
      </c>
      <c r="C1341" s="1" t="n">
        <v>45190</v>
      </c>
      <c r="D1341" t="inlineStr">
        <is>
          <t>KALMAR LÄN</t>
        </is>
      </c>
      <c r="E1341" t="inlineStr">
        <is>
          <t>OSKARSHAMN</t>
        </is>
      </c>
      <c r="F1341" t="inlineStr">
        <is>
          <t>Sveaskog</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4677-2019</t>
        </is>
      </c>
      <c r="B1342" s="1" t="n">
        <v>43486</v>
      </c>
      <c r="C1342" s="1" t="n">
        <v>45190</v>
      </c>
      <c r="D1342" t="inlineStr">
        <is>
          <t>KALMAR LÄN</t>
        </is>
      </c>
      <c r="E1342" t="inlineStr">
        <is>
          <t>VIMMERBY</t>
        </is>
      </c>
      <c r="G1342" t="n">
        <v>1.4</v>
      </c>
      <c r="H1342" t="n">
        <v>0</v>
      </c>
      <c r="I1342" t="n">
        <v>0</v>
      </c>
      <c r="J1342" t="n">
        <v>0</v>
      </c>
      <c r="K1342" t="n">
        <v>0</v>
      </c>
      <c r="L1342" t="n">
        <v>0</v>
      </c>
      <c r="M1342" t="n">
        <v>0</v>
      </c>
      <c r="N1342" t="n">
        <v>0</v>
      </c>
      <c r="O1342" t="n">
        <v>0</v>
      </c>
      <c r="P1342" t="n">
        <v>0</v>
      </c>
      <c r="Q1342" t="n">
        <v>0</v>
      </c>
      <c r="R1342" s="2" t="inlineStr"/>
    </row>
    <row r="1343" ht="15" customHeight="1">
      <c r="A1343" t="inlineStr">
        <is>
          <t>A 4790-2019</t>
        </is>
      </c>
      <c r="B1343" s="1" t="n">
        <v>43486</v>
      </c>
      <c r="C1343" s="1" t="n">
        <v>45190</v>
      </c>
      <c r="D1343" t="inlineStr">
        <is>
          <t>KALMAR LÄN</t>
        </is>
      </c>
      <c r="E1343" t="inlineStr">
        <is>
          <t>EMMABODA</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6283-2019</t>
        </is>
      </c>
      <c r="B1344" s="1" t="n">
        <v>43486</v>
      </c>
      <c r="C1344" s="1" t="n">
        <v>45190</v>
      </c>
      <c r="D1344" t="inlineStr">
        <is>
          <t>KALMAR LÄN</t>
        </is>
      </c>
      <c r="E1344" t="inlineStr">
        <is>
          <t>EMMABODA</t>
        </is>
      </c>
      <c r="G1344" t="n">
        <v>9.6</v>
      </c>
      <c r="H1344" t="n">
        <v>0</v>
      </c>
      <c r="I1344" t="n">
        <v>0</v>
      </c>
      <c r="J1344" t="n">
        <v>0</v>
      </c>
      <c r="K1344" t="n">
        <v>0</v>
      </c>
      <c r="L1344" t="n">
        <v>0</v>
      </c>
      <c r="M1344" t="n">
        <v>0</v>
      </c>
      <c r="N1344" t="n">
        <v>0</v>
      </c>
      <c r="O1344" t="n">
        <v>0</v>
      </c>
      <c r="P1344" t="n">
        <v>0</v>
      </c>
      <c r="Q1344" t="n">
        <v>0</v>
      </c>
      <c r="R1344" s="2" t="inlineStr"/>
    </row>
    <row r="1345" ht="15" customHeight="1">
      <c r="A1345" t="inlineStr">
        <is>
          <t>A 6415-2019</t>
        </is>
      </c>
      <c r="B1345" s="1" t="n">
        <v>43487</v>
      </c>
      <c r="C1345" s="1" t="n">
        <v>45190</v>
      </c>
      <c r="D1345" t="inlineStr">
        <is>
          <t>KALMAR LÄN</t>
        </is>
      </c>
      <c r="E1345" t="inlineStr">
        <is>
          <t>VIMMERBY</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4871-2019</t>
        </is>
      </c>
      <c r="B1346" s="1" t="n">
        <v>43487</v>
      </c>
      <c r="C1346" s="1" t="n">
        <v>45190</v>
      </c>
      <c r="D1346" t="inlineStr">
        <is>
          <t>KALMAR LÄN</t>
        </is>
      </c>
      <c r="E1346" t="inlineStr">
        <is>
          <t>MÖNSTERÅS</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4893-2019</t>
        </is>
      </c>
      <c r="B1347" s="1" t="n">
        <v>43487</v>
      </c>
      <c r="C1347" s="1" t="n">
        <v>45190</v>
      </c>
      <c r="D1347" t="inlineStr">
        <is>
          <t>KALMAR LÄN</t>
        </is>
      </c>
      <c r="E1347" t="inlineStr">
        <is>
          <t>MÖNSTERÅS</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5162-2019</t>
        </is>
      </c>
      <c r="B1348" s="1" t="n">
        <v>43488</v>
      </c>
      <c r="C1348" s="1" t="n">
        <v>45190</v>
      </c>
      <c r="D1348" t="inlineStr">
        <is>
          <t>KALMAR LÄN</t>
        </is>
      </c>
      <c r="E1348" t="inlineStr">
        <is>
          <t>EMMABODA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5228-2019</t>
        </is>
      </c>
      <c r="B1349" s="1" t="n">
        <v>43488</v>
      </c>
      <c r="C1349" s="1" t="n">
        <v>45190</v>
      </c>
      <c r="D1349" t="inlineStr">
        <is>
          <t>KALMAR LÄN</t>
        </is>
      </c>
      <c r="E1349" t="inlineStr">
        <is>
          <t>TORSÅS</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5378-2019</t>
        </is>
      </c>
      <c r="B1350" s="1" t="n">
        <v>43488</v>
      </c>
      <c r="C1350" s="1" t="n">
        <v>45190</v>
      </c>
      <c r="D1350" t="inlineStr">
        <is>
          <t>KALMAR LÄN</t>
        </is>
      </c>
      <c r="E1350" t="inlineStr">
        <is>
          <t>TORSÅS</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5404-2019</t>
        </is>
      </c>
      <c r="B1351" s="1" t="n">
        <v>43488</v>
      </c>
      <c r="C1351" s="1" t="n">
        <v>45190</v>
      </c>
      <c r="D1351" t="inlineStr">
        <is>
          <t>KALMAR LÄN</t>
        </is>
      </c>
      <c r="E1351" t="inlineStr">
        <is>
          <t>KALMAR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5201-2019</t>
        </is>
      </c>
      <c r="B1352" s="1" t="n">
        <v>43488</v>
      </c>
      <c r="C1352" s="1" t="n">
        <v>45190</v>
      </c>
      <c r="D1352" t="inlineStr">
        <is>
          <t>KALMAR LÄN</t>
        </is>
      </c>
      <c r="E1352" t="inlineStr">
        <is>
          <t>VIMMERBY</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5154-2019</t>
        </is>
      </c>
      <c r="B1353" s="1" t="n">
        <v>43488</v>
      </c>
      <c r="C1353" s="1" t="n">
        <v>45190</v>
      </c>
      <c r="D1353" t="inlineStr">
        <is>
          <t>KALMAR LÄN</t>
        </is>
      </c>
      <c r="E1353" t="inlineStr">
        <is>
          <t>VÄSTERVIK</t>
        </is>
      </c>
      <c r="F1353" t="inlineStr">
        <is>
          <t>Holmen skog AB</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5231-2019</t>
        </is>
      </c>
      <c r="B1354" s="1" t="n">
        <v>43488</v>
      </c>
      <c r="C1354" s="1" t="n">
        <v>45190</v>
      </c>
      <c r="D1354" t="inlineStr">
        <is>
          <t>KALMAR LÄN</t>
        </is>
      </c>
      <c r="E1354" t="inlineStr">
        <is>
          <t>TORSÅS</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5329-2019</t>
        </is>
      </c>
      <c r="B1355" s="1" t="n">
        <v>43488</v>
      </c>
      <c r="C1355" s="1" t="n">
        <v>45190</v>
      </c>
      <c r="D1355" t="inlineStr">
        <is>
          <t>KALMAR LÄN</t>
        </is>
      </c>
      <c r="E1355" t="inlineStr">
        <is>
          <t>VIMMERBY</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6566-2019</t>
        </is>
      </c>
      <c r="B1356" s="1" t="n">
        <v>43488</v>
      </c>
      <c r="C1356" s="1" t="n">
        <v>45190</v>
      </c>
      <c r="D1356" t="inlineStr">
        <is>
          <t>KALMAR LÄN</t>
        </is>
      </c>
      <c r="E1356" t="inlineStr">
        <is>
          <t>HULTSFRED</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5159-2019</t>
        </is>
      </c>
      <c r="B1357" s="1" t="n">
        <v>43488</v>
      </c>
      <c r="C1357" s="1" t="n">
        <v>45190</v>
      </c>
      <c r="D1357" t="inlineStr">
        <is>
          <t>KALMAR LÄN</t>
        </is>
      </c>
      <c r="E1357" t="inlineStr">
        <is>
          <t>NYBRO</t>
        </is>
      </c>
      <c r="G1357" t="n">
        <v>11.6</v>
      </c>
      <c r="H1357" t="n">
        <v>0</v>
      </c>
      <c r="I1357" t="n">
        <v>0</v>
      </c>
      <c r="J1357" t="n">
        <v>0</v>
      </c>
      <c r="K1357" t="n">
        <v>0</v>
      </c>
      <c r="L1357" t="n">
        <v>0</v>
      </c>
      <c r="M1357" t="n">
        <v>0</v>
      </c>
      <c r="N1357" t="n">
        <v>0</v>
      </c>
      <c r="O1357" t="n">
        <v>0</v>
      </c>
      <c r="P1357" t="n">
        <v>0</v>
      </c>
      <c r="Q1357" t="n">
        <v>0</v>
      </c>
      <c r="R1357" s="2" t="inlineStr"/>
    </row>
    <row r="1358" ht="15" customHeight="1">
      <c r="A1358" t="inlineStr">
        <is>
          <t>A 5167-2019</t>
        </is>
      </c>
      <c r="B1358" s="1" t="n">
        <v>43488</v>
      </c>
      <c r="C1358" s="1" t="n">
        <v>45190</v>
      </c>
      <c r="D1358" t="inlineStr">
        <is>
          <t>KALMAR LÄN</t>
        </is>
      </c>
      <c r="E1358" t="inlineStr">
        <is>
          <t>KALMAR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5279-2019</t>
        </is>
      </c>
      <c r="B1359" s="1" t="n">
        <v>43488</v>
      </c>
      <c r="C1359" s="1" t="n">
        <v>45190</v>
      </c>
      <c r="D1359" t="inlineStr">
        <is>
          <t>KALMAR LÄN</t>
        </is>
      </c>
      <c r="E1359" t="inlineStr">
        <is>
          <t>HULTSFRED</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5373-2019</t>
        </is>
      </c>
      <c r="B1360" s="1" t="n">
        <v>43488</v>
      </c>
      <c r="C1360" s="1" t="n">
        <v>45190</v>
      </c>
      <c r="D1360" t="inlineStr">
        <is>
          <t>KALMAR LÄN</t>
        </is>
      </c>
      <c r="E1360" t="inlineStr">
        <is>
          <t>OSKARSHAMN</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6614-2019</t>
        </is>
      </c>
      <c r="B1361" s="1" t="n">
        <v>43488</v>
      </c>
      <c r="C1361" s="1" t="n">
        <v>45190</v>
      </c>
      <c r="D1361" t="inlineStr">
        <is>
          <t>KALMAR LÄN</t>
        </is>
      </c>
      <c r="E1361" t="inlineStr">
        <is>
          <t>VÄSTERVIK</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6918-2019</t>
        </is>
      </c>
      <c r="B1362" s="1" t="n">
        <v>43488</v>
      </c>
      <c r="C1362" s="1" t="n">
        <v>45190</v>
      </c>
      <c r="D1362" t="inlineStr">
        <is>
          <t>KALMAR LÄN</t>
        </is>
      </c>
      <c r="E1362" t="inlineStr">
        <is>
          <t>VÄSTERVIK</t>
        </is>
      </c>
      <c r="G1362" t="n">
        <v>8</v>
      </c>
      <c r="H1362" t="n">
        <v>0</v>
      </c>
      <c r="I1362" t="n">
        <v>0</v>
      </c>
      <c r="J1362" t="n">
        <v>0</v>
      </c>
      <c r="K1362" t="n">
        <v>0</v>
      </c>
      <c r="L1362" t="n">
        <v>0</v>
      </c>
      <c r="M1362" t="n">
        <v>0</v>
      </c>
      <c r="N1362" t="n">
        <v>0</v>
      </c>
      <c r="O1362" t="n">
        <v>0</v>
      </c>
      <c r="P1362" t="n">
        <v>0</v>
      </c>
      <c r="Q1362" t="n">
        <v>0</v>
      </c>
      <c r="R1362" s="2" t="inlineStr"/>
    </row>
    <row r="1363" ht="15" customHeight="1">
      <c r="A1363" t="inlineStr">
        <is>
          <t>A 5434-2019</t>
        </is>
      </c>
      <c r="B1363" s="1" t="n">
        <v>43489</v>
      </c>
      <c r="C1363" s="1" t="n">
        <v>45190</v>
      </c>
      <c r="D1363" t="inlineStr">
        <is>
          <t>KALMAR LÄN</t>
        </is>
      </c>
      <c r="E1363" t="inlineStr">
        <is>
          <t>NYBRO</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5536-2019</t>
        </is>
      </c>
      <c r="B1364" s="1" t="n">
        <v>43489</v>
      </c>
      <c r="C1364" s="1" t="n">
        <v>45190</v>
      </c>
      <c r="D1364" t="inlineStr">
        <is>
          <t>KALMAR LÄN</t>
        </is>
      </c>
      <c r="E1364" t="inlineStr">
        <is>
          <t>VÄSTERVIK</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5589-2019</t>
        </is>
      </c>
      <c r="B1365" s="1" t="n">
        <v>43489</v>
      </c>
      <c r="C1365" s="1" t="n">
        <v>45190</v>
      </c>
      <c r="D1365" t="inlineStr">
        <is>
          <t>KALMAR LÄN</t>
        </is>
      </c>
      <c r="E1365" t="inlineStr">
        <is>
          <t>VIMMERBY</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5602-2019</t>
        </is>
      </c>
      <c r="B1366" s="1" t="n">
        <v>43489</v>
      </c>
      <c r="C1366" s="1" t="n">
        <v>45190</v>
      </c>
      <c r="D1366" t="inlineStr">
        <is>
          <t>KALMAR LÄN</t>
        </is>
      </c>
      <c r="E1366" t="inlineStr">
        <is>
          <t>VÄSTERVIK</t>
        </is>
      </c>
      <c r="F1366" t="inlineStr">
        <is>
          <t>Holmen skog AB</t>
        </is>
      </c>
      <c r="G1366" t="n">
        <v>9.9</v>
      </c>
      <c r="H1366" t="n">
        <v>0</v>
      </c>
      <c r="I1366" t="n">
        <v>0</v>
      </c>
      <c r="J1366" t="n">
        <v>0</v>
      </c>
      <c r="K1366" t="n">
        <v>0</v>
      </c>
      <c r="L1366" t="n">
        <v>0</v>
      </c>
      <c r="M1366" t="n">
        <v>0</v>
      </c>
      <c r="N1366" t="n">
        <v>0</v>
      </c>
      <c r="O1366" t="n">
        <v>0</v>
      </c>
      <c r="P1366" t="n">
        <v>0</v>
      </c>
      <c r="Q1366" t="n">
        <v>0</v>
      </c>
      <c r="R1366" s="2" t="inlineStr"/>
    </row>
    <row r="1367" ht="15" customHeight="1">
      <c r="A1367" t="inlineStr">
        <is>
          <t>A 5614-2019</t>
        </is>
      </c>
      <c r="B1367" s="1" t="n">
        <v>43489</v>
      </c>
      <c r="C1367" s="1" t="n">
        <v>45190</v>
      </c>
      <c r="D1367" t="inlineStr">
        <is>
          <t>KALMAR LÄN</t>
        </is>
      </c>
      <c r="E1367" t="inlineStr">
        <is>
          <t>VÄSTERVIK</t>
        </is>
      </c>
      <c r="F1367" t="inlineStr">
        <is>
          <t>Holmen skog AB</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5439-2019</t>
        </is>
      </c>
      <c r="B1368" s="1" t="n">
        <v>43489</v>
      </c>
      <c r="C1368" s="1" t="n">
        <v>45190</v>
      </c>
      <c r="D1368" t="inlineStr">
        <is>
          <t>KALMAR LÄN</t>
        </is>
      </c>
      <c r="E1368" t="inlineStr">
        <is>
          <t>VIMMERBY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5598-2019</t>
        </is>
      </c>
      <c r="B1369" s="1" t="n">
        <v>43489</v>
      </c>
      <c r="C1369" s="1" t="n">
        <v>45190</v>
      </c>
      <c r="D1369" t="inlineStr">
        <is>
          <t>KALMAR LÄN</t>
        </is>
      </c>
      <c r="E1369" t="inlineStr">
        <is>
          <t>VÄSTERVIK</t>
        </is>
      </c>
      <c r="F1369" t="inlineStr">
        <is>
          <t>Holmen skog AB</t>
        </is>
      </c>
      <c r="G1369" t="n">
        <v>4.8</v>
      </c>
      <c r="H1369" t="n">
        <v>0</v>
      </c>
      <c r="I1369" t="n">
        <v>0</v>
      </c>
      <c r="J1369" t="n">
        <v>0</v>
      </c>
      <c r="K1369" t="n">
        <v>0</v>
      </c>
      <c r="L1369" t="n">
        <v>0</v>
      </c>
      <c r="M1369" t="n">
        <v>0</v>
      </c>
      <c r="N1369" t="n">
        <v>0</v>
      </c>
      <c r="O1369" t="n">
        <v>0</v>
      </c>
      <c r="P1369" t="n">
        <v>0</v>
      </c>
      <c r="Q1369" t="n">
        <v>0</v>
      </c>
      <c r="R1369" s="2" t="inlineStr"/>
    </row>
    <row r="1370" ht="15" customHeight="1">
      <c r="A1370" t="inlineStr">
        <is>
          <t>A 5604-2019</t>
        </is>
      </c>
      <c r="B1370" s="1" t="n">
        <v>43489</v>
      </c>
      <c r="C1370" s="1" t="n">
        <v>45190</v>
      </c>
      <c r="D1370" t="inlineStr">
        <is>
          <t>KALMAR LÄN</t>
        </is>
      </c>
      <c r="E1370" t="inlineStr">
        <is>
          <t>VÄSTERVIK</t>
        </is>
      </c>
      <c r="F1370" t="inlineStr">
        <is>
          <t>Holmen skog AB</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5650-2019</t>
        </is>
      </c>
      <c r="B1371" s="1" t="n">
        <v>43489</v>
      </c>
      <c r="C1371" s="1" t="n">
        <v>45190</v>
      </c>
      <c r="D1371" t="inlineStr">
        <is>
          <t>KALMAR LÄN</t>
        </is>
      </c>
      <c r="E1371" t="inlineStr">
        <is>
          <t>HULTSFRED</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5599-2019</t>
        </is>
      </c>
      <c r="B1372" s="1" t="n">
        <v>43489</v>
      </c>
      <c r="C1372" s="1" t="n">
        <v>45190</v>
      </c>
      <c r="D1372" t="inlineStr">
        <is>
          <t>KALMAR LÄN</t>
        </is>
      </c>
      <c r="E1372" t="inlineStr">
        <is>
          <t>VÄSTERVIK</t>
        </is>
      </c>
      <c r="F1372" t="inlineStr">
        <is>
          <t>Holmen skog AB</t>
        </is>
      </c>
      <c r="G1372" t="n">
        <v>0.2</v>
      </c>
      <c r="H1372" t="n">
        <v>0</v>
      </c>
      <c r="I1372" t="n">
        <v>0</v>
      </c>
      <c r="J1372" t="n">
        <v>0</v>
      </c>
      <c r="K1372" t="n">
        <v>0</v>
      </c>
      <c r="L1372" t="n">
        <v>0</v>
      </c>
      <c r="M1372" t="n">
        <v>0</v>
      </c>
      <c r="N1372" t="n">
        <v>0</v>
      </c>
      <c r="O1372" t="n">
        <v>0</v>
      </c>
      <c r="P1372" t="n">
        <v>0</v>
      </c>
      <c r="Q1372" t="n">
        <v>0</v>
      </c>
      <c r="R1372" s="2" t="inlineStr"/>
    </row>
    <row r="1373" ht="15" customHeight="1">
      <c r="A1373" t="inlineStr">
        <is>
          <t>A 5453-2019</t>
        </is>
      </c>
      <c r="B1373" s="1" t="n">
        <v>43489</v>
      </c>
      <c r="C1373" s="1" t="n">
        <v>45190</v>
      </c>
      <c r="D1373" t="inlineStr">
        <is>
          <t>KALMAR LÄN</t>
        </is>
      </c>
      <c r="E1373" t="inlineStr">
        <is>
          <t>VIMMERBY</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5522-2019</t>
        </is>
      </c>
      <c r="B1374" s="1" t="n">
        <v>43489</v>
      </c>
      <c r="C1374" s="1" t="n">
        <v>45190</v>
      </c>
      <c r="D1374" t="inlineStr">
        <is>
          <t>KALMAR LÄN</t>
        </is>
      </c>
      <c r="E1374" t="inlineStr">
        <is>
          <t>HULTSFRED</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5637-2019</t>
        </is>
      </c>
      <c r="B1375" s="1" t="n">
        <v>43489</v>
      </c>
      <c r="C1375" s="1" t="n">
        <v>45190</v>
      </c>
      <c r="D1375" t="inlineStr">
        <is>
          <t>KALMAR LÄN</t>
        </is>
      </c>
      <c r="E1375" t="inlineStr">
        <is>
          <t>VIMMERBY</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5815-2019</t>
        </is>
      </c>
      <c r="B1376" s="1" t="n">
        <v>43490</v>
      </c>
      <c r="C1376" s="1" t="n">
        <v>45190</v>
      </c>
      <c r="D1376" t="inlineStr">
        <is>
          <t>KALMAR LÄN</t>
        </is>
      </c>
      <c r="E1376" t="inlineStr">
        <is>
          <t>TORSÅS</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5833-2019</t>
        </is>
      </c>
      <c r="B1377" s="1" t="n">
        <v>43490</v>
      </c>
      <c r="C1377" s="1" t="n">
        <v>45190</v>
      </c>
      <c r="D1377" t="inlineStr">
        <is>
          <t>KALMAR LÄN</t>
        </is>
      </c>
      <c r="E1377" t="inlineStr">
        <is>
          <t>TORSÅS</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7203-2019</t>
        </is>
      </c>
      <c r="B1378" s="1" t="n">
        <v>43490</v>
      </c>
      <c r="C1378" s="1" t="n">
        <v>45190</v>
      </c>
      <c r="D1378" t="inlineStr">
        <is>
          <t>KALMAR LÄN</t>
        </is>
      </c>
      <c r="E1378" t="inlineStr">
        <is>
          <t>HULTSFRED</t>
        </is>
      </c>
      <c r="F1378" t="inlineStr">
        <is>
          <t>Övriga Aktiebolag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5802-2019</t>
        </is>
      </c>
      <c r="B1379" s="1" t="n">
        <v>43490</v>
      </c>
      <c r="C1379" s="1" t="n">
        <v>45190</v>
      </c>
      <c r="D1379" t="inlineStr">
        <is>
          <t>KALMAR LÄN</t>
        </is>
      </c>
      <c r="E1379" t="inlineStr">
        <is>
          <t>TORSÅS</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5842-2019</t>
        </is>
      </c>
      <c r="B1380" s="1" t="n">
        <v>43490</v>
      </c>
      <c r="C1380" s="1" t="n">
        <v>45190</v>
      </c>
      <c r="D1380" t="inlineStr">
        <is>
          <t>KALMAR LÄN</t>
        </is>
      </c>
      <c r="E1380" t="inlineStr">
        <is>
          <t>HÖGSBY</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5749-2019</t>
        </is>
      </c>
      <c r="B1381" s="1" t="n">
        <v>43490</v>
      </c>
      <c r="C1381" s="1" t="n">
        <v>45190</v>
      </c>
      <c r="D1381" t="inlineStr">
        <is>
          <t>KALMAR LÄN</t>
        </is>
      </c>
      <c r="E1381" t="inlineStr">
        <is>
          <t>NYBRO</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6240-2019</t>
        </is>
      </c>
      <c r="B1382" s="1" t="n">
        <v>43493</v>
      </c>
      <c r="C1382" s="1" t="n">
        <v>45190</v>
      </c>
      <c r="D1382" t="inlineStr">
        <is>
          <t>KALMAR LÄN</t>
        </is>
      </c>
      <c r="E1382" t="inlineStr">
        <is>
          <t>OSKARSHAMN</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6276-2019</t>
        </is>
      </c>
      <c r="B1383" s="1" t="n">
        <v>43493</v>
      </c>
      <c r="C1383" s="1" t="n">
        <v>45190</v>
      </c>
      <c r="D1383" t="inlineStr">
        <is>
          <t>KALMAR LÄN</t>
        </is>
      </c>
      <c r="E1383" t="inlineStr">
        <is>
          <t>VÄSTERVIK</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6356-2019</t>
        </is>
      </c>
      <c r="B1384" s="1" t="n">
        <v>43493</v>
      </c>
      <c r="C1384" s="1" t="n">
        <v>45190</v>
      </c>
      <c r="D1384" t="inlineStr">
        <is>
          <t>KALMAR LÄN</t>
        </is>
      </c>
      <c r="E1384" t="inlineStr">
        <is>
          <t>HÖGSBY</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6140-2019</t>
        </is>
      </c>
      <c r="B1385" s="1" t="n">
        <v>43493</v>
      </c>
      <c r="C1385" s="1" t="n">
        <v>45190</v>
      </c>
      <c r="D1385" t="inlineStr">
        <is>
          <t>KALMAR LÄN</t>
        </is>
      </c>
      <c r="E1385" t="inlineStr">
        <is>
          <t>MÖNSTERÅS</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6243-2019</t>
        </is>
      </c>
      <c r="B1386" s="1" t="n">
        <v>43493</v>
      </c>
      <c r="C1386" s="1" t="n">
        <v>45190</v>
      </c>
      <c r="D1386" t="inlineStr">
        <is>
          <t>KALMAR LÄN</t>
        </is>
      </c>
      <c r="E1386" t="inlineStr">
        <is>
          <t>NYBRO</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6308-2019</t>
        </is>
      </c>
      <c r="B1387" s="1" t="n">
        <v>43493</v>
      </c>
      <c r="C1387" s="1" t="n">
        <v>45190</v>
      </c>
      <c r="D1387" t="inlineStr">
        <is>
          <t>KALMAR LÄN</t>
        </is>
      </c>
      <c r="E1387" t="inlineStr">
        <is>
          <t>HULTSFRED</t>
        </is>
      </c>
      <c r="F1387" t="inlineStr">
        <is>
          <t>Sveaskog</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6346-2019</t>
        </is>
      </c>
      <c r="B1388" s="1" t="n">
        <v>43493</v>
      </c>
      <c r="C1388" s="1" t="n">
        <v>45190</v>
      </c>
      <c r="D1388" t="inlineStr">
        <is>
          <t>KALMAR LÄN</t>
        </is>
      </c>
      <c r="E1388" t="inlineStr">
        <is>
          <t>OSKARSHAMN</t>
        </is>
      </c>
      <c r="F1388" t="inlineStr">
        <is>
          <t>Kommuner</t>
        </is>
      </c>
      <c r="G1388" t="n">
        <v>3.2</v>
      </c>
      <c r="H1388" t="n">
        <v>0</v>
      </c>
      <c r="I1388" t="n">
        <v>0</v>
      </c>
      <c r="J1388" t="n">
        <v>0</v>
      </c>
      <c r="K1388" t="n">
        <v>0</v>
      </c>
      <c r="L1388" t="n">
        <v>0</v>
      </c>
      <c r="M1388" t="n">
        <v>0</v>
      </c>
      <c r="N1388" t="n">
        <v>0</v>
      </c>
      <c r="O1388" t="n">
        <v>0</v>
      </c>
      <c r="P1388" t="n">
        <v>0</v>
      </c>
      <c r="Q1388" t="n">
        <v>0</v>
      </c>
      <c r="R1388" s="2" t="inlineStr"/>
    </row>
    <row r="1389" ht="15" customHeight="1">
      <c r="A1389" t="inlineStr">
        <is>
          <t>A 6036-2019</t>
        </is>
      </c>
      <c r="B1389" s="1" t="n">
        <v>43493</v>
      </c>
      <c r="C1389" s="1" t="n">
        <v>45190</v>
      </c>
      <c r="D1389" t="inlineStr">
        <is>
          <t>KALMAR LÄN</t>
        </is>
      </c>
      <c r="E1389" t="inlineStr">
        <is>
          <t>KALMAR</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6084-2019</t>
        </is>
      </c>
      <c r="B1390" s="1" t="n">
        <v>43493</v>
      </c>
      <c r="C1390" s="1" t="n">
        <v>45190</v>
      </c>
      <c r="D1390" t="inlineStr">
        <is>
          <t>KALMAR LÄN</t>
        </is>
      </c>
      <c r="E1390" t="inlineStr">
        <is>
          <t>MÖRBYLÅNGA</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6380-2019</t>
        </is>
      </c>
      <c r="B1391" s="1" t="n">
        <v>43493</v>
      </c>
      <c r="C1391" s="1" t="n">
        <v>45190</v>
      </c>
      <c r="D1391" t="inlineStr">
        <is>
          <t>KALMAR LÄN</t>
        </is>
      </c>
      <c r="E1391" t="inlineStr">
        <is>
          <t>TORSÅS</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6423-2019</t>
        </is>
      </c>
      <c r="B1392" s="1" t="n">
        <v>43494</v>
      </c>
      <c r="C1392" s="1" t="n">
        <v>45190</v>
      </c>
      <c r="D1392" t="inlineStr">
        <is>
          <t>KALMAR LÄN</t>
        </is>
      </c>
      <c r="E1392" t="inlineStr">
        <is>
          <t>HULTSFRED</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6518-2019</t>
        </is>
      </c>
      <c r="B1393" s="1" t="n">
        <v>43494</v>
      </c>
      <c r="C1393" s="1" t="n">
        <v>45190</v>
      </c>
      <c r="D1393" t="inlineStr">
        <is>
          <t>KALMAR LÄN</t>
        </is>
      </c>
      <c r="E1393" t="inlineStr">
        <is>
          <t>VIMMERBY</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6594-2019</t>
        </is>
      </c>
      <c r="B1394" s="1" t="n">
        <v>43494</v>
      </c>
      <c r="C1394" s="1" t="n">
        <v>45190</v>
      </c>
      <c r="D1394" t="inlineStr">
        <is>
          <t>KALMAR LÄN</t>
        </is>
      </c>
      <c r="E1394" t="inlineStr">
        <is>
          <t>HÖGSBY</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6656-2019</t>
        </is>
      </c>
      <c r="B1395" s="1" t="n">
        <v>43494</v>
      </c>
      <c r="C1395" s="1" t="n">
        <v>45190</v>
      </c>
      <c r="D1395" t="inlineStr">
        <is>
          <t>KALMAR LÄN</t>
        </is>
      </c>
      <c r="E1395" t="inlineStr">
        <is>
          <t>EMMABODA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6726-2019</t>
        </is>
      </c>
      <c r="B1396" s="1" t="n">
        <v>43494</v>
      </c>
      <c r="C1396" s="1" t="n">
        <v>45190</v>
      </c>
      <c r="D1396" t="inlineStr">
        <is>
          <t>KALMAR LÄN</t>
        </is>
      </c>
      <c r="E1396" t="inlineStr">
        <is>
          <t>VÄSTERVIK</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7779-2019</t>
        </is>
      </c>
      <c r="B1397" s="1" t="n">
        <v>43494</v>
      </c>
      <c r="C1397" s="1" t="n">
        <v>45190</v>
      </c>
      <c r="D1397" t="inlineStr">
        <is>
          <t>KALMAR LÄN</t>
        </is>
      </c>
      <c r="E1397" t="inlineStr">
        <is>
          <t>VÄSTERVIK</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6419-2019</t>
        </is>
      </c>
      <c r="B1398" s="1" t="n">
        <v>43494</v>
      </c>
      <c r="C1398" s="1" t="n">
        <v>45190</v>
      </c>
      <c r="D1398" t="inlineStr">
        <is>
          <t>KALMAR LÄN</t>
        </is>
      </c>
      <c r="E1398" t="inlineStr">
        <is>
          <t>VIMMERBY</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6731-2019</t>
        </is>
      </c>
      <c r="B1399" s="1" t="n">
        <v>43494</v>
      </c>
      <c r="C1399" s="1" t="n">
        <v>45190</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6431-2019</t>
        </is>
      </c>
      <c r="B1400" s="1" t="n">
        <v>43494</v>
      </c>
      <c r="C1400" s="1" t="n">
        <v>45190</v>
      </c>
      <c r="D1400" t="inlineStr">
        <is>
          <t>KALMAR LÄN</t>
        </is>
      </c>
      <c r="E1400" t="inlineStr">
        <is>
          <t>HULTSFRED</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6476-2019</t>
        </is>
      </c>
      <c r="B1401" s="1" t="n">
        <v>43494</v>
      </c>
      <c r="C1401" s="1" t="n">
        <v>45190</v>
      </c>
      <c r="D1401" t="inlineStr">
        <is>
          <t>KALMAR LÄN</t>
        </is>
      </c>
      <c r="E1401" t="inlineStr">
        <is>
          <t>TORSÅS</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6568-2019</t>
        </is>
      </c>
      <c r="B1402" s="1" t="n">
        <v>43494</v>
      </c>
      <c r="C1402" s="1" t="n">
        <v>45190</v>
      </c>
      <c r="D1402" t="inlineStr">
        <is>
          <t>KALMAR LÄN</t>
        </is>
      </c>
      <c r="E1402" t="inlineStr">
        <is>
          <t>VIMMERBY</t>
        </is>
      </c>
      <c r="F1402" t="inlineStr">
        <is>
          <t>Sveaskog</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6427-2019</t>
        </is>
      </c>
      <c r="B1403" s="1" t="n">
        <v>43494</v>
      </c>
      <c r="C1403" s="1" t="n">
        <v>45190</v>
      </c>
      <c r="D1403" t="inlineStr">
        <is>
          <t>KALMAR LÄN</t>
        </is>
      </c>
      <c r="E1403" t="inlineStr">
        <is>
          <t>HULTSFRED</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6449-2019</t>
        </is>
      </c>
      <c r="B1404" s="1" t="n">
        <v>43494</v>
      </c>
      <c r="C1404" s="1" t="n">
        <v>45190</v>
      </c>
      <c r="D1404" t="inlineStr">
        <is>
          <t>KALMAR LÄN</t>
        </is>
      </c>
      <c r="E1404" t="inlineStr">
        <is>
          <t>KALMAR</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6519-2019</t>
        </is>
      </c>
      <c r="B1405" s="1" t="n">
        <v>43494</v>
      </c>
      <c r="C1405" s="1" t="n">
        <v>45190</v>
      </c>
      <c r="D1405" t="inlineStr">
        <is>
          <t>KALMAR LÄN</t>
        </is>
      </c>
      <c r="E1405" t="inlineStr">
        <is>
          <t>VIMMERBY</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6533-2019</t>
        </is>
      </c>
      <c r="B1406" s="1" t="n">
        <v>43494</v>
      </c>
      <c r="C1406" s="1" t="n">
        <v>45190</v>
      </c>
      <c r="D1406" t="inlineStr">
        <is>
          <t>KALMAR LÄN</t>
        </is>
      </c>
      <c r="E1406" t="inlineStr">
        <is>
          <t>VÄSTERVIK</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6575-2019</t>
        </is>
      </c>
      <c r="B1407" s="1" t="n">
        <v>43494</v>
      </c>
      <c r="C1407" s="1" t="n">
        <v>45190</v>
      </c>
      <c r="D1407" t="inlineStr">
        <is>
          <t>KALMAR LÄN</t>
        </is>
      </c>
      <c r="E1407" t="inlineStr">
        <is>
          <t>KALMAR</t>
        </is>
      </c>
      <c r="G1407" t="n">
        <v>2.7</v>
      </c>
      <c r="H1407" t="n">
        <v>0</v>
      </c>
      <c r="I1407" t="n">
        <v>0</v>
      </c>
      <c r="J1407" t="n">
        <v>0</v>
      </c>
      <c r="K1407" t="n">
        <v>0</v>
      </c>
      <c r="L1407" t="n">
        <v>0</v>
      </c>
      <c r="M1407" t="n">
        <v>0</v>
      </c>
      <c r="N1407" t="n">
        <v>0</v>
      </c>
      <c r="O1407" t="n">
        <v>0</v>
      </c>
      <c r="P1407" t="n">
        <v>0</v>
      </c>
      <c r="Q1407" t="n">
        <v>0</v>
      </c>
      <c r="R1407" s="2" t="inlineStr"/>
    </row>
    <row r="1408" ht="15" customHeight="1">
      <c r="A1408" t="inlineStr">
        <is>
          <t>A 6730-2019</t>
        </is>
      </c>
      <c r="B1408" s="1" t="n">
        <v>43494</v>
      </c>
      <c r="C1408" s="1" t="n">
        <v>45190</v>
      </c>
      <c r="D1408" t="inlineStr">
        <is>
          <t>KALMAR LÄN</t>
        </is>
      </c>
      <c r="E1408" t="inlineStr">
        <is>
          <t>VÄSTERVIK</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6879-2019</t>
        </is>
      </c>
      <c r="B1409" s="1" t="n">
        <v>43495</v>
      </c>
      <c r="C1409" s="1" t="n">
        <v>45190</v>
      </c>
      <c r="D1409" t="inlineStr">
        <is>
          <t>KALMAR LÄN</t>
        </is>
      </c>
      <c r="E1409" t="inlineStr">
        <is>
          <t>MÖNSTERÅS</t>
        </is>
      </c>
      <c r="G1409" t="n">
        <v>3.9</v>
      </c>
      <c r="H1409" t="n">
        <v>0</v>
      </c>
      <c r="I1409" t="n">
        <v>0</v>
      </c>
      <c r="J1409" t="n">
        <v>0</v>
      </c>
      <c r="K1409" t="n">
        <v>0</v>
      </c>
      <c r="L1409" t="n">
        <v>0</v>
      </c>
      <c r="M1409" t="n">
        <v>0</v>
      </c>
      <c r="N1409" t="n">
        <v>0</v>
      </c>
      <c r="O1409" t="n">
        <v>0</v>
      </c>
      <c r="P1409" t="n">
        <v>0</v>
      </c>
      <c r="Q1409" t="n">
        <v>0</v>
      </c>
      <c r="R1409" s="2" t="inlineStr"/>
    </row>
    <row r="1410" ht="15" customHeight="1">
      <c r="A1410" t="inlineStr">
        <is>
          <t>A 6999-2019</t>
        </is>
      </c>
      <c r="B1410" s="1" t="n">
        <v>43495</v>
      </c>
      <c r="C1410" s="1" t="n">
        <v>45190</v>
      </c>
      <c r="D1410" t="inlineStr">
        <is>
          <t>KALMAR LÄN</t>
        </is>
      </c>
      <c r="E1410" t="inlineStr">
        <is>
          <t>NYBRO</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6881-2019</t>
        </is>
      </c>
      <c r="B1411" s="1" t="n">
        <v>43495</v>
      </c>
      <c r="C1411" s="1" t="n">
        <v>45190</v>
      </c>
      <c r="D1411" t="inlineStr">
        <is>
          <t>KALMAR LÄN</t>
        </is>
      </c>
      <c r="E1411" t="inlineStr">
        <is>
          <t>MÖNSTERÅS</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7085-2019</t>
        </is>
      </c>
      <c r="B1412" s="1" t="n">
        <v>43496</v>
      </c>
      <c r="C1412" s="1" t="n">
        <v>45190</v>
      </c>
      <c r="D1412" t="inlineStr">
        <is>
          <t>KALMAR LÄN</t>
        </is>
      </c>
      <c r="E1412" t="inlineStr">
        <is>
          <t>KALMAR</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7193-2019</t>
        </is>
      </c>
      <c r="B1413" s="1" t="n">
        <v>43496</v>
      </c>
      <c r="C1413" s="1" t="n">
        <v>45190</v>
      </c>
      <c r="D1413" t="inlineStr">
        <is>
          <t>KALMAR LÄN</t>
        </is>
      </c>
      <c r="E1413" t="inlineStr">
        <is>
          <t>MÖRBYLÅNGA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7084-2019</t>
        </is>
      </c>
      <c r="B1414" s="1" t="n">
        <v>43496</v>
      </c>
      <c r="C1414" s="1" t="n">
        <v>45190</v>
      </c>
      <c r="D1414" t="inlineStr">
        <is>
          <t>KALMAR LÄN</t>
        </is>
      </c>
      <c r="E1414" t="inlineStr">
        <is>
          <t>HULTSFRED</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7293-2019</t>
        </is>
      </c>
      <c r="B1415" s="1" t="n">
        <v>43496</v>
      </c>
      <c r="C1415" s="1" t="n">
        <v>45190</v>
      </c>
      <c r="D1415" t="inlineStr">
        <is>
          <t>KALMAR LÄN</t>
        </is>
      </c>
      <c r="E1415" t="inlineStr">
        <is>
          <t>NYBRO</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7173-2019</t>
        </is>
      </c>
      <c r="B1416" s="1" t="n">
        <v>43496</v>
      </c>
      <c r="C1416" s="1" t="n">
        <v>45190</v>
      </c>
      <c r="D1416" t="inlineStr">
        <is>
          <t>KALMAR LÄN</t>
        </is>
      </c>
      <c r="E1416" t="inlineStr">
        <is>
          <t>KALMAR</t>
        </is>
      </c>
      <c r="G1416" t="n">
        <v>0.3</v>
      </c>
      <c r="H1416" t="n">
        <v>0</v>
      </c>
      <c r="I1416" t="n">
        <v>0</v>
      </c>
      <c r="J1416" t="n">
        <v>0</v>
      </c>
      <c r="K1416" t="n">
        <v>0</v>
      </c>
      <c r="L1416" t="n">
        <v>0</v>
      </c>
      <c r="M1416" t="n">
        <v>0</v>
      </c>
      <c r="N1416" t="n">
        <v>0</v>
      </c>
      <c r="O1416" t="n">
        <v>0</v>
      </c>
      <c r="P1416" t="n">
        <v>0</v>
      </c>
      <c r="Q1416" t="n">
        <v>0</v>
      </c>
      <c r="R1416" s="2" t="inlineStr"/>
    </row>
    <row r="1417" ht="15" customHeight="1">
      <c r="A1417" t="inlineStr">
        <is>
          <t>A 7221-2019</t>
        </is>
      </c>
      <c r="B1417" s="1" t="n">
        <v>43496</v>
      </c>
      <c r="C1417" s="1" t="n">
        <v>45190</v>
      </c>
      <c r="D1417" t="inlineStr">
        <is>
          <t>KALMAR LÄN</t>
        </is>
      </c>
      <c r="E1417" t="inlineStr">
        <is>
          <t>EMMABODA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7508-2019</t>
        </is>
      </c>
      <c r="B1418" s="1" t="n">
        <v>43497</v>
      </c>
      <c r="C1418" s="1" t="n">
        <v>45190</v>
      </c>
      <c r="D1418" t="inlineStr">
        <is>
          <t>KALMAR LÄN</t>
        </is>
      </c>
      <c r="E1418" t="inlineStr">
        <is>
          <t>HULTSFRED</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7364-2019</t>
        </is>
      </c>
      <c r="B1419" s="1" t="n">
        <v>43497</v>
      </c>
      <c r="C1419" s="1" t="n">
        <v>45190</v>
      </c>
      <c r="D1419" t="inlineStr">
        <is>
          <t>KALMAR LÄN</t>
        </is>
      </c>
      <c r="E1419" t="inlineStr">
        <is>
          <t>HULTSFRED</t>
        </is>
      </c>
      <c r="F1419" t="inlineStr">
        <is>
          <t>Sveaskog</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7394-2019</t>
        </is>
      </c>
      <c r="B1420" s="1" t="n">
        <v>43497</v>
      </c>
      <c r="C1420" s="1" t="n">
        <v>45190</v>
      </c>
      <c r="D1420" t="inlineStr">
        <is>
          <t>KALMAR LÄN</t>
        </is>
      </c>
      <c r="E1420" t="inlineStr">
        <is>
          <t>KALMAR</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7512-2019</t>
        </is>
      </c>
      <c r="B1421" s="1" t="n">
        <v>43497</v>
      </c>
      <c r="C1421" s="1" t="n">
        <v>45190</v>
      </c>
      <c r="D1421" t="inlineStr">
        <is>
          <t>KALMAR LÄN</t>
        </is>
      </c>
      <c r="E1421" t="inlineStr">
        <is>
          <t>HULTSFRED</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7391-2019</t>
        </is>
      </c>
      <c r="B1422" s="1" t="n">
        <v>43497</v>
      </c>
      <c r="C1422" s="1" t="n">
        <v>45190</v>
      </c>
      <c r="D1422" t="inlineStr">
        <is>
          <t>KALMAR LÄN</t>
        </is>
      </c>
      <c r="E1422" t="inlineStr">
        <is>
          <t>TORSÅS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7506-2019</t>
        </is>
      </c>
      <c r="B1423" s="1" t="n">
        <v>43497</v>
      </c>
      <c r="C1423" s="1" t="n">
        <v>45190</v>
      </c>
      <c r="D1423" t="inlineStr">
        <is>
          <t>KALMAR LÄN</t>
        </is>
      </c>
      <c r="E1423" t="inlineStr">
        <is>
          <t>HULTSFRED</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7578-2019</t>
        </is>
      </c>
      <c r="B1424" s="1" t="n">
        <v>43498</v>
      </c>
      <c r="C1424" s="1" t="n">
        <v>45190</v>
      </c>
      <c r="D1424" t="inlineStr">
        <is>
          <t>KALMAR LÄN</t>
        </is>
      </c>
      <c r="E1424" t="inlineStr">
        <is>
          <t>KALMAR</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7691-2019</t>
        </is>
      </c>
      <c r="B1425" s="1" t="n">
        <v>43500</v>
      </c>
      <c r="C1425" s="1" t="n">
        <v>45190</v>
      </c>
      <c r="D1425" t="inlineStr">
        <is>
          <t>KALMAR LÄN</t>
        </is>
      </c>
      <c r="E1425" t="inlineStr">
        <is>
          <t>KALMAR</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7640-2019</t>
        </is>
      </c>
      <c r="B1426" s="1" t="n">
        <v>43500</v>
      </c>
      <c r="C1426" s="1" t="n">
        <v>45190</v>
      </c>
      <c r="D1426" t="inlineStr">
        <is>
          <t>KALMAR LÄN</t>
        </is>
      </c>
      <c r="E1426" t="inlineStr">
        <is>
          <t>NYBRO</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7669-2019</t>
        </is>
      </c>
      <c r="B1427" s="1" t="n">
        <v>43500</v>
      </c>
      <c r="C1427" s="1" t="n">
        <v>45190</v>
      </c>
      <c r="D1427" t="inlineStr">
        <is>
          <t>KALMAR LÄN</t>
        </is>
      </c>
      <c r="E1427" t="inlineStr">
        <is>
          <t>NYBRO</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7771-2019</t>
        </is>
      </c>
      <c r="B1428" s="1" t="n">
        <v>43500</v>
      </c>
      <c r="C1428" s="1" t="n">
        <v>45190</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7681-2019</t>
        </is>
      </c>
      <c r="B1429" s="1" t="n">
        <v>43500</v>
      </c>
      <c r="C1429" s="1" t="n">
        <v>45190</v>
      </c>
      <c r="D1429" t="inlineStr">
        <is>
          <t>KALMAR LÄN</t>
        </is>
      </c>
      <c r="E1429" t="inlineStr">
        <is>
          <t>KALMAR</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7709-2019</t>
        </is>
      </c>
      <c r="B1430" s="1" t="n">
        <v>43500</v>
      </c>
      <c r="C1430" s="1" t="n">
        <v>45190</v>
      </c>
      <c r="D1430" t="inlineStr">
        <is>
          <t>KALMAR LÄN</t>
        </is>
      </c>
      <c r="E1430" t="inlineStr">
        <is>
          <t>OSKARSHAMN</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7753-2019</t>
        </is>
      </c>
      <c r="B1431" s="1" t="n">
        <v>43500</v>
      </c>
      <c r="C1431" s="1" t="n">
        <v>45190</v>
      </c>
      <c r="D1431" t="inlineStr">
        <is>
          <t>KALMAR LÄN</t>
        </is>
      </c>
      <c r="E1431" t="inlineStr">
        <is>
          <t>NYBRO</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8247-2019</t>
        </is>
      </c>
      <c r="B1432" s="1" t="n">
        <v>43501</v>
      </c>
      <c r="C1432" s="1" t="n">
        <v>45190</v>
      </c>
      <c r="D1432" t="inlineStr">
        <is>
          <t>KALMAR LÄN</t>
        </is>
      </c>
      <c r="E1432" t="inlineStr">
        <is>
          <t>KALMAR</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8346-2019</t>
        </is>
      </c>
      <c r="B1433" s="1" t="n">
        <v>43501</v>
      </c>
      <c r="C1433" s="1" t="n">
        <v>45190</v>
      </c>
      <c r="D1433" t="inlineStr">
        <is>
          <t>KALMAR LÄN</t>
        </is>
      </c>
      <c r="E1433" t="inlineStr">
        <is>
          <t>TORSÅS</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8733-2019</t>
        </is>
      </c>
      <c r="B1434" s="1" t="n">
        <v>43501</v>
      </c>
      <c r="C1434" s="1" t="n">
        <v>45190</v>
      </c>
      <c r="D1434" t="inlineStr">
        <is>
          <t>KALMAR LÄN</t>
        </is>
      </c>
      <c r="E1434" t="inlineStr">
        <is>
          <t>NYBRO</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8644-2019</t>
        </is>
      </c>
      <c r="B1435" s="1" t="n">
        <v>43501</v>
      </c>
      <c r="C1435" s="1" t="n">
        <v>45190</v>
      </c>
      <c r="D1435" t="inlineStr">
        <is>
          <t>KALMAR LÄN</t>
        </is>
      </c>
      <c r="E1435" t="inlineStr">
        <is>
          <t>VIMMERBY</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8515-2019</t>
        </is>
      </c>
      <c r="B1436" s="1" t="n">
        <v>43502</v>
      </c>
      <c r="C1436" s="1" t="n">
        <v>45190</v>
      </c>
      <c r="D1436" t="inlineStr">
        <is>
          <t>KALMAR LÄN</t>
        </is>
      </c>
      <c r="E1436" t="inlineStr">
        <is>
          <t>EMMABODA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8545-2019</t>
        </is>
      </c>
      <c r="B1437" s="1" t="n">
        <v>43502</v>
      </c>
      <c r="C1437" s="1" t="n">
        <v>45190</v>
      </c>
      <c r="D1437" t="inlineStr">
        <is>
          <t>KALMAR LÄN</t>
        </is>
      </c>
      <c r="E1437" t="inlineStr">
        <is>
          <t>NYBRO</t>
        </is>
      </c>
      <c r="F1437" t="inlineStr">
        <is>
          <t>Sveaskog</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8554-2019</t>
        </is>
      </c>
      <c r="B1438" s="1" t="n">
        <v>43502</v>
      </c>
      <c r="C1438" s="1" t="n">
        <v>45190</v>
      </c>
      <c r="D1438" t="inlineStr">
        <is>
          <t>KALMAR LÄN</t>
        </is>
      </c>
      <c r="E1438" t="inlineStr">
        <is>
          <t>MÖNSTERÅS</t>
        </is>
      </c>
      <c r="F1438" t="inlineStr">
        <is>
          <t>Kommuner</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8553-2019</t>
        </is>
      </c>
      <c r="B1439" s="1" t="n">
        <v>43502</v>
      </c>
      <c r="C1439" s="1" t="n">
        <v>45190</v>
      </c>
      <c r="D1439" t="inlineStr">
        <is>
          <t>KALMAR LÄN</t>
        </is>
      </c>
      <c r="E1439" t="inlineStr">
        <is>
          <t>MÖNSTERÅS</t>
        </is>
      </c>
      <c r="F1439" t="inlineStr">
        <is>
          <t>Kommuner</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8720-2019</t>
        </is>
      </c>
      <c r="B1440" s="1" t="n">
        <v>43503</v>
      </c>
      <c r="C1440" s="1" t="n">
        <v>45190</v>
      </c>
      <c r="D1440" t="inlineStr">
        <is>
          <t>KALMAR LÄN</t>
        </is>
      </c>
      <c r="E1440" t="inlineStr">
        <is>
          <t>KALMAR</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8844-2019</t>
        </is>
      </c>
      <c r="B1441" s="1" t="n">
        <v>43503</v>
      </c>
      <c r="C1441" s="1" t="n">
        <v>45190</v>
      </c>
      <c r="D1441" t="inlineStr">
        <is>
          <t>KALMAR LÄN</t>
        </is>
      </c>
      <c r="E1441" t="inlineStr">
        <is>
          <t>NYBRO</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9033-2019</t>
        </is>
      </c>
      <c r="B1442" s="1" t="n">
        <v>43504</v>
      </c>
      <c r="C1442" s="1" t="n">
        <v>45190</v>
      </c>
      <c r="D1442" t="inlineStr">
        <is>
          <t>KALMAR LÄN</t>
        </is>
      </c>
      <c r="E1442" t="inlineStr">
        <is>
          <t>TORSÅS</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9083-2019</t>
        </is>
      </c>
      <c r="B1443" s="1" t="n">
        <v>43504</v>
      </c>
      <c r="C1443" s="1" t="n">
        <v>45190</v>
      </c>
      <c r="D1443" t="inlineStr">
        <is>
          <t>KALMAR LÄN</t>
        </is>
      </c>
      <c r="E1443" t="inlineStr">
        <is>
          <t>HULTSFRED</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9059-2019</t>
        </is>
      </c>
      <c r="B1444" s="1" t="n">
        <v>43504</v>
      </c>
      <c r="C1444" s="1" t="n">
        <v>45190</v>
      </c>
      <c r="D1444" t="inlineStr">
        <is>
          <t>KALMAR LÄN</t>
        </is>
      </c>
      <c r="E1444" t="inlineStr">
        <is>
          <t>MÖNSTERÅS</t>
        </is>
      </c>
      <c r="G1444" t="n">
        <v>7.5</v>
      </c>
      <c r="H1444" t="n">
        <v>0</v>
      </c>
      <c r="I1444" t="n">
        <v>0</v>
      </c>
      <c r="J1444" t="n">
        <v>0</v>
      </c>
      <c r="K1444" t="n">
        <v>0</v>
      </c>
      <c r="L1444" t="n">
        <v>0</v>
      </c>
      <c r="M1444" t="n">
        <v>0</v>
      </c>
      <c r="N1444" t="n">
        <v>0</v>
      </c>
      <c r="O1444" t="n">
        <v>0</v>
      </c>
      <c r="P1444" t="n">
        <v>0</v>
      </c>
      <c r="Q1444" t="n">
        <v>0</v>
      </c>
      <c r="R1444" s="2" t="inlineStr"/>
    </row>
    <row r="1445" ht="15" customHeight="1">
      <c r="A1445" t="inlineStr">
        <is>
          <t>A 9092-2019</t>
        </is>
      </c>
      <c r="B1445" s="1" t="n">
        <v>43504</v>
      </c>
      <c r="C1445" s="1" t="n">
        <v>45190</v>
      </c>
      <c r="D1445" t="inlineStr">
        <is>
          <t>KALMAR LÄN</t>
        </is>
      </c>
      <c r="E1445" t="inlineStr">
        <is>
          <t>MÖNSTERÅS</t>
        </is>
      </c>
      <c r="F1445" t="inlineStr">
        <is>
          <t>Övriga Aktiebolag</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9030-2019</t>
        </is>
      </c>
      <c r="B1446" s="1" t="n">
        <v>43504</v>
      </c>
      <c r="C1446" s="1" t="n">
        <v>45190</v>
      </c>
      <c r="D1446" t="inlineStr">
        <is>
          <t>KALMAR LÄN</t>
        </is>
      </c>
      <c r="E1446" t="inlineStr">
        <is>
          <t>TORSÅS</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9073-2019</t>
        </is>
      </c>
      <c r="B1447" s="1" t="n">
        <v>43504</v>
      </c>
      <c r="C1447" s="1" t="n">
        <v>45190</v>
      </c>
      <c r="D1447" t="inlineStr">
        <is>
          <t>KALMAR LÄN</t>
        </is>
      </c>
      <c r="E1447" t="inlineStr">
        <is>
          <t>NYBRO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9468-2019</t>
        </is>
      </c>
      <c r="B1448" s="1" t="n">
        <v>43507</v>
      </c>
      <c r="C1448" s="1" t="n">
        <v>45190</v>
      </c>
      <c r="D1448" t="inlineStr">
        <is>
          <t>KALMAR LÄN</t>
        </is>
      </c>
      <c r="E1448" t="inlineStr">
        <is>
          <t>VÄSTERVIK</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9469-2019</t>
        </is>
      </c>
      <c r="B1449" s="1" t="n">
        <v>43507</v>
      </c>
      <c r="C1449" s="1" t="n">
        <v>45190</v>
      </c>
      <c r="D1449" t="inlineStr">
        <is>
          <t>KALMAR LÄN</t>
        </is>
      </c>
      <c r="E1449" t="inlineStr">
        <is>
          <t>OSKARSHAMN</t>
        </is>
      </c>
      <c r="G1449" t="n">
        <v>7.4</v>
      </c>
      <c r="H1449" t="n">
        <v>0</v>
      </c>
      <c r="I1449" t="n">
        <v>0</v>
      </c>
      <c r="J1449" t="n">
        <v>0</v>
      </c>
      <c r="K1449" t="n">
        <v>0</v>
      </c>
      <c r="L1449" t="n">
        <v>0</v>
      </c>
      <c r="M1449" t="n">
        <v>0</v>
      </c>
      <c r="N1449" t="n">
        <v>0</v>
      </c>
      <c r="O1449" t="n">
        <v>0</v>
      </c>
      <c r="P1449" t="n">
        <v>0</v>
      </c>
      <c r="Q1449" t="n">
        <v>0</v>
      </c>
      <c r="R1449" s="2" t="inlineStr"/>
    </row>
    <row r="1450" ht="15" customHeight="1">
      <c r="A1450" t="inlineStr">
        <is>
          <t>A 9444-2019</t>
        </is>
      </c>
      <c r="B1450" s="1" t="n">
        <v>43507</v>
      </c>
      <c r="C1450" s="1" t="n">
        <v>45190</v>
      </c>
      <c r="D1450" t="inlineStr">
        <is>
          <t>KALMAR LÄN</t>
        </is>
      </c>
      <c r="E1450" t="inlineStr">
        <is>
          <t>NYBRO</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9558-2019</t>
        </is>
      </c>
      <c r="B1451" s="1" t="n">
        <v>43508</v>
      </c>
      <c r="C1451" s="1" t="n">
        <v>45190</v>
      </c>
      <c r="D1451" t="inlineStr">
        <is>
          <t>KALMAR LÄN</t>
        </is>
      </c>
      <c r="E1451" t="inlineStr">
        <is>
          <t>NYBRO</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9593-2019</t>
        </is>
      </c>
      <c r="B1452" s="1" t="n">
        <v>43508</v>
      </c>
      <c r="C1452" s="1" t="n">
        <v>45190</v>
      </c>
      <c r="D1452" t="inlineStr">
        <is>
          <t>KALMAR LÄN</t>
        </is>
      </c>
      <c r="E1452" t="inlineStr">
        <is>
          <t>KALMAR</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9677-2019</t>
        </is>
      </c>
      <c r="B1453" s="1" t="n">
        <v>43508</v>
      </c>
      <c r="C1453" s="1" t="n">
        <v>45190</v>
      </c>
      <c r="D1453" t="inlineStr">
        <is>
          <t>KALMAR LÄN</t>
        </is>
      </c>
      <c r="E1453" t="inlineStr">
        <is>
          <t>NYBRO</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9611-2019</t>
        </is>
      </c>
      <c r="B1454" s="1" t="n">
        <v>43508</v>
      </c>
      <c r="C1454" s="1" t="n">
        <v>45190</v>
      </c>
      <c r="D1454" t="inlineStr">
        <is>
          <t>KALMAR LÄN</t>
        </is>
      </c>
      <c r="E1454" t="inlineStr">
        <is>
          <t>MÖNSTERÅS</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9651-2019</t>
        </is>
      </c>
      <c r="B1455" s="1" t="n">
        <v>43508</v>
      </c>
      <c r="C1455" s="1" t="n">
        <v>45190</v>
      </c>
      <c r="D1455" t="inlineStr">
        <is>
          <t>KALMAR LÄN</t>
        </is>
      </c>
      <c r="E1455" t="inlineStr">
        <is>
          <t>KALMAR</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9533-2019</t>
        </is>
      </c>
      <c r="B1456" s="1" t="n">
        <v>43508</v>
      </c>
      <c r="C1456" s="1" t="n">
        <v>45190</v>
      </c>
      <c r="D1456" t="inlineStr">
        <is>
          <t>KALMAR LÄN</t>
        </is>
      </c>
      <c r="E1456" t="inlineStr">
        <is>
          <t>NYBRO</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9863-2019</t>
        </is>
      </c>
      <c r="B1457" s="1" t="n">
        <v>43509</v>
      </c>
      <c r="C1457" s="1" t="n">
        <v>45190</v>
      </c>
      <c r="D1457" t="inlineStr">
        <is>
          <t>KALMAR LÄN</t>
        </is>
      </c>
      <c r="E1457" t="inlineStr">
        <is>
          <t>VIMMERBY</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9970-2019</t>
        </is>
      </c>
      <c r="B1458" s="1" t="n">
        <v>43509</v>
      </c>
      <c r="C1458" s="1" t="n">
        <v>45190</v>
      </c>
      <c r="D1458" t="inlineStr">
        <is>
          <t>KALMAR LÄN</t>
        </is>
      </c>
      <c r="E1458" t="inlineStr">
        <is>
          <t>MÖRBYLÅNGA</t>
        </is>
      </c>
      <c r="G1458" t="n">
        <v>0.4</v>
      </c>
      <c r="H1458" t="n">
        <v>0</v>
      </c>
      <c r="I1458" t="n">
        <v>0</v>
      </c>
      <c r="J1458" t="n">
        <v>0</v>
      </c>
      <c r="K1458" t="n">
        <v>0</v>
      </c>
      <c r="L1458" t="n">
        <v>0</v>
      </c>
      <c r="M1458" t="n">
        <v>0</v>
      </c>
      <c r="N1458" t="n">
        <v>0</v>
      </c>
      <c r="O1458" t="n">
        <v>0</v>
      </c>
      <c r="P1458" t="n">
        <v>0</v>
      </c>
      <c r="Q1458" t="n">
        <v>0</v>
      </c>
      <c r="R1458" s="2" t="inlineStr"/>
    </row>
    <row r="1459" ht="15" customHeight="1">
      <c r="A1459" t="inlineStr">
        <is>
          <t>A 9820-2019</t>
        </is>
      </c>
      <c r="B1459" s="1" t="n">
        <v>43509</v>
      </c>
      <c r="C1459" s="1" t="n">
        <v>45190</v>
      </c>
      <c r="D1459" t="inlineStr">
        <is>
          <t>KALMAR LÄN</t>
        </is>
      </c>
      <c r="E1459" t="inlineStr">
        <is>
          <t>EMMABODA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9847-2019</t>
        </is>
      </c>
      <c r="B1460" s="1" t="n">
        <v>43509</v>
      </c>
      <c r="C1460" s="1" t="n">
        <v>45190</v>
      </c>
      <c r="D1460" t="inlineStr">
        <is>
          <t>KALMAR LÄN</t>
        </is>
      </c>
      <c r="E1460" t="inlineStr">
        <is>
          <t>OSKARSHAMN</t>
        </is>
      </c>
      <c r="G1460" t="n">
        <v>5.6</v>
      </c>
      <c r="H1460" t="n">
        <v>0</v>
      </c>
      <c r="I1460" t="n">
        <v>0</v>
      </c>
      <c r="J1460" t="n">
        <v>0</v>
      </c>
      <c r="K1460" t="n">
        <v>0</v>
      </c>
      <c r="L1460" t="n">
        <v>0</v>
      </c>
      <c r="M1460" t="n">
        <v>0</v>
      </c>
      <c r="N1460" t="n">
        <v>0</v>
      </c>
      <c r="O1460" t="n">
        <v>0</v>
      </c>
      <c r="P1460" t="n">
        <v>0</v>
      </c>
      <c r="Q1460" t="n">
        <v>0</v>
      </c>
      <c r="R1460" s="2" t="inlineStr"/>
    </row>
    <row r="1461" ht="15" customHeight="1">
      <c r="A1461" t="inlineStr">
        <is>
          <t>A 9973-2019</t>
        </is>
      </c>
      <c r="B1461" s="1" t="n">
        <v>43509</v>
      </c>
      <c r="C1461" s="1" t="n">
        <v>45190</v>
      </c>
      <c r="D1461" t="inlineStr">
        <is>
          <t>KALMAR LÄN</t>
        </is>
      </c>
      <c r="E1461" t="inlineStr">
        <is>
          <t>BORGHOLM</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9841-2019</t>
        </is>
      </c>
      <c r="B1462" s="1" t="n">
        <v>43509</v>
      </c>
      <c r="C1462" s="1" t="n">
        <v>45190</v>
      </c>
      <c r="D1462" t="inlineStr">
        <is>
          <t>KALMAR LÄN</t>
        </is>
      </c>
      <c r="E1462" t="inlineStr">
        <is>
          <t>VIMMERBY</t>
        </is>
      </c>
      <c r="G1462" t="n">
        <v>8.699999999999999</v>
      </c>
      <c r="H1462" t="n">
        <v>0</v>
      </c>
      <c r="I1462" t="n">
        <v>0</v>
      </c>
      <c r="J1462" t="n">
        <v>0</v>
      </c>
      <c r="K1462" t="n">
        <v>0</v>
      </c>
      <c r="L1462" t="n">
        <v>0</v>
      </c>
      <c r="M1462" t="n">
        <v>0</v>
      </c>
      <c r="N1462" t="n">
        <v>0</v>
      </c>
      <c r="O1462" t="n">
        <v>0</v>
      </c>
      <c r="P1462" t="n">
        <v>0</v>
      </c>
      <c r="Q1462" t="n">
        <v>0</v>
      </c>
      <c r="R1462" s="2" t="inlineStr"/>
    </row>
    <row r="1463" ht="15" customHeight="1">
      <c r="A1463" t="inlineStr">
        <is>
          <t>A 9967-2019</t>
        </is>
      </c>
      <c r="B1463" s="1" t="n">
        <v>43509</v>
      </c>
      <c r="C1463" s="1" t="n">
        <v>45190</v>
      </c>
      <c r="D1463" t="inlineStr">
        <is>
          <t>KALMAR LÄN</t>
        </is>
      </c>
      <c r="E1463" t="inlineStr">
        <is>
          <t>MÖRBYLÅNGA</t>
        </is>
      </c>
      <c r="G1463" t="n">
        <v>2.7</v>
      </c>
      <c r="H1463" t="n">
        <v>0</v>
      </c>
      <c r="I1463" t="n">
        <v>0</v>
      </c>
      <c r="J1463" t="n">
        <v>0</v>
      </c>
      <c r="K1463" t="n">
        <v>0</v>
      </c>
      <c r="L1463" t="n">
        <v>0</v>
      </c>
      <c r="M1463" t="n">
        <v>0</v>
      </c>
      <c r="N1463" t="n">
        <v>0</v>
      </c>
      <c r="O1463" t="n">
        <v>0</v>
      </c>
      <c r="P1463" t="n">
        <v>0</v>
      </c>
      <c r="Q1463" t="n">
        <v>0</v>
      </c>
      <c r="R1463" s="2" t="inlineStr"/>
    </row>
    <row r="1464" ht="15" customHeight="1">
      <c r="A1464" t="inlineStr">
        <is>
          <t>A 10113-2019</t>
        </is>
      </c>
      <c r="B1464" s="1" t="n">
        <v>43510</v>
      </c>
      <c r="C1464" s="1" t="n">
        <v>45190</v>
      </c>
      <c r="D1464" t="inlineStr">
        <is>
          <t>KALMAR LÄN</t>
        </is>
      </c>
      <c r="E1464" t="inlineStr">
        <is>
          <t>EMMABODA</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10214-2019</t>
        </is>
      </c>
      <c r="B1465" s="1" t="n">
        <v>43510</v>
      </c>
      <c r="C1465" s="1" t="n">
        <v>45190</v>
      </c>
      <c r="D1465" t="inlineStr">
        <is>
          <t>KALMAR LÄN</t>
        </is>
      </c>
      <c r="E1465" t="inlineStr">
        <is>
          <t>NYBRO</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10020-2019</t>
        </is>
      </c>
      <c r="B1466" s="1" t="n">
        <v>43510</v>
      </c>
      <c r="C1466" s="1" t="n">
        <v>45190</v>
      </c>
      <c r="D1466" t="inlineStr">
        <is>
          <t>KALMAR LÄN</t>
        </is>
      </c>
      <c r="E1466" t="inlineStr">
        <is>
          <t>NYBRO</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10211-2019</t>
        </is>
      </c>
      <c r="B1467" s="1" t="n">
        <v>43510</v>
      </c>
      <c r="C1467" s="1" t="n">
        <v>45190</v>
      </c>
      <c r="D1467" t="inlineStr">
        <is>
          <t>KALMAR LÄN</t>
        </is>
      </c>
      <c r="E1467" t="inlineStr">
        <is>
          <t>NYBRO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10341-2019</t>
        </is>
      </c>
      <c r="B1468" s="1" t="n">
        <v>43511</v>
      </c>
      <c r="C1468" s="1" t="n">
        <v>45190</v>
      </c>
      <c r="D1468" t="inlineStr">
        <is>
          <t>KALMAR LÄN</t>
        </is>
      </c>
      <c r="E1468" t="inlineStr">
        <is>
          <t>NYBRO</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10352-2019</t>
        </is>
      </c>
      <c r="B1469" s="1" t="n">
        <v>43511</v>
      </c>
      <c r="C1469" s="1" t="n">
        <v>45190</v>
      </c>
      <c r="D1469" t="inlineStr">
        <is>
          <t>KALMAR LÄN</t>
        </is>
      </c>
      <c r="E1469" t="inlineStr">
        <is>
          <t>VIMMERBY</t>
        </is>
      </c>
      <c r="G1469" t="n">
        <v>9.9</v>
      </c>
      <c r="H1469" t="n">
        <v>0</v>
      </c>
      <c r="I1469" t="n">
        <v>0</v>
      </c>
      <c r="J1469" t="n">
        <v>0</v>
      </c>
      <c r="K1469" t="n">
        <v>0</v>
      </c>
      <c r="L1469" t="n">
        <v>0</v>
      </c>
      <c r="M1469" t="n">
        <v>0</v>
      </c>
      <c r="N1469" t="n">
        <v>0</v>
      </c>
      <c r="O1469" t="n">
        <v>0</v>
      </c>
      <c r="P1469" t="n">
        <v>0</v>
      </c>
      <c r="Q1469" t="n">
        <v>0</v>
      </c>
      <c r="R1469" s="2" t="inlineStr"/>
    </row>
    <row r="1470" ht="15" customHeight="1">
      <c r="A1470" t="inlineStr">
        <is>
          <t>A 10429-2019</t>
        </is>
      </c>
      <c r="B1470" s="1" t="n">
        <v>43511</v>
      </c>
      <c r="C1470" s="1" t="n">
        <v>45190</v>
      </c>
      <c r="D1470" t="inlineStr">
        <is>
          <t>KALMAR LÄN</t>
        </is>
      </c>
      <c r="E1470" t="inlineStr">
        <is>
          <t>VIMMERBY</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10440-2019</t>
        </is>
      </c>
      <c r="B1471" s="1" t="n">
        <v>43511</v>
      </c>
      <c r="C1471" s="1" t="n">
        <v>45190</v>
      </c>
      <c r="D1471" t="inlineStr">
        <is>
          <t>KALMAR LÄN</t>
        </is>
      </c>
      <c r="E1471" t="inlineStr">
        <is>
          <t>NYBRO</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10306-2019</t>
        </is>
      </c>
      <c r="B1472" s="1" t="n">
        <v>43511</v>
      </c>
      <c r="C1472" s="1" t="n">
        <v>45190</v>
      </c>
      <c r="D1472" t="inlineStr">
        <is>
          <t>KALMAR LÄN</t>
        </is>
      </c>
      <c r="E1472" t="inlineStr">
        <is>
          <t>HULTSFRED</t>
        </is>
      </c>
      <c r="F1472" t="inlineStr">
        <is>
          <t>Kyrkan</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10354-2019</t>
        </is>
      </c>
      <c r="B1473" s="1" t="n">
        <v>43511</v>
      </c>
      <c r="C1473" s="1" t="n">
        <v>45190</v>
      </c>
      <c r="D1473" t="inlineStr">
        <is>
          <t>KALMAR LÄN</t>
        </is>
      </c>
      <c r="E1473" t="inlineStr">
        <is>
          <t>VIMMERBY</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10441-2019</t>
        </is>
      </c>
      <c r="B1474" s="1" t="n">
        <v>43511</v>
      </c>
      <c r="C1474" s="1" t="n">
        <v>45190</v>
      </c>
      <c r="D1474" t="inlineStr">
        <is>
          <t>KALMAR LÄN</t>
        </is>
      </c>
      <c r="E1474" t="inlineStr">
        <is>
          <t>NYBRO</t>
        </is>
      </c>
      <c r="G1474" t="n">
        <v>6.3</v>
      </c>
      <c r="H1474" t="n">
        <v>0</v>
      </c>
      <c r="I1474" t="n">
        <v>0</v>
      </c>
      <c r="J1474" t="n">
        <v>0</v>
      </c>
      <c r="K1474" t="n">
        <v>0</v>
      </c>
      <c r="L1474" t="n">
        <v>0</v>
      </c>
      <c r="M1474" t="n">
        <v>0</v>
      </c>
      <c r="N1474" t="n">
        <v>0</v>
      </c>
      <c r="O1474" t="n">
        <v>0</v>
      </c>
      <c r="P1474" t="n">
        <v>0</v>
      </c>
      <c r="Q1474" t="n">
        <v>0</v>
      </c>
      <c r="R1474" s="2" t="inlineStr"/>
    </row>
    <row r="1475" ht="15" customHeight="1">
      <c r="A1475" t="inlineStr">
        <is>
          <t>A 10455-2019</t>
        </is>
      </c>
      <c r="B1475" s="1" t="n">
        <v>43511</v>
      </c>
      <c r="C1475" s="1" t="n">
        <v>45190</v>
      </c>
      <c r="D1475" t="inlineStr">
        <is>
          <t>KALMAR LÄN</t>
        </is>
      </c>
      <c r="E1475" t="inlineStr">
        <is>
          <t>VÄSTERVIK</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10428-2019</t>
        </is>
      </c>
      <c r="B1476" s="1" t="n">
        <v>43511</v>
      </c>
      <c r="C1476" s="1" t="n">
        <v>45190</v>
      </c>
      <c r="D1476" t="inlineStr">
        <is>
          <t>KALMAR LÄN</t>
        </is>
      </c>
      <c r="E1476" t="inlineStr">
        <is>
          <t>NYBRO</t>
        </is>
      </c>
      <c r="G1476" t="n">
        <v>7.9</v>
      </c>
      <c r="H1476" t="n">
        <v>0</v>
      </c>
      <c r="I1476" t="n">
        <v>0</v>
      </c>
      <c r="J1476" t="n">
        <v>0</v>
      </c>
      <c r="K1476" t="n">
        <v>0</v>
      </c>
      <c r="L1476" t="n">
        <v>0</v>
      </c>
      <c r="M1476" t="n">
        <v>0</v>
      </c>
      <c r="N1476" t="n">
        <v>0</v>
      </c>
      <c r="O1476" t="n">
        <v>0</v>
      </c>
      <c r="P1476" t="n">
        <v>0</v>
      </c>
      <c r="Q1476" t="n">
        <v>0</v>
      </c>
      <c r="R1476" s="2" t="inlineStr"/>
    </row>
    <row r="1477" ht="15" customHeight="1">
      <c r="A1477" t="inlineStr">
        <is>
          <t>A 10450-2019</t>
        </is>
      </c>
      <c r="B1477" s="1" t="n">
        <v>43511</v>
      </c>
      <c r="C1477" s="1" t="n">
        <v>45190</v>
      </c>
      <c r="D1477" t="inlineStr">
        <is>
          <t>KALMAR LÄN</t>
        </is>
      </c>
      <c r="E1477" t="inlineStr">
        <is>
          <t>TORSÅS</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10349-2019</t>
        </is>
      </c>
      <c r="B1478" s="1" t="n">
        <v>43511</v>
      </c>
      <c r="C1478" s="1" t="n">
        <v>45190</v>
      </c>
      <c r="D1478" t="inlineStr">
        <is>
          <t>KALMAR LÄN</t>
        </is>
      </c>
      <c r="E1478" t="inlineStr">
        <is>
          <t>VIMMERBY</t>
        </is>
      </c>
      <c r="G1478" t="n">
        <v>9.1</v>
      </c>
      <c r="H1478" t="n">
        <v>0</v>
      </c>
      <c r="I1478" t="n">
        <v>0</v>
      </c>
      <c r="J1478" t="n">
        <v>0</v>
      </c>
      <c r="K1478" t="n">
        <v>0</v>
      </c>
      <c r="L1478" t="n">
        <v>0</v>
      </c>
      <c r="M1478" t="n">
        <v>0</v>
      </c>
      <c r="N1478" t="n">
        <v>0</v>
      </c>
      <c r="O1478" t="n">
        <v>0</v>
      </c>
      <c r="P1478" t="n">
        <v>0</v>
      </c>
      <c r="Q1478" t="n">
        <v>0</v>
      </c>
      <c r="R1478" s="2" t="inlineStr"/>
    </row>
    <row r="1479" ht="15" customHeight="1">
      <c r="A1479" t="inlineStr">
        <is>
          <t>A 10607-2019</t>
        </is>
      </c>
      <c r="B1479" s="1" t="n">
        <v>43514</v>
      </c>
      <c r="C1479" s="1" t="n">
        <v>45190</v>
      </c>
      <c r="D1479" t="inlineStr">
        <is>
          <t>KALMAR LÄN</t>
        </is>
      </c>
      <c r="E1479" t="inlineStr">
        <is>
          <t>OSKARSHAMN</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10739-2019</t>
        </is>
      </c>
      <c r="B1480" s="1" t="n">
        <v>43514</v>
      </c>
      <c r="C1480" s="1" t="n">
        <v>45190</v>
      </c>
      <c r="D1480" t="inlineStr">
        <is>
          <t>KALMAR LÄN</t>
        </is>
      </c>
      <c r="E1480" t="inlineStr">
        <is>
          <t>EMMABODA</t>
        </is>
      </c>
      <c r="G1480" t="n">
        <v>4.1</v>
      </c>
      <c r="H1480" t="n">
        <v>0</v>
      </c>
      <c r="I1480" t="n">
        <v>0</v>
      </c>
      <c r="J1480" t="n">
        <v>0</v>
      </c>
      <c r="K1480" t="n">
        <v>0</v>
      </c>
      <c r="L1480" t="n">
        <v>0</v>
      </c>
      <c r="M1480" t="n">
        <v>0</v>
      </c>
      <c r="N1480" t="n">
        <v>0</v>
      </c>
      <c r="O1480" t="n">
        <v>0</v>
      </c>
      <c r="P1480" t="n">
        <v>0</v>
      </c>
      <c r="Q1480" t="n">
        <v>0</v>
      </c>
      <c r="R1480" s="2" t="inlineStr"/>
    </row>
    <row r="1481" ht="15" customHeight="1">
      <c r="A1481" t="inlineStr">
        <is>
          <t>A 10744-2019</t>
        </is>
      </c>
      <c r="B1481" s="1" t="n">
        <v>43514</v>
      </c>
      <c r="C1481" s="1" t="n">
        <v>45190</v>
      </c>
      <c r="D1481" t="inlineStr">
        <is>
          <t>KALMAR LÄN</t>
        </is>
      </c>
      <c r="E1481" t="inlineStr">
        <is>
          <t>VÄSTERVIK</t>
        </is>
      </c>
      <c r="F1481" t="inlineStr">
        <is>
          <t>Holmen skog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10605-2019</t>
        </is>
      </c>
      <c r="B1482" s="1" t="n">
        <v>43514</v>
      </c>
      <c r="C1482" s="1" t="n">
        <v>45190</v>
      </c>
      <c r="D1482" t="inlineStr">
        <is>
          <t>KALMAR LÄN</t>
        </is>
      </c>
      <c r="E1482" t="inlineStr">
        <is>
          <t>OSKARSHAMN</t>
        </is>
      </c>
      <c r="G1482" t="n">
        <v>13.1</v>
      </c>
      <c r="H1482" t="n">
        <v>0</v>
      </c>
      <c r="I1482" t="n">
        <v>0</v>
      </c>
      <c r="J1482" t="n">
        <v>0</v>
      </c>
      <c r="K1482" t="n">
        <v>0</v>
      </c>
      <c r="L1482" t="n">
        <v>0</v>
      </c>
      <c r="M1482" t="n">
        <v>0</v>
      </c>
      <c r="N1482" t="n">
        <v>0</v>
      </c>
      <c r="O1482" t="n">
        <v>0</v>
      </c>
      <c r="P1482" t="n">
        <v>0</v>
      </c>
      <c r="Q1482" t="n">
        <v>0</v>
      </c>
      <c r="R1482" s="2" t="inlineStr"/>
    </row>
    <row r="1483" ht="15" customHeight="1">
      <c r="A1483" t="inlineStr">
        <is>
          <t>A 10742-2019</t>
        </is>
      </c>
      <c r="B1483" s="1" t="n">
        <v>43514</v>
      </c>
      <c r="C1483" s="1" t="n">
        <v>45190</v>
      </c>
      <c r="D1483" t="inlineStr">
        <is>
          <t>KALMAR LÄN</t>
        </is>
      </c>
      <c r="E1483" t="inlineStr">
        <is>
          <t>VÄSTERVIK</t>
        </is>
      </c>
      <c r="F1483" t="inlineStr">
        <is>
          <t>Holmen skog AB</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10809-2019</t>
        </is>
      </c>
      <c r="B1484" s="1" t="n">
        <v>43514</v>
      </c>
      <c r="C1484" s="1" t="n">
        <v>45190</v>
      </c>
      <c r="D1484" t="inlineStr">
        <is>
          <t>KALMAR LÄN</t>
        </is>
      </c>
      <c r="E1484" t="inlineStr">
        <is>
          <t>MÖNSTERÅS</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10576-2019</t>
        </is>
      </c>
      <c r="B1485" s="1" t="n">
        <v>43514</v>
      </c>
      <c r="C1485" s="1" t="n">
        <v>45190</v>
      </c>
      <c r="D1485" t="inlineStr">
        <is>
          <t>KALMAR LÄN</t>
        </is>
      </c>
      <c r="E1485" t="inlineStr">
        <is>
          <t>KALMAR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10679-2019</t>
        </is>
      </c>
      <c r="B1486" s="1" t="n">
        <v>43514</v>
      </c>
      <c r="C1486" s="1" t="n">
        <v>45190</v>
      </c>
      <c r="D1486" t="inlineStr">
        <is>
          <t>KALMAR LÄN</t>
        </is>
      </c>
      <c r="E1486" t="inlineStr">
        <is>
          <t>NYBRO</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10694-2019</t>
        </is>
      </c>
      <c r="B1487" s="1" t="n">
        <v>43514</v>
      </c>
      <c r="C1487" s="1" t="n">
        <v>45190</v>
      </c>
      <c r="D1487" t="inlineStr">
        <is>
          <t>KALMAR LÄN</t>
        </is>
      </c>
      <c r="E1487" t="inlineStr">
        <is>
          <t>VÄSTERVIK</t>
        </is>
      </c>
      <c r="F1487" t="inlineStr">
        <is>
          <t>Holmen skog AB</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10709-2019</t>
        </is>
      </c>
      <c r="B1488" s="1" t="n">
        <v>43514</v>
      </c>
      <c r="C1488" s="1" t="n">
        <v>45190</v>
      </c>
      <c r="D1488" t="inlineStr">
        <is>
          <t>KALMAR LÄN</t>
        </is>
      </c>
      <c r="E1488" t="inlineStr">
        <is>
          <t>VÄSTERVIK</t>
        </is>
      </c>
      <c r="F1488" t="inlineStr">
        <is>
          <t>Holmen skog AB</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10740-2019</t>
        </is>
      </c>
      <c r="B1489" s="1" t="n">
        <v>43514</v>
      </c>
      <c r="C1489" s="1" t="n">
        <v>45190</v>
      </c>
      <c r="D1489" t="inlineStr">
        <is>
          <t>KALMAR LÄN</t>
        </is>
      </c>
      <c r="E1489" t="inlineStr">
        <is>
          <t>VÄSTERVIK</t>
        </is>
      </c>
      <c r="F1489" t="inlineStr">
        <is>
          <t>Holmen skog AB</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11244-2019</t>
        </is>
      </c>
      <c r="B1490" s="1" t="n">
        <v>43516</v>
      </c>
      <c r="C1490" s="1" t="n">
        <v>45190</v>
      </c>
      <c r="D1490" t="inlineStr">
        <is>
          <t>KALMAR LÄN</t>
        </is>
      </c>
      <c r="E1490" t="inlineStr">
        <is>
          <t>VÄSTERVIK</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11306-2019</t>
        </is>
      </c>
      <c r="B1491" s="1" t="n">
        <v>43516</v>
      </c>
      <c r="C1491" s="1" t="n">
        <v>45190</v>
      </c>
      <c r="D1491" t="inlineStr">
        <is>
          <t>KALMAR LÄN</t>
        </is>
      </c>
      <c r="E1491" t="inlineStr">
        <is>
          <t>VÄSTERVIK</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11115-2019</t>
        </is>
      </c>
      <c r="B1492" s="1" t="n">
        <v>43516</v>
      </c>
      <c r="C1492" s="1" t="n">
        <v>45190</v>
      </c>
      <c r="D1492" t="inlineStr">
        <is>
          <t>KALMAR LÄN</t>
        </is>
      </c>
      <c r="E1492" t="inlineStr">
        <is>
          <t>HULTSFRED</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11223-2019</t>
        </is>
      </c>
      <c r="B1493" s="1" t="n">
        <v>43516</v>
      </c>
      <c r="C1493" s="1" t="n">
        <v>45190</v>
      </c>
      <c r="D1493" t="inlineStr">
        <is>
          <t>KALMAR LÄN</t>
        </is>
      </c>
      <c r="E1493" t="inlineStr">
        <is>
          <t>HULTSFRED</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11123-2019</t>
        </is>
      </c>
      <c r="B1494" s="1" t="n">
        <v>43516</v>
      </c>
      <c r="C1494" s="1" t="n">
        <v>45190</v>
      </c>
      <c r="D1494" t="inlineStr">
        <is>
          <t>KALMAR LÄN</t>
        </is>
      </c>
      <c r="E1494" t="inlineStr">
        <is>
          <t>OSKARSHAMN</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11303-2019</t>
        </is>
      </c>
      <c r="B1495" s="1" t="n">
        <v>43516</v>
      </c>
      <c r="C1495" s="1" t="n">
        <v>45190</v>
      </c>
      <c r="D1495" t="inlineStr">
        <is>
          <t>KALMAR LÄN</t>
        </is>
      </c>
      <c r="E1495" t="inlineStr">
        <is>
          <t>VÄSTERVIK</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11564-2019</t>
        </is>
      </c>
      <c r="B1496" s="1" t="n">
        <v>43517</v>
      </c>
      <c r="C1496" s="1" t="n">
        <v>45190</v>
      </c>
      <c r="D1496" t="inlineStr">
        <is>
          <t>KALMAR LÄN</t>
        </is>
      </c>
      <c r="E1496" t="inlineStr">
        <is>
          <t>NYBRO</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11288-2019</t>
        </is>
      </c>
      <c r="B1497" s="1" t="n">
        <v>43517</v>
      </c>
      <c r="C1497" s="1" t="n">
        <v>45190</v>
      </c>
      <c r="D1497" t="inlineStr">
        <is>
          <t>KALMAR LÄN</t>
        </is>
      </c>
      <c r="E1497" t="inlineStr">
        <is>
          <t>KALMAR</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11322-2019</t>
        </is>
      </c>
      <c r="B1498" s="1" t="n">
        <v>43517</v>
      </c>
      <c r="C1498" s="1" t="n">
        <v>45190</v>
      </c>
      <c r="D1498" t="inlineStr">
        <is>
          <t>KALMAR LÄN</t>
        </is>
      </c>
      <c r="E1498" t="inlineStr">
        <is>
          <t>NYBRO</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11374-2019</t>
        </is>
      </c>
      <c r="B1499" s="1" t="n">
        <v>43517</v>
      </c>
      <c r="C1499" s="1" t="n">
        <v>45190</v>
      </c>
      <c r="D1499" t="inlineStr">
        <is>
          <t>KALMAR LÄN</t>
        </is>
      </c>
      <c r="E1499" t="inlineStr">
        <is>
          <t>VIMMERBY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11329-2019</t>
        </is>
      </c>
      <c r="B1500" s="1" t="n">
        <v>43517</v>
      </c>
      <c r="C1500" s="1" t="n">
        <v>45190</v>
      </c>
      <c r="D1500" t="inlineStr">
        <is>
          <t>KALMAR LÄN</t>
        </is>
      </c>
      <c r="E1500" t="inlineStr">
        <is>
          <t>NYBRO</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11403-2019</t>
        </is>
      </c>
      <c r="B1501" s="1" t="n">
        <v>43517</v>
      </c>
      <c r="C1501" s="1" t="n">
        <v>45190</v>
      </c>
      <c r="D1501" t="inlineStr">
        <is>
          <t>KALMAR LÄN</t>
        </is>
      </c>
      <c r="E1501" t="inlineStr">
        <is>
          <t>MÖNSTERÅS</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11632-2019</t>
        </is>
      </c>
      <c r="B1502" s="1" t="n">
        <v>43517</v>
      </c>
      <c r="C1502" s="1" t="n">
        <v>45190</v>
      </c>
      <c r="D1502" t="inlineStr">
        <is>
          <t>KALMAR LÄN</t>
        </is>
      </c>
      <c r="E1502" t="inlineStr">
        <is>
          <t>OSKARSHAMN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11605-2019</t>
        </is>
      </c>
      <c r="B1503" s="1" t="n">
        <v>43518</v>
      </c>
      <c r="C1503" s="1" t="n">
        <v>45190</v>
      </c>
      <c r="D1503" t="inlineStr">
        <is>
          <t>KALMAR LÄN</t>
        </is>
      </c>
      <c r="E1503" t="inlineStr">
        <is>
          <t>EMMABODA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11689-2019</t>
        </is>
      </c>
      <c r="B1504" s="1" t="n">
        <v>43518</v>
      </c>
      <c r="C1504" s="1" t="n">
        <v>45190</v>
      </c>
      <c r="D1504" t="inlineStr">
        <is>
          <t>KALMAR LÄN</t>
        </is>
      </c>
      <c r="E1504" t="inlineStr">
        <is>
          <t>VÄSTERVIK</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11686-2019</t>
        </is>
      </c>
      <c r="B1505" s="1" t="n">
        <v>43518</v>
      </c>
      <c r="C1505" s="1" t="n">
        <v>45190</v>
      </c>
      <c r="D1505" t="inlineStr">
        <is>
          <t>KALMAR LÄN</t>
        </is>
      </c>
      <c r="E1505" t="inlineStr">
        <is>
          <t>VÄSTERVIK</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11752-2019</t>
        </is>
      </c>
      <c r="B1506" s="1" t="n">
        <v>43520</v>
      </c>
      <c r="C1506" s="1" t="n">
        <v>45190</v>
      </c>
      <c r="D1506" t="inlineStr">
        <is>
          <t>KALMAR LÄN</t>
        </is>
      </c>
      <c r="E1506" t="inlineStr">
        <is>
          <t>HULTSFRED</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11850-2019</t>
        </is>
      </c>
      <c r="B1507" s="1" t="n">
        <v>43521</v>
      </c>
      <c r="C1507" s="1" t="n">
        <v>45190</v>
      </c>
      <c r="D1507" t="inlineStr">
        <is>
          <t>KALMAR LÄN</t>
        </is>
      </c>
      <c r="E1507" t="inlineStr">
        <is>
          <t>EMMABODA</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12038-2019</t>
        </is>
      </c>
      <c r="B1508" s="1" t="n">
        <v>43521</v>
      </c>
      <c r="C1508" s="1" t="n">
        <v>45190</v>
      </c>
      <c r="D1508" t="inlineStr">
        <is>
          <t>KALMAR LÄN</t>
        </is>
      </c>
      <c r="E1508" t="inlineStr">
        <is>
          <t>NYBRO</t>
        </is>
      </c>
      <c r="G1508" t="n">
        <v>11.1</v>
      </c>
      <c r="H1508" t="n">
        <v>0</v>
      </c>
      <c r="I1508" t="n">
        <v>0</v>
      </c>
      <c r="J1508" t="n">
        <v>0</v>
      </c>
      <c r="K1508" t="n">
        <v>0</v>
      </c>
      <c r="L1508" t="n">
        <v>0</v>
      </c>
      <c r="M1508" t="n">
        <v>0</v>
      </c>
      <c r="N1508" t="n">
        <v>0</v>
      </c>
      <c r="O1508" t="n">
        <v>0</v>
      </c>
      <c r="P1508" t="n">
        <v>0</v>
      </c>
      <c r="Q1508" t="n">
        <v>0</v>
      </c>
      <c r="R1508" s="2" t="inlineStr"/>
    </row>
    <row r="1509" ht="15" customHeight="1">
      <c r="A1509" t="inlineStr">
        <is>
          <t>A 12113-2019</t>
        </is>
      </c>
      <c r="B1509" s="1" t="n">
        <v>43521</v>
      </c>
      <c r="C1509" s="1" t="n">
        <v>45190</v>
      </c>
      <c r="D1509" t="inlineStr">
        <is>
          <t>KALMAR LÄN</t>
        </is>
      </c>
      <c r="E1509" t="inlineStr">
        <is>
          <t>VÄSTERVIK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11857-2019</t>
        </is>
      </c>
      <c r="B1510" s="1" t="n">
        <v>43521</v>
      </c>
      <c r="C1510" s="1" t="n">
        <v>45190</v>
      </c>
      <c r="D1510" t="inlineStr">
        <is>
          <t>KALMAR LÄN</t>
        </is>
      </c>
      <c r="E1510" t="inlineStr">
        <is>
          <t>EMMABODA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11979-2019</t>
        </is>
      </c>
      <c r="B1511" s="1" t="n">
        <v>43521</v>
      </c>
      <c r="C1511" s="1" t="n">
        <v>45190</v>
      </c>
      <c r="D1511" t="inlineStr">
        <is>
          <t>KALMAR LÄN</t>
        </is>
      </c>
      <c r="E1511" t="inlineStr">
        <is>
          <t>VÄSTERVIK</t>
        </is>
      </c>
      <c r="F1511" t="inlineStr">
        <is>
          <t>Sveaskog</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11847-2019</t>
        </is>
      </c>
      <c r="B1512" s="1" t="n">
        <v>43521</v>
      </c>
      <c r="C1512" s="1" t="n">
        <v>45190</v>
      </c>
      <c r="D1512" t="inlineStr">
        <is>
          <t>KALMAR LÄN</t>
        </is>
      </c>
      <c r="E1512" t="inlineStr">
        <is>
          <t>EMMABODA</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12111-2019</t>
        </is>
      </c>
      <c r="B1513" s="1" t="n">
        <v>43521</v>
      </c>
      <c r="C1513" s="1" t="n">
        <v>45190</v>
      </c>
      <c r="D1513" t="inlineStr">
        <is>
          <t>KALMAR LÄN</t>
        </is>
      </c>
      <c r="E1513" t="inlineStr">
        <is>
          <t>VÄSTERVIK</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11853-2019</t>
        </is>
      </c>
      <c r="B1514" s="1" t="n">
        <v>43521</v>
      </c>
      <c r="C1514" s="1" t="n">
        <v>45190</v>
      </c>
      <c r="D1514" t="inlineStr">
        <is>
          <t>KALMAR LÄN</t>
        </is>
      </c>
      <c r="E1514" t="inlineStr">
        <is>
          <t>EMMABODA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12117-2019</t>
        </is>
      </c>
      <c r="B1515" s="1" t="n">
        <v>43521</v>
      </c>
      <c r="C1515" s="1" t="n">
        <v>45190</v>
      </c>
      <c r="D1515" t="inlineStr">
        <is>
          <t>KALMAR LÄN</t>
        </is>
      </c>
      <c r="E1515" t="inlineStr">
        <is>
          <t>VÄSTERVIK</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12142-2019</t>
        </is>
      </c>
      <c r="B1516" s="1" t="n">
        <v>43522</v>
      </c>
      <c r="C1516" s="1" t="n">
        <v>45190</v>
      </c>
      <c r="D1516" t="inlineStr">
        <is>
          <t>KALMAR LÄN</t>
        </is>
      </c>
      <c r="E1516" t="inlineStr">
        <is>
          <t>HULTSFRED</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12192-2019</t>
        </is>
      </c>
      <c r="B1517" s="1" t="n">
        <v>43522</v>
      </c>
      <c r="C1517" s="1" t="n">
        <v>45190</v>
      </c>
      <c r="D1517" t="inlineStr">
        <is>
          <t>KALMAR LÄN</t>
        </is>
      </c>
      <c r="E1517" t="inlineStr">
        <is>
          <t>VIMMERBY</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12270-2019</t>
        </is>
      </c>
      <c r="B1518" s="1" t="n">
        <v>43522</v>
      </c>
      <c r="C1518" s="1" t="n">
        <v>45190</v>
      </c>
      <c r="D1518" t="inlineStr">
        <is>
          <t>KALMAR LÄN</t>
        </is>
      </c>
      <c r="E1518" t="inlineStr">
        <is>
          <t>HÖGSBY</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12112-2019</t>
        </is>
      </c>
      <c r="B1519" s="1" t="n">
        <v>43522</v>
      </c>
      <c r="C1519" s="1" t="n">
        <v>45190</v>
      </c>
      <c r="D1519" t="inlineStr">
        <is>
          <t>KALMAR LÄN</t>
        </is>
      </c>
      <c r="E1519" t="inlineStr">
        <is>
          <t>VIMMERBY</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12165-2019</t>
        </is>
      </c>
      <c r="B1520" s="1" t="n">
        <v>43522</v>
      </c>
      <c r="C1520" s="1" t="n">
        <v>45190</v>
      </c>
      <c r="D1520" t="inlineStr">
        <is>
          <t>KALMAR LÄN</t>
        </is>
      </c>
      <c r="E1520" t="inlineStr">
        <is>
          <t>NYBRO</t>
        </is>
      </c>
      <c r="G1520" t="n">
        <v>5.5</v>
      </c>
      <c r="H1520" t="n">
        <v>0</v>
      </c>
      <c r="I1520" t="n">
        <v>0</v>
      </c>
      <c r="J1520" t="n">
        <v>0</v>
      </c>
      <c r="K1520" t="n">
        <v>0</v>
      </c>
      <c r="L1520" t="n">
        <v>0</v>
      </c>
      <c r="M1520" t="n">
        <v>0</v>
      </c>
      <c r="N1520" t="n">
        <v>0</v>
      </c>
      <c r="O1520" t="n">
        <v>0</v>
      </c>
      <c r="P1520" t="n">
        <v>0</v>
      </c>
      <c r="Q1520" t="n">
        <v>0</v>
      </c>
      <c r="R1520" s="2" t="inlineStr"/>
    </row>
    <row r="1521" ht="15" customHeight="1">
      <c r="A1521" t="inlineStr">
        <is>
          <t>A 12208-2019</t>
        </is>
      </c>
      <c r="B1521" s="1" t="n">
        <v>43522</v>
      </c>
      <c r="C1521" s="1" t="n">
        <v>45190</v>
      </c>
      <c r="D1521" t="inlineStr">
        <is>
          <t>KALMAR LÄN</t>
        </is>
      </c>
      <c r="E1521" t="inlineStr">
        <is>
          <t>KALMAR</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12261-2019</t>
        </is>
      </c>
      <c r="B1522" s="1" t="n">
        <v>43522</v>
      </c>
      <c r="C1522" s="1" t="n">
        <v>45190</v>
      </c>
      <c r="D1522" t="inlineStr">
        <is>
          <t>KALMAR LÄN</t>
        </is>
      </c>
      <c r="E1522" t="inlineStr">
        <is>
          <t>HÖGSBY</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12163-2019</t>
        </is>
      </c>
      <c r="B1523" s="1" t="n">
        <v>43522</v>
      </c>
      <c r="C1523" s="1" t="n">
        <v>45190</v>
      </c>
      <c r="D1523" t="inlineStr">
        <is>
          <t>KALMAR LÄN</t>
        </is>
      </c>
      <c r="E1523" t="inlineStr">
        <is>
          <t>NYBRO</t>
        </is>
      </c>
      <c r="G1523" t="n">
        <v>19.1</v>
      </c>
      <c r="H1523" t="n">
        <v>0</v>
      </c>
      <c r="I1523" t="n">
        <v>0</v>
      </c>
      <c r="J1523" t="n">
        <v>0</v>
      </c>
      <c r="K1523" t="n">
        <v>0</v>
      </c>
      <c r="L1523" t="n">
        <v>0</v>
      </c>
      <c r="M1523" t="n">
        <v>0</v>
      </c>
      <c r="N1523" t="n">
        <v>0</v>
      </c>
      <c r="O1523" t="n">
        <v>0</v>
      </c>
      <c r="P1523" t="n">
        <v>0</v>
      </c>
      <c r="Q1523" t="n">
        <v>0</v>
      </c>
      <c r="R1523" s="2" t="inlineStr"/>
    </row>
    <row r="1524" ht="15" customHeight="1">
      <c r="A1524" t="inlineStr">
        <is>
          <t>A 12207-2019</t>
        </is>
      </c>
      <c r="B1524" s="1" t="n">
        <v>43522</v>
      </c>
      <c r="C1524" s="1" t="n">
        <v>45190</v>
      </c>
      <c r="D1524" t="inlineStr">
        <is>
          <t>KALMAR LÄN</t>
        </is>
      </c>
      <c r="E1524" t="inlineStr">
        <is>
          <t>KALMAR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12143-2019</t>
        </is>
      </c>
      <c r="B1525" s="1" t="n">
        <v>43522</v>
      </c>
      <c r="C1525" s="1" t="n">
        <v>45190</v>
      </c>
      <c r="D1525" t="inlineStr">
        <is>
          <t>KALMAR LÄN</t>
        </is>
      </c>
      <c r="E1525" t="inlineStr">
        <is>
          <t>VÄSTERVIK</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12415-2019</t>
        </is>
      </c>
      <c r="B1526" s="1" t="n">
        <v>43523</v>
      </c>
      <c r="C1526" s="1" t="n">
        <v>45190</v>
      </c>
      <c r="D1526" t="inlineStr">
        <is>
          <t>KALMAR LÄN</t>
        </is>
      </c>
      <c r="E1526" t="inlineStr">
        <is>
          <t>TORSÅS</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12424-2019</t>
        </is>
      </c>
      <c r="B1527" s="1" t="n">
        <v>43523</v>
      </c>
      <c r="C1527" s="1" t="n">
        <v>45190</v>
      </c>
      <c r="D1527" t="inlineStr">
        <is>
          <t>KALMAR LÄN</t>
        </is>
      </c>
      <c r="E1527" t="inlineStr">
        <is>
          <t>HULTSFRED</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12365-2019</t>
        </is>
      </c>
      <c r="B1528" s="1" t="n">
        <v>43523</v>
      </c>
      <c r="C1528" s="1" t="n">
        <v>45190</v>
      </c>
      <c r="D1528" t="inlineStr">
        <is>
          <t>KALMAR LÄN</t>
        </is>
      </c>
      <c r="E1528" t="inlineStr">
        <is>
          <t>VIMMERBY</t>
        </is>
      </c>
      <c r="G1528" t="n">
        <v>6.1</v>
      </c>
      <c r="H1528" t="n">
        <v>0</v>
      </c>
      <c r="I1528" t="n">
        <v>0</v>
      </c>
      <c r="J1528" t="n">
        <v>0</v>
      </c>
      <c r="K1528" t="n">
        <v>0</v>
      </c>
      <c r="L1528" t="n">
        <v>0</v>
      </c>
      <c r="M1528" t="n">
        <v>0</v>
      </c>
      <c r="N1528" t="n">
        <v>0</v>
      </c>
      <c r="O1528" t="n">
        <v>0</v>
      </c>
      <c r="P1528" t="n">
        <v>0</v>
      </c>
      <c r="Q1528" t="n">
        <v>0</v>
      </c>
      <c r="R1528" s="2" t="inlineStr"/>
    </row>
    <row r="1529" ht="15" customHeight="1">
      <c r="A1529" t="inlineStr">
        <is>
          <t>A 12395-2019</t>
        </is>
      </c>
      <c r="B1529" s="1" t="n">
        <v>43523</v>
      </c>
      <c r="C1529" s="1" t="n">
        <v>45190</v>
      </c>
      <c r="D1529" t="inlineStr">
        <is>
          <t>KALMAR LÄN</t>
        </is>
      </c>
      <c r="E1529" t="inlineStr">
        <is>
          <t>TORSÅS</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12591-2019</t>
        </is>
      </c>
      <c r="B1530" s="1" t="n">
        <v>43524</v>
      </c>
      <c r="C1530" s="1" t="n">
        <v>45190</v>
      </c>
      <c r="D1530" t="inlineStr">
        <is>
          <t>KALMAR LÄN</t>
        </is>
      </c>
      <c r="E1530" t="inlineStr">
        <is>
          <t>TORSÅS</t>
        </is>
      </c>
      <c r="G1530" t="n">
        <v>12.8</v>
      </c>
      <c r="H1530" t="n">
        <v>0</v>
      </c>
      <c r="I1530" t="n">
        <v>0</v>
      </c>
      <c r="J1530" t="n">
        <v>0</v>
      </c>
      <c r="K1530" t="n">
        <v>0</v>
      </c>
      <c r="L1530" t="n">
        <v>0</v>
      </c>
      <c r="M1530" t="n">
        <v>0</v>
      </c>
      <c r="N1530" t="n">
        <v>0</v>
      </c>
      <c r="O1530" t="n">
        <v>0</v>
      </c>
      <c r="P1530" t="n">
        <v>0</v>
      </c>
      <c r="Q1530" t="n">
        <v>0</v>
      </c>
      <c r="R1530" s="2" t="inlineStr"/>
    </row>
    <row r="1531" ht="15" customHeight="1">
      <c r="A1531" t="inlineStr">
        <is>
          <t>A 12530-2019</t>
        </is>
      </c>
      <c r="B1531" s="1" t="n">
        <v>43524</v>
      </c>
      <c r="C1531" s="1" t="n">
        <v>45190</v>
      </c>
      <c r="D1531" t="inlineStr">
        <is>
          <t>KALMAR LÄN</t>
        </is>
      </c>
      <c r="E1531" t="inlineStr">
        <is>
          <t>TORSÅS</t>
        </is>
      </c>
      <c r="G1531" t="n">
        <v>8.9</v>
      </c>
      <c r="H1531" t="n">
        <v>0</v>
      </c>
      <c r="I1531" t="n">
        <v>0</v>
      </c>
      <c r="J1531" t="n">
        <v>0</v>
      </c>
      <c r="K1531" t="n">
        <v>0</v>
      </c>
      <c r="L1531" t="n">
        <v>0</v>
      </c>
      <c r="M1531" t="n">
        <v>0</v>
      </c>
      <c r="N1531" t="n">
        <v>0</v>
      </c>
      <c r="O1531" t="n">
        <v>0</v>
      </c>
      <c r="P1531" t="n">
        <v>0</v>
      </c>
      <c r="Q1531" t="n">
        <v>0</v>
      </c>
      <c r="R1531" s="2" t="inlineStr"/>
    </row>
    <row r="1532" ht="15" customHeight="1">
      <c r="A1532" t="inlineStr">
        <is>
          <t>A 12528-2019</t>
        </is>
      </c>
      <c r="B1532" s="1" t="n">
        <v>43524</v>
      </c>
      <c r="C1532" s="1" t="n">
        <v>45190</v>
      </c>
      <c r="D1532" t="inlineStr">
        <is>
          <t>KALMAR LÄN</t>
        </is>
      </c>
      <c r="E1532" t="inlineStr">
        <is>
          <t>TORSÅS</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12605-2019</t>
        </is>
      </c>
      <c r="B1533" s="1" t="n">
        <v>43524</v>
      </c>
      <c r="C1533" s="1" t="n">
        <v>45190</v>
      </c>
      <c r="D1533" t="inlineStr">
        <is>
          <t>KALMAR LÄN</t>
        </is>
      </c>
      <c r="E1533" t="inlineStr">
        <is>
          <t>HÖGSBY</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12711-2019</t>
        </is>
      </c>
      <c r="B1534" s="1" t="n">
        <v>43524</v>
      </c>
      <c r="C1534" s="1" t="n">
        <v>45190</v>
      </c>
      <c r="D1534" t="inlineStr">
        <is>
          <t>KALMAR LÄN</t>
        </is>
      </c>
      <c r="E1534" t="inlineStr">
        <is>
          <t>HULTSFRED</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12834-2019</t>
        </is>
      </c>
      <c r="B1535" s="1" t="n">
        <v>43525</v>
      </c>
      <c r="C1535" s="1" t="n">
        <v>45190</v>
      </c>
      <c r="D1535" t="inlineStr">
        <is>
          <t>KALMAR LÄN</t>
        </is>
      </c>
      <c r="E1535" t="inlineStr">
        <is>
          <t>HULTSFRED</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12914-2019</t>
        </is>
      </c>
      <c r="B1536" s="1" t="n">
        <v>43525</v>
      </c>
      <c r="C1536" s="1" t="n">
        <v>45190</v>
      </c>
      <c r="D1536" t="inlineStr">
        <is>
          <t>KALMAR LÄN</t>
        </is>
      </c>
      <c r="E1536" t="inlineStr">
        <is>
          <t>EMMABODA</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13098-2019</t>
        </is>
      </c>
      <c r="B1537" s="1" t="n">
        <v>43526</v>
      </c>
      <c r="C1537" s="1" t="n">
        <v>45190</v>
      </c>
      <c r="D1537" t="inlineStr">
        <is>
          <t>KALMAR LÄN</t>
        </is>
      </c>
      <c r="E1537" t="inlineStr">
        <is>
          <t>HULTSFRED</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12969-2019</t>
        </is>
      </c>
      <c r="B1538" s="1" t="n">
        <v>43527</v>
      </c>
      <c r="C1538" s="1" t="n">
        <v>45190</v>
      </c>
      <c r="D1538" t="inlineStr">
        <is>
          <t>KALMAR LÄN</t>
        </is>
      </c>
      <c r="E1538" t="inlineStr">
        <is>
          <t>VIMMERBY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13135-2019</t>
        </is>
      </c>
      <c r="B1539" s="1" t="n">
        <v>43528</v>
      </c>
      <c r="C1539" s="1" t="n">
        <v>45190</v>
      </c>
      <c r="D1539" t="inlineStr">
        <is>
          <t>KALMAR LÄN</t>
        </is>
      </c>
      <c r="E1539" t="inlineStr">
        <is>
          <t>VIMMERBY</t>
        </is>
      </c>
      <c r="G1539" t="n">
        <v>3.5</v>
      </c>
      <c r="H1539" t="n">
        <v>0</v>
      </c>
      <c r="I1539" t="n">
        <v>0</v>
      </c>
      <c r="J1539" t="n">
        <v>0</v>
      </c>
      <c r="K1539" t="n">
        <v>0</v>
      </c>
      <c r="L1539" t="n">
        <v>0</v>
      </c>
      <c r="M1539" t="n">
        <v>0</v>
      </c>
      <c r="N1539" t="n">
        <v>0</v>
      </c>
      <c r="O1539" t="n">
        <v>0</v>
      </c>
      <c r="P1539" t="n">
        <v>0</v>
      </c>
      <c r="Q1539" t="n">
        <v>0</v>
      </c>
      <c r="R1539" s="2" t="inlineStr"/>
    </row>
    <row r="1540" ht="15" customHeight="1">
      <c r="A1540" t="inlineStr">
        <is>
          <t>A 13183-2019</t>
        </is>
      </c>
      <c r="B1540" s="1" t="n">
        <v>43528</v>
      </c>
      <c r="C1540" s="1" t="n">
        <v>45190</v>
      </c>
      <c r="D1540" t="inlineStr">
        <is>
          <t>KALMAR LÄN</t>
        </is>
      </c>
      <c r="E1540" t="inlineStr">
        <is>
          <t>HULTSFRED</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13181-2019</t>
        </is>
      </c>
      <c r="B1541" s="1" t="n">
        <v>43528</v>
      </c>
      <c r="C1541" s="1" t="n">
        <v>45190</v>
      </c>
      <c r="D1541" t="inlineStr">
        <is>
          <t>KALMAR LÄN</t>
        </is>
      </c>
      <c r="E1541" t="inlineStr">
        <is>
          <t>HULTSFRED</t>
        </is>
      </c>
      <c r="G1541" t="n">
        <v>3.4</v>
      </c>
      <c r="H1541" t="n">
        <v>0</v>
      </c>
      <c r="I1541" t="n">
        <v>0</v>
      </c>
      <c r="J1541" t="n">
        <v>0</v>
      </c>
      <c r="K1541" t="n">
        <v>0</v>
      </c>
      <c r="L1541" t="n">
        <v>0</v>
      </c>
      <c r="M1541" t="n">
        <v>0</v>
      </c>
      <c r="N1541" t="n">
        <v>0</v>
      </c>
      <c r="O1541" t="n">
        <v>0</v>
      </c>
      <c r="P1541" t="n">
        <v>0</v>
      </c>
      <c r="Q1541" t="n">
        <v>0</v>
      </c>
      <c r="R1541" s="2" t="inlineStr"/>
    </row>
    <row r="1542" ht="15" customHeight="1">
      <c r="A1542" t="inlineStr">
        <is>
          <t>A 13050-2019</t>
        </is>
      </c>
      <c r="B1542" s="1" t="n">
        <v>43528</v>
      </c>
      <c r="C1542" s="1" t="n">
        <v>45190</v>
      </c>
      <c r="D1542" t="inlineStr">
        <is>
          <t>KALMAR LÄN</t>
        </is>
      </c>
      <c r="E1542" t="inlineStr">
        <is>
          <t>HULTSFRED</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13106-2019</t>
        </is>
      </c>
      <c r="B1543" s="1" t="n">
        <v>43528</v>
      </c>
      <c r="C1543" s="1" t="n">
        <v>45190</v>
      </c>
      <c r="D1543" t="inlineStr">
        <is>
          <t>KALMAR LÄN</t>
        </is>
      </c>
      <c r="E1543" t="inlineStr">
        <is>
          <t>NYBRO</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13336-2019</t>
        </is>
      </c>
      <c r="B1544" s="1" t="n">
        <v>43528</v>
      </c>
      <c r="C1544" s="1" t="n">
        <v>45190</v>
      </c>
      <c r="D1544" t="inlineStr">
        <is>
          <t>KALMAR LÄN</t>
        </is>
      </c>
      <c r="E1544" t="inlineStr">
        <is>
          <t>TORSÅS</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13017-2019</t>
        </is>
      </c>
      <c r="B1545" s="1" t="n">
        <v>43528</v>
      </c>
      <c r="C1545" s="1" t="n">
        <v>45190</v>
      </c>
      <c r="D1545" t="inlineStr">
        <is>
          <t>KALMAR LÄN</t>
        </is>
      </c>
      <c r="E1545" t="inlineStr">
        <is>
          <t>EMMABODA</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13075-2019</t>
        </is>
      </c>
      <c r="B1546" s="1" t="n">
        <v>43528</v>
      </c>
      <c r="C1546" s="1" t="n">
        <v>45190</v>
      </c>
      <c r="D1546" t="inlineStr">
        <is>
          <t>KALMAR LÄN</t>
        </is>
      </c>
      <c r="E1546" t="inlineStr">
        <is>
          <t>HULTSFRED</t>
        </is>
      </c>
      <c r="G1546" t="n">
        <v>0.4</v>
      </c>
      <c r="H1546" t="n">
        <v>0</v>
      </c>
      <c r="I1546" t="n">
        <v>0</v>
      </c>
      <c r="J1546" t="n">
        <v>0</v>
      </c>
      <c r="K1546" t="n">
        <v>0</v>
      </c>
      <c r="L1546" t="n">
        <v>0</v>
      </c>
      <c r="M1546" t="n">
        <v>0</v>
      </c>
      <c r="N1546" t="n">
        <v>0</v>
      </c>
      <c r="O1546" t="n">
        <v>0</v>
      </c>
      <c r="P1546" t="n">
        <v>0</v>
      </c>
      <c r="Q1546" t="n">
        <v>0</v>
      </c>
      <c r="R1546" s="2" t="inlineStr"/>
    </row>
    <row r="1547" ht="15" customHeight="1">
      <c r="A1547" t="inlineStr">
        <is>
          <t>A 13380-2019</t>
        </is>
      </c>
      <c r="B1547" s="1" t="n">
        <v>43528</v>
      </c>
      <c r="C1547" s="1" t="n">
        <v>45190</v>
      </c>
      <c r="D1547" t="inlineStr">
        <is>
          <t>KALMAR LÄN</t>
        </is>
      </c>
      <c r="E1547" t="inlineStr">
        <is>
          <t>OSKARSHAMN</t>
        </is>
      </c>
      <c r="G1547" t="n">
        <v>6.1</v>
      </c>
      <c r="H1547" t="n">
        <v>0</v>
      </c>
      <c r="I1547" t="n">
        <v>0</v>
      </c>
      <c r="J1547" t="n">
        <v>0</v>
      </c>
      <c r="K1547" t="n">
        <v>0</v>
      </c>
      <c r="L1547" t="n">
        <v>0</v>
      </c>
      <c r="M1547" t="n">
        <v>0</v>
      </c>
      <c r="N1547" t="n">
        <v>0</v>
      </c>
      <c r="O1547" t="n">
        <v>0</v>
      </c>
      <c r="P1547" t="n">
        <v>0</v>
      </c>
      <c r="Q1547" t="n">
        <v>0</v>
      </c>
      <c r="R1547" s="2" t="inlineStr"/>
    </row>
    <row r="1548" ht="15" customHeight="1">
      <c r="A1548" t="inlineStr">
        <is>
          <t>A 13378-2019</t>
        </is>
      </c>
      <c r="B1548" s="1" t="n">
        <v>43529</v>
      </c>
      <c r="C1548" s="1" t="n">
        <v>45190</v>
      </c>
      <c r="D1548" t="inlineStr">
        <is>
          <t>KALMAR LÄN</t>
        </is>
      </c>
      <c r="E1548" t="inlineStr">
        <is>
          <t>NYBRO</t>
        </is>
      </c>
      <c r="F1548" t="inlineStr">
        <is>
          <t>Sveaskog</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13494-2019</t>
        </is>
      </c>
      <c r="B1549" s="1" t="n">
        <v>43529</v>
      </c>
      <c r="C1549" s="1" t="n">
        <v>45190</v>
      </c>
      <c r="D1549" t="inlineStr">
        <is>
          <t>KALMAR LÄN</t>
        </is>
      </c>
      <c r="E1549" t="inlineStr">
        <is>
          <t>OSKARSHAMN</t>
        </is>
      </c>
      <c r="G1549" t="n">
        <v>11.3</v>
      </c>
      <c r="H1549" t="n">
        <v>0</v>
      </c>
      <c r="I1549" t="n">
        <v>0</v>
      </c>
      <c r="J1549" t="n">
        <v>0</v>
      </c>
      <c r="K1549" t="n">
        <v>0</v>
      </c>
      <c r="L1549" t="n">
        <v>0</v>
      </c>
      <c r="M1549" t="n">
        <v>0</v>
      </c>
      <c r="N1549" t="n">
        <v>0</v>
      </c>
      <c r="O1549" t="n">
        <v>0</v>
      </c>
      <c r="P1549" t="n">
        <v>0</v>
      </c>
      <c r="Q1549" t="n">
        <v>0</v>
      </c>
      <c r="R1549" s="2" t="inlineStr"/>
    </row>
    <row r="1550" ht="15" customHeight="1">
      <c r="A1550" t="inlineStr">
        <is>
          <t>A 12802-2019</t>
        </is>
      </c>
      <c r="B1550" s="1" t="n">
        <v>43529</v>
      </c>
      <c r="C1550" s="1" t="n">
        <v>45190</v>
      </c>
      <c r="D1550" t="inlineStr">
        <is>
          <t>KALMAR LÄN</t>
        </is>
      </c>
      <c r="E1550" t="inlineStr">
        <is>
          <t>MÖNSTERÅS</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13253-2019</t>
        </is>
      </c>
      <c r="B1551" s="1" t="n">
        <v>43529</v>
      </c>
      <c r="C1551" s="1" t="n">
        <v>45190</v>
      </c>
      <c r="D1551" t="inlineStr">
        <is>
          <t>KALMAR LÄN</t>
        </is>
      </c>
      <c r="E1551" t="inlineStr">
        <is>
          <t>TORSÅS</t>
        </is>
      </c>
      <c r="G1551" t="n">
        <v>8.1</v>
      </c>
      <c r="H1551" t="n">
        <v>0</v>
      </c>
      <c r="I1551" t="n">
        <v>0</v>
      </c>
      <c r="J1551" t="n">
        <v>0</v>
      </c>
      <c r="K1551" t="n">
        <v>0</v>
      </c>
      <c r="L1551" t="n">
        <v>0</v>
      </c>
      <c r="M1551" t="n">
        <v>0</v>
      </c>
      <c r="N1551" t="n">
        <v>0</v>
      </c>
      <c r="O1551" t="n">
        <v>0</v>
      </c>
      <c r="P1551" t="n">
        <v>0</v>
      </c>
      <c r="Q1551" t="n">
        <v>0</v>
      </c>
      <c r="R1551" s="2" t="inlineStr"/>
    </row>
    <row r="1552" ht="15" customHeight="1">
      <c r="A1552" t="inlineStr">
        <is>
          <t>A 13282-2019</t>
        </is>
      </c>
      <c r="B1552" s="1" t="n">
        <v>43529</v>
      </c>
      <c r="C1552" s="1" t="n">
        <v>45190</v>
      </c>
      <c r="D1552" t="inlineStr">
        <is>
          <t>KALMAR LÄN</t>
        </is>
      </c>
      <c r="E1552" t="inlineStr">
        <is>
          <t>MÖNSTERÅS</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13376-2019</t>
        </is>
      </c>
      <c r="B1553" s="1" t="n">
        <v>43529</v>
      </c>
      <c r="C1553" s="1" t="n">
        <v>45190</v>
      </c>
      <c r="D1553" t="inlineStr">
        <is>
          <t>KALMAR LÄN</t>
        </is>
      </c>
      <c r="E1553" t="inlineStr">
        <is>
          <t>NYBRO</t>
        </is>
      </c>
      <c r="F1553" t="inlineStr">
        <is>
          <t>Sveaskog</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13473-2019</t>
        </is>
      </c>
      <c r="B1554" s="1" t="n">
        <v>43529</v>
      </c>
      <c r="C1554" s="1" t="n">
        <v>45190</v>
      </c>
      <c r="D1554" t="inlineStr">
        <is>
          <t>KALMAR LÄN</t>
        </is>
      </c>
      <c r="E1554" t="inlineStr">
        <is>
          <t>VÄSTERVIK</t>
        </is>
      </c>
      <c r="G1554" t="n">
        <v>6.5</v>
      </c>
      <c r="H1554" t="n">
        <v>0</v>
      </c>
      <c r="I1554" t="n">
        <v>0</v>
      </c>
      <c r="J1554" t="n">
        <v>0</v>
      </c>
      <c r="K1554" t="n">
        <v>0</v>
      </c>
      <c r="L1554" t="n">
        <v>0</v>
      </c>
      <c r="M1554" t="n">
        <v>0</v>
      </c>
      <c r="N1554" t="n">
        <v>0</v>
      </c>
      <c r="O1554" t="n">
        <v>0</v>
      </c>
      <c r="P1554" t="n">
        <v>0</v>
      </c>
      <c r="Q1554" t="n">
        <v>0</v>
      </c>
      <c r="R1554" s="2" t="inlineStr"/>
    </row>
    <row r="1555" ht="15" customHeight="1">
      <c r="A1555" t="inlineStr">
        <is>
          <t>A 13252-2019</t>
        </is>
      </c>
      <c r="B1555" s="1" t="n">
        <v>43529</v>
      </c>
      <c r="C1555" s="1" t="n">
        <v>45190</v>
      </c>
      <c r="D1555" t="inlineStr">
        <is>
          <t>KALMAR LÄN</t>
        </is>
      </c>
      <c r="E1555" t="inlineStr">
        <is>
          <t>TORSÅS</t>
        </is>
      </c>
      <c r="G1555" t="n">
        <v>20.4</v>
      </c>
      <c r="H1555" t="n">
        <v>0</v>
      </c>
      <c r="I1555" t="n">
        <v>0</v>
      </c>
      <c r="J1555" t="n">
        <v>0</v>
      </c>
      <c r="K1555" t="n">
        <v>0</v>
      </c>
      <c r="L1555" t="n">
        <v>0</v>
      </c>
      <c r="M1555" t="n">
        <v>0</v>
      </c>
      <c r="N1555" t="n">
        <v>0</v>
      </c>
      <c r="O1555" t="n">
        <v>0</v>
      </c>
      <c r="P1555" t="n">
        <v>0</v>
      </c>
      <c r="Q1555" t="n">
        <v>0</v>
      </c>
      <c r="R1555" s="2" t="inlineStr"/>
    </row>
    <row r="1556" ht="15" customHeight="1">
      <c r="A1556" t="inlineStr">
        <is>
          <t>A 13330-2019</t>
        </is>
      </c>
      <c r="B1556" s="1" t="n">
        <v>43529</v>
      </c>
      <c r="C1556" s="1" t="n">
        <v>45190</v>
      </c>
      <c r="D1556" t="inlineStr">
        <is>
          <t>KALMAR LÄN</t>
        </is>
      </c>
      <c r="E1556" t="inlineStr">
        <is>
          <t>NYBRO</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13480-2019</t>
        </is>
      </c>
      <c r="B1557" s="1" t="n">
        <v>43529</v>
      </c>
      <c r="C1557" s="1" t="n">
        <v>45190</v>
      </c>
      <c r="D1557" t="inlineStr">
        <is>
          <t>KALMAR LÄN</t>
        </is>
      </c>
      <c r="E1557" t="inlineStr">
        <is>
          <t>VÄSTERVIK</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13773-2019</t>
        </is>
      </c>
      <c r="B1558" s="1" t="n">
        <v>43530</v>
      </c>
      <c r="C1558" s="1" t="n">
        <v>45190</v>
      </c>
      <c r="D1558" t="inlineStr">
        <is>
          <t>KALMAR LÄN</t>
        </is>
      </c>
      <c r="E1558" t="inlineStr">
        <is>
          <t>HULTSFRED</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13723-2019</t>
        </is>
      </c>
      <c r="B1559" s="1" t="n">
        <v>43530</v>
      </c>
      <c r="C1559" s="1" t="n">
        <v>45190</v>
      </c>
      <c r="D1559" t="inlineStr">
        <is>
          <t>KALMAR LÄN</t>
        </is>
      </c>
      <c r="E1559" t="inlineStr">
        <is>
          <t>HÖGSBY</t>
        </is>
      </c>
      <c r="G1559" t="n">
        <v>6.8</v>
      </c>
      <c r="H1559" t="n">
        <v>0</v>
      </c>
      <c r="I1559" t="n">
        <v>0</v>
      </c>
      <c r="J1559" t="n">
        <v>0</v>
      </c>
      <c r="K1559" t="n">
        <v>0</v>
      </c>
      <c r="L1559" t="n">
        <v>0</v>
      </c>
      <c r="M1559" t="n">
        <v>0</v>
      </c>
      <c r="N1559" t="n">
        <v>0</v>
      </c>
      <c r="O1559" t="n">
        <v>0</v>
      </c>
      <c r="P1559" t="n">
        <v>0</v>
      </c>
      <c r="Q1559" t="n">
        <v>0</v>
      </c>
      <c r="R1559" s="2" t="inlineStr"/>
    </row>
    <row r="1560" ht="15" customHeight="1">
      <c r="A1560" t="inlineStr">
        <is>
          <t>A 13797-2019</t>
        </is>
      </c>
      <c r="B1560" s="1" t="n">
        <v>43530</v>
      </c>
      <c r="C1560" s="1" t="n">
        <v>45190</v>
      </c>
      <c r="D1560" t="inlineStr">
        <is>
          <t>KALMAR LÄN</t>
        </is>
      </c>
      <c r="E1560" t="inlineStr">
        <is>
          <t>VIMMERBY</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13712-2019</t>
        </is>
      </c>
      <c r="B1561" s="1" t="n">
        <v>43530</v>
      </c>
      <c r="C1561" s="1" t="n">
        <v>45190</v>
      </c>
      <c r="D1561" t="inlineStr">
        <is>
          <t>KALMAR LÄN</t>
        </is>
      </c>
      <c r="E1561" t="inlineStr">
        <is>
          <t>HÖGSBY</t>
        </is>
      </c>
      <c r="G1561" t="n">
        <v>20</v>
      </c>
      <c r="H1561" t="n">
        <v>0</v>
      </c>
      <c r="I1561" t="n">
        <v>0</v>
      </c>
      <c r="J1561" t="n">
        <v>0</v>
      </c>
      <c r="K1561" t="n">
        <v>0</v>
      </c>
      <c r="L1561" t="n">
        <v>0</v>
      </c>
      <c r="M1561" t="n">
        <v>0</v>
      </c>
      <c r="N1561" t="n">
        <v>0</v>
      </c>
      <c r="O1561" t="n">
        <v>0</v>
      </c>
      <c r="P1561" t="n">
        <v>0</v>
      </c>
      <c r="Q1561" t="n">
        <v>0</v>
      </c>
      <c r="R1561" s="2" t="inlineStr"/>
    </row>
    <row r="1562" ht="15" customHeight="1">
      <c r="A1562" t="inlineStr">
        <is>
          <t>A 13557-2019</t>
        </is>
      </c>
      <c r="B1562" s="1" t="n">
        <v>43530</v>
      </c>
      <c r="C1562" s="1" t="n">
        <v>45190</v>
      </c>
      <c r="D1562" t="inlineStr">
        <is>
          <t>KALMAR LÄN</t>
        </is>
      </c>
      <c r="E1562" t="inlineStr">
        <is>
          <t>EMMABODA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13726-2019</t>
        </is>
      </c>
      <c r="B1563" s="1" t="n">
        <v>43530</v>
      </c>
      <c r="C1563" s="1" t="n">
        <v>45190</v>
      </c>
      <c r="D1563" t="inlineStr">
        <is>
          <t>KALMAR LÄN</t>
        </is>
      </c>
      <c r="E1563" t="inlineStr">
        <is>
          <t>HÖGSBY</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13748-2019</t>
        </is>
      </c>
      <c r="B1564" s="1" t="n">
        <v>43531</v>
      </c>
      <c r="C1564" s="1" t="n">
        <v>45190</v>
      </c>
      <c r="D1564" t="inlineStr">
        <is>
          <t>KALMAR LÄN</t>
        </is>
      </c>
      <c r="E1564" t="inlineStr">
        <is>
          <t>MÖNSTERÅS</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13892-2019</t>
        </is>
      </c>
      <c r="B1565" s="1" t="n">
        <v>43531</v>
      </c>
      <c r="C1565" s="1" t="n">
        <v>45190</v>
      </c>
      <c r="D1565" t="inlineStr">
        <is>
          <t>KALMAR LÄN</t>
        </is>
      </c>
      <c r="E1565" t="inlineStr">
        <is>
          <t>VIMMERBY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13841-2019</t>
        </is>
      </c>
      <c r="B1566" s="1" t="n">
        <v>43531</v>
      </c>
      <c r="C1566" s="1" t="n">
        <v>45190</v>
      </c>
      <c r="D1566" t="inlineStr">
        <is>
          <t>KALMAR LÄN</t>
        </is>
      </c>
      <c r="E1566" t="inlineStr">
        <is>
          <t>VIMMERBY</t>
        </is>
      </c>
      <c r="G1566" t="n">
        <v>8.699999999999999</v>
      </c>
      <c r="H1566" t="n">
        <v>0</v>
      </c>
      <c r="I1566" t="n">
        <v>0</v>
      </c>
      <c r="J1566" t="n">
        <v>0</v>
      </c>
      <c r="K1566" t="n">
        <v>0</v>
      </c>
      <c r="L1566" t="n">
        <v>0</v>
      </c>
      <c r="M1566" t="n">
        <v>0</v>
      </c>
      <c r="N1566" t="n">
        <v>0</v>
      </c>
      <c r="O1566" t="n">
        <v>0</v>
      </c>
      <c r="P1566" t="n">
        <v>0</v>
      </c>
      <c r="Q1566" t="n">
        <v>0</v>
      </c>
      <c r="R1566" s="2" t="inlineStr"/>
    </row>
    <row r="1567" ht="15" customHeight="1">
      <c r="A1567" t="inlineStr">
        <is>
          <t>A 13903-2019</t>
        </is>
      </c>
      <c r="B1567" s="1" t="n">
        <v>43531</v>
      </c>
      <c r="C1567" s="1" t="n">
        <v>45190</v>
      </c>
      <c r="D1567" t="inlineStr">
        <is>
          <t>KALMAR LÄN</t>
        </is>
      </c>
      <c r="E1567" t="inlineStr">
        <is>
          <t>VÄSTERVIK</t>
        </is>
      </c>
      <c r="F1567" t="inlineStr">
        <is>
          <t>Sveaskog</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13949-2019</t>
        </is>
      </c>
      <c r="B1568" s="1" t="n">
        <v>43531</v>
      </c>
      <c r="C1568" s="1" t="n">
        <v>45190</v>
      </c>
      <c r="D1568" t="inlineStr">
        <is>
          <t>KALMAR LÄN</t>
        </is>
      </c>
      <c r="E1568" t="inlineStr">
        <is>
          <t>HÖGSBY</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13751-2019</t>
        </is>
      </c>
      <c r="B1569" s="1" t="n">
        <v>43531</v>
      </c>
      <c r="C1569" s="1" t="n">
        <v>45190</v>
      </c>
      <c r="D1569" t="inlineStr">
        <is>
          <t>KALMAR LÄN</t>
        </is>
      </c>
      <c r="E1569" t="inlineStr">
        <is>
          <t>OSKARSHAMN</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13902-2019</t>
        </is>
      </c>
      <c r="B1570" s="1" t="n">
        <v>43531</v>
      </c>
      <c r="C1570" s="1" t="n">
        <v>45190</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13745-2019</t>
        </is>
      </c>
      <c r="B1571" s="1" t="n">
        <v>43531</v>
      </c>
      <c r="C1571" s="1" t="n">
        <v>45190</v>
      </c>
      <c r="D1571" t="inlineStr">
        <is>
          <t>KALMAR LÄN</t>
        </is>
      </c>
      <c r="E1571" t="inlineStr">
        <is>
          <t>NYBRO</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13786-2019</t>
        </is>
      </c>
      <c r="B1572" s="1" t="n">
        <v>43531</v>
      </c>
      <c r="C1572" s="1" t="n">
        <v>45190</v>
      </c>
      <c r="D1572" t="inlineStr">
        <is>
          <t>KALMAR LÄN</t>
        </is>
      </c>
      <c r="E1572" t="inlineStr">
        <is>
          <t>KALMAR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13938-2019</t>
        </is>
      </c>
      <c r="B1573" s="1" t="n">
        <v>43532</v>
      </c>
      <c r="C1573" s="1" t="n">
        <v>45190</v>
      </c>
      <c r="D1573" t="inlineStr">
        <is>
          <t>KALMAR LÄN</t>
        </is>
      </c>
      <c r="E1573" t="inlineStr">
        <is>
          <t>NYBRO</t>
        </is>
      </c>
      <c r="G1573" t="n">
        <v>4.4</v>
      </c>
      <c r="H1573" t="n">
        <v>0</v>
      </c>
      <c r="I1573" t="n">
        <v>0</v>
      </c>
      <c r="J1573" t="n">
        <v>0</v>
      </c>
      <c r="K1573" t="n">
        <v>0</v>
      </c>
      <c r="L1573" t="n">
        <v>0</v>
      </c>
      <c r="M1573" t="n">
        <v>0</v>
      </c>
      <c r="N1573" t="n">
        <v>0</v>
      </c>
      <c r="O1573" t="n">
        <v>0</v>
      </c>
      <c r="P1573" t="n">
        <v>0</v>
      </c>
      <c r="Q1573" t="n">
        <v>0</v>
      </c>
      <c r="R1573" s="2" t="inlineStr"/>
    </row>
    <row r="1574" ht="15" customHeight="1">
      <c r="A1574" t="inlineStr">
        <is>
          <t>A 13977-2019</t>
        </is>
      </c>
      <c r="B1574" s="1" t="n">
        <v>43532</v>
      </c>
      <c r="C1574" s="1" t="n">
        <v>45190</v>
      </c>
      <c r="D1574" t="inlineStr">
        <is>
          <t>KALMAR LÄN</t>
        </is>
      </c>
      <c r="E1574" t="inlineStr">
        <is>
          <t>NYBRO</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13984-2019</t>
        </is>
      </c>
      <c r="B1575" s="1" t="n">
        <v>43532</v>
      </c>
      <c r="C1575" s="1" t="n">
        <v>45190</v>
      </c>
      <c r="D1575" t="inlineStr">
        <is>
          <t>KALMAR LÄN</t>
        </is>
      </c>
      <c r="E1575" t="inlineStr">
        <is>
          <t>NYBRO</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14108-2019</t>
        </is>
      </c>
      <c r="B1576" s="1" t="n">
        <v>43532</v>
      </c>
      <c r="C1576" s="1" t="n">
        <v>45190</v>
      </c>
      <c r="D1576" t="inlineStr">
        <is>
          <t>KALMAR LÄN</t>
        </is>
      </c>
      <c r="E1576" t="inlineStr">
        <is>
          <t>VIMMERBY</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13986-2019</t>
        </is>
      </c>
      <c r="B1577" s="1" t="n">
        <v>43532</v>
      </c>
      <c r="C1577" s="1" t="n">
        <v>45190</v>
      </c>
      <c r="D1577" t="inlineStr">
        <is>
          <t>KALMAR LÄN</t>
        </is>
      </c>
      <c r="E1577" t="inlineStr">
        <is>
          <t>EMMABODA</t>
        </is>
      </c>
      <c r="F1577" t="inlineStr">
        <is>
          <t>Kommuner</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14055-2019</t>
        </is>
      </c>
      <c r="B1578" s="1" t="n">
        <v>43532</v>
      </c>
      <c r="C1578" s="1" t="n">
        <v>45190</v>
      </c>
      <c r="D1578" t="inlineStr">
        <is>
          <t>KALMAR LÄN</t>
        </is>
      </c>
      <c r="E1578" t="inlineStr">
        <is>
          <t>NYBRO</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14097-2019</t>
        </is>
      </c>
      <c r="B1579" s="1" t="n">
        <v>43532</v>
      </c>
      <c r="C1579" s="1" t="n">
        <v>45190</v>
      </c>
      <c r="D1579" t="inlineStr">
        <is>
          <t>KALMAR LÄN</t>
        </is>
      </c>
      <c r="E1579" t="inlineStr">
        <is>
          <t>VIMMERBY</t>
        </is>
      </c>
      <c r="G1579" t="n">
        <v>7.5</v>
      </c>
      <c r="H1579" t="n">
        <v>0</v>
      </c>
      <c r="I1579" t="n">
        <v>0</v>
      </c>
      <c r="J1579" t="n">
        <v>0</v>
      </c>
      <c r="K1579" t="n">
        <v>0</v>
      </c>
      <c r="L1579" t="n">
        <v>0</v>
      </c>
      <c r="M1579" t="n">
        <v>0</v>
      </c>
      <c r="N1579" t="n">
        <v>0</v>
      </c>
      <c r="O1579" t="n">
        <v>0</v>
      </c>
      <c r="P1579" t="n">
        <v>0</v>
      </c>
      <c r="Q1579" t="n">
        <v>0</v>
      </c>
      <c r="R1579" s="2" t="inlineStr"/>
    </row>
    <row r="1580" ht="15" customHeight="1">
      <c r="A1580" t="inlineStr">
        <is>
          <t>A 13964-2019</t>
        </is>
      </c>
      <c r="B1580" s="1" t="n">
        <v>43532</v>
      </c>
      <c r="C1580" s="1" t="n">
        <v>45190</v>
      </c>
      <c r="D1580" t="inlineStr">
        <is>
          <t>KALMAR LÄN</t>
        </is>
      </c>
      <c r="E1580" t="inlineStr">
        <is>
          <t>NYBRO</t>
        </is>
      </c>
      <c r="G1580" t="n">
        <v>7.4</v>
      </c>
      <c r="H1580" t="n">
        <v>0</v>
      </c>
      <c r="I1580" t="n">
        <v>0</v>
      </c>
      <c r="J1580" t="n">
        <v>0</v>
      </c>
      <c r="K1580" t="n">
        <v>0</v>
      </c>
      <c r="L1580" t="n">
        <v>0</v>
      </c>
      <c r="M1580" t="n">
        <v>0</v>
      </c>
      <c r="N1580" t="n">
        <v>0</v>
      </c>
      <c r="O1580" t="n">
        <v>0</v>
      </c>
      <c r="P1580" t="n">
        <v>0</v>
      </c>
      <c r="Q1580" t="n">
        <v>0</v>
      </c>
      <c r="R1580" s="2" t="inlineStr"/>
    </row>
    <row r="1581" ht="15" customHeight="1">
      <c r="A1581" t="inlineStr">
        <is>
          <t>A 13972-2019</t>
        </is>
      </c>
      <c r="B1581" s="1" t="n">
        <v>43532</v>
      </c>
      <c r="C1581" s="1" t="n">
        <v>45190</v>
      </c>
      <c r="D1581" t="inlineStr">
        <is>
          <t>KALMAR LÄN</t>
        </is>
      </c>
      <c r="E1581" t="inlineStr">
        <is>
          <t>EMMABODA</t>
        </is>
      </c>
      <c r="F1581" t="inlineStr">
        <is>
          <t>Kommuner</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14042-2019</t>
        </is>
      </c>
      <c r="B1582" s="1" t="n">
        <v>43532</v>
      </c>
      <c r="C1582" s="1" t="n">
        <v>45190</v>
      </c>
      <c r="D1582" t="inlineStr">
        <is>
          <t>KALMAR LÄN</t>
        </is>
      </c>
      <c r="E1582" t="inlineStr">
        <is>
          <t>NYBRO</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14087-2019</t>
        </is>
      </c>
      <c r="B1583" s="1" t="n">
        <v>43532</v>
      </c>
      <c r="C1583" s="1" t="n">
        <v>45190</v>
      </c>
      <c r="D1583" t="inlineStr">
        <is>
          <t>KALMAR LÄN</t>
        </is>
      </c>
      <c r="E1583" t="inlineStr">
        <is>
          <t>EMMABODA</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14102-2019</t>
        </is>
      </c>
      <c r="B1584" s="1" t="n">
        <v>43532</v>
      </c>
      <c r="C1584" s="1" t="n">
        <v>45190</v>
      </c>
      <c r="D1584" t="inlineStr">
        <is>
          <t>KALMAR LÄN</t>
        </is>
      </c>
      <c r="E1584" t="inlineStr">
        <is>
          <t>VIMMERBY</t>
        </is>
      </c>
      <c r="G1584" t="n">
        <v>7.4</v>
      </c>
      <c r="H1584" t="n">
        <v>0</v>
      </c>
      <c r="I1584" t="n">
        <v>0</v>
      </c>
      <c r="J1584" t="n">
        <v>0</v>
      </c>
      <c r="K1584" t="n">
        <v>0</v>
      </c>
      <c r="L1584" t="n">
        <v>0</v>
      </c>
      <c r="M1584" t="n">
        <v>0</v>
      </c>
      <c r="N1584" t="n">
        <v>0</v>
      </c>
      <c r="O1584" t="n">
        <v>0</v>
      </c>
      <c r="P1584" t="n">
        <v>0</v>
      </c>
      <c r="Q1584" t="n">
        <v>0</v>
      </c>
      <c r="R1584" s="2" t="inlineStr"/>
    </row>
    <row r="1585" ht="15" customHeight="1">
      <c r="A1585" t="inlineStr">
        <is>
          <t>A 13966-2019</t>
        </is>
      </c>
      <c r="B1585" s="1" t="n">
        <v>43532</v>
      </c>
      <c r="C1585" s="1" t="n">
        <v>45190</v>
      </c>
      <c r="D1585" t="inlineStr">
        <is>
          <t>KALMAR LÄN</t>
        </is>
      </c>
      <c r="E1585" t="inlineStr">
        <is>
          <t>NYBRO</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13974-2019</t>
        </is>
      </c>
      <c r="B1586" s="1" t="n">
        <v>43532</v>
      </c>
      <c r="C1586" s="1" t="n">
        <v>45190</v>
      </c>
      <c r="D1586" t="inlineStr">
        <is>
          <t>KALMAR LÄN</t>
        </is>
      </c>
      <c r="E1586" t="inlineStr">
        <is>
          <t>NYBRO</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13995-2019</t>
        </is>
      </c>
      <c r="B1587" s="1" t="n">
        <v>43532</v>
      </c>
      <c r="C1587" s="1" t="n">
        <v>45190</v>
      </c>
      <c r="D1587" t="inlineStr">
        <is>
          <t>KALMAR LÄN</t>
        </is>
      </c>
      <c r="E1587" t="inlineStr">
        <is>
          <t>EMMABODA</t>
        </is>
      </c>
      <c r="F1587" t="inlineStr">
        <is>
          <t>Kommuner</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14044-2019</t>
        </is>
      </c>
      <c r="B1588" s="1" t="n">
        <v>43532</v>
      </c>
      <c r="C1588" s="1" t="n">
        <v>45190</v>
      </c>
      <c r="D1588" t="inlineStr">
        <is>
          <t>KALMAR LÄN</t>
        </is>
      </c>
      <c r="E1588" t="inlineStr">
        <is>
          <t>NYBRO</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14073-2019</t>
        </is>
      </c>
      <c r="B1589" s="1" t="n">
        <v>43532</v>
      </c>
      <c r="C1589" s="1" t="n">
        <v>45190</v>
      </c>
      <c r="D1589" t="inlineStr">
        <is>
          <t>KALMAR LÄN</t>
        </is>
      </c>
      <c r="E1589" t="inlineStr">
        <is>
          <t>HULTSFRED</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14106-2019</t>
        </is>
      </c>
      <c r="B1590" s="1" t="n">
        <v>43532</v>
      </c>
      <c r="C1590" s="1" t="n">
        <v>45190</v>
      </c>
      <c r="D1590" t="inlineStr">
        <is>
          <t>KALMAR LÄN</t>
        </is>
      </c>
      <c r="E1590" t="inlineStr">
        <is>
          <t>VIMMERBY</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14149-2019</t>
        </is>
      </c>
      <c r="B1591" s="1" t="n">
        <v>43533</v>
      </c>
      <c r="C1591" s="1" t="n">
        <v>45190</v>
      </c>
      <c r="D1591" t="inlineStr">
        <is>
          <t>KALMAR LÄN</t>
        </is>
      </c>
      <c r="E1591" t="inlineStr">
        <is>
          <t>VÄSTERVIK</t>
        </is>
      </c>
      <c r="G1591" t="n">
        <v>14.5</v>
      </c>
      <c r="H1591" t="n">
        <v>0</v>
      </c>
      <c r="I1591" t="n">
        <v>0</v>
      </c>
      <c r="J1591" t="n">
        <v>0</v>
      </c>
      <c r="K1591" t="n">
        <v>0</v>
      </c>
      <c r="L1591" t="n">
        <v>0</v>
      </c>
      <c r="M1591" t="n">
        <v>0</v>
      </c>
      <c r="N1591" t="n">
        <v>0</v>
      </c>
      <c r="O1591" t="n">
        <v>0</v>
      </c>
      <c r="P1591" t="n">
        <v>0</v>
      </c>
      <c r="Q1591" t="n">
        <v>0</v>
      </c>
      <c r="R1591" s="2" t="inlineStr"/>
    </row>
    <row r="1592" ht="15" customHeight="1">
      <c r="A1592" t="inlineStr">
        <is>
          <t>A 14173-2019</t>
        </is>
      </c>
      <c r="B1592" s="1" t="n">
        <v>43534</v>
      </c>
      <c r="C1592" s="1" t="n">
        <v>45190</v>
      </c>
      <c r="D1592" t="inlineStr">
        <is>
          <t>KALMAR LÄN</t>
        </is>
      </c>
      <c r="E1592" t="inlineStr">
        <is>
          <t>VIMMERBY</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14264-2019</t>
        </is>
      </c>
      <c r="B1593" s="1" t="n">
        <v>43535</v>
      </c>
      <c r="C1593" s="1" t="n">
        <v>45190</v>
      </c>
      <c r="D1593" t="inlineStr">
        <is>
          <t>KALMAR LÄN</t>
        </is>
      </c>
      <c r="E1593" t="inlineStr">
        <is>
          <t>KALMAR</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14321-2019</t>
        </is>
      </c>
      <c r="B1594" s="1" t="n">
        <v>43535</v>
      </c>
      <c r="C1594" s="1" t="n">
        <v>45190</v>
      </c>
      <c r="D1594" t="inlineStr">
        <is>
          <t>KALMAR LÄN</t>
        </is>
      </c>
      <c r="E1594" t="inlineStr">
        <is>
          <t>HÖGSBY</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14515-2019</t>
        </is>
      </c>
      <c r="B1595" s="1" t="n">
        <v>43535</v>
      </c>
      <c r="C1595" s="1" t="n">
        <v>45190</v>
      </c>
      <c r="D1595" t="inlineStr">
        <is>
          <t>KALMAR LÄN</t>
        </is>
      </c>
      <c r="E1595" t="inlineStr">
        <is>
          <t>HÖGSBY</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14326-2019</t>
        </is>
      </c>
      <c r="B1596" s="1" t="n">
        <v>43535</v>
      </c>
      <c r="C1596" s="1" t="n">
        <v>45190</v>
      </c>
      <c r="D1596" t="inlineStr">
        <is>
          <t>KALMAR LÄN</t>
        </is>
      </c>
      <c r="E1596" t="inlineStr">
        <is>
          <t>HÖGSBY</t>
        </is>
      </c>
      <c r="G1596" t="n">
        <v>7.5</v>
      </c>
      <c r="H1596" t="n">
        <v>0</v>
      </c>
      <c r="I1596" t="n">
        <v>0</v>
      </c>
      <c r="J1596" t="n">
        <v>0</v>
      </c>
      <c r="K1596" t="n">
        <v>0</v>
      </c>
      <c r="L1596" t="n">
        <v>0</v>
      </c>
      <c r="M1596" t="n">
        <v>0</v>
      </c>
      <c r="N1596" t="n">
        <v>0</v>
      </c>
      <c r="O1596" t="n">
        <v>0</v>
      </c>
      <c r="P1596" t="n">
        <v>0</v>
      </c>
      <c r="Q1596" t="n">
        <v>0</v>
      </c>
      <c r="R1596" s="2" t="inlineStr"/>
    </row>
    <row r="1597" ht="15" customHeight="1">
      <c r="A1597" t="inlineStr">
        <is>
          <t>A 14329-2019</t>
        </is>
      </c>
      <c r="B1597" s="1" t="n">
        <v>43535</v>
      </c>
      <c r="C1597" s="1" t="n">
        <v>45190</v>
      </c>
      <c r="D1597" t="inlineStr">
        <is>
          <t>KALMAR LÄN</t>
        </is>
      </c>
      <c r="E1597" t="inlineStr">
        <is>
          <t>HÖGSBY</t>
        </is>
      </c>
      <c r="G1597" t="n">
        <v>11.1</v>
      </c>
      <c r="H1597" t="n">
        <v>0</v>
      </c>
      <c r="I1597" t="n">
        <v>0</v>
      </c>
      <c r="J1597" t="n">
        <v>0</v>
      </c>
      <c r="K1597" t="n">
        <v>0</v>
      </c>
      <c r="L1597" t="n">
        <v>0</v>
      </c>
      <c r="M1597" t="n">
        <v>0</v>
      </c>
      <c r="N1597" t="n">
        <v>0</v>
      </c>
      <c r="O1597" t="n">
        <v>0</v>
      </c>
      <c r="P1597" t="n">
        <v>0</v>
      </c>
      <c r="Q1597" t="n">
        <v>0</v>
      </c>
      <c r="R1597" s="2" t="inlineStr"/>
    </row>
    <row r="1598" ht="15" customHeight="1">
      <c r="A1598" t="inlineStr">
        <is>
          <t>A 14343-2019</t>
        </is>
      </c>
      <c r="B1598" s="1" t="n">
        <v>43535</v>
      </c>
      <c r="C1598" s="1" t="n">
        <v>45190</v>
      </c>
      <c r="D1598" t="inlineStr">
        <is>
          <t>KALMAR LÄN</t>
        </is>
      </c>
      <c r="E1598" t="inlineStr">
        <is>
          <t>EMMABODA</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14513-2019</t>
        </is>
      </c>
      <c r="B1599" s="1" t="n">
        <v>43535</v>
      </c>
      <c r="C1599" s="1" t="n">
        <v>45190</v>
      </c>
      <c r="D1599" t="inlineStr">
        <is>
          <t>KALMAR LÄN</t>
        </is>
      </c>
      <c r="E1599" t="inlineStr">
        <is>
          <t>HÖGSBY</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14709-2019</t>
        </is>
      </c>
      <c r="B1600" s="1" t="n">
        <v>43535</v>
      </c>
      <c r="C1600" s="1" t="n">
        <v>45190</v>
      </c>
      <c r="D1600" t="inlineStr">
        <is>
          <t>KALMAR LÄN</t>
        </is>
      </c>
      <c r="E1600" t="inlineStr">
        <is>
          <t>NYBRO</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14286-2019</t>
        </is>
      </c>
      <c r="B1601" s="1" t="n">
        <v>43535</v>
      </c>
      <c r="C1601" s="1" t="n">
        <v>45190</v>
      </c>
      <c r="D1601" t="inlineStr">
        <is>
          <t>KALMAR LÄN</t>
        </is>
      </c>
      <c r="E1601" t="inlineStr">
        <is>
          <t>MÖNSTERÅS</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14403-2019</t>
        </is>
      </c>
      <c r="B1602" s="1" t="n">
        <v>43536</v>
      </c>
      <c r="C1602" s="1" t="n">
        <v>45190</v>
      </c>
      <c r="D1602" t="inlineStr">
        <is>
          <t>KALMAR LÄN</t>
        </is>
      </c>
      <c r="E1602" t="inlineStr">
        <is>
          <t>OSKARSHAMN</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14767-2019</t>
        </is>
      </c>
      <c r="B1603" s="1" t="n">
        <v>43536</v>
      </c>
      <c r="C1603" s="1" t="n">
        <v>45190</v>
      </c>
      <c r="D1603" t="inlineStr">
        <is>
          <t>KALMAR LÄN</t>
        </is>
      </c>
      <c r="E1603" t="inlineStr">
        <is>
          <t>VIMMERBY</t>
        </is>
      </c>
      <c r="G1603" t="n">
        <v>4.3</v>
      </c>
      <c r="H1603" t="n">
        <v>0</v>
      </c>
      <c r="I1603" t="n">
        <v>0</v>
      </c>
      <c r="J1603" t="n">
        <v>0</v>
      </c>
      <c r="K1603" t="n">
        <v>0</v>
      </c>
      <c r="L1603" t="n">
        <v>0</v>
      </c>
      <c r="M1603" t="n">
        <v>0</v>
      </c>
      <c r="N1603" t="n">
        <v>0</v>
      </c>
      <c r="O1603" t="n">
        <v>0</v>
      </c>
      <c r="P1603" t="n">
        <v>0</v>
      </c>
      <c r="Q1603" t="n">
        <v>0</v>
      </c>
      <c r="R1603" s="2" t="inlineStr"/>
    </row>
    <row r="1604" ht="15" customHeight="1">
      <c r="A1604" t="inlineStr">
        <is>
          <t>A 14448-2019</t>
        </is>
      </c>
      <c r="B1604" s="1" t="n">
        <v>43536</v>
      </c>
      <c r="C1604" s="1" t="n">
        <v>45190</v>
      </c>
      <c r="D1604" t="inlineStr">
        <is>
          <t>KALMAR LÄN</t>
        </is>
      </c>
      <c r="E1604" t="inlineStr">
        <is>
          <t>TORSÅS</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14374-2019</t>
        </is>
      </c>
      <c r="B1605" s="1" t="n">
        <v>43536</v>
      </c>
      <c r="C1605" s="1" t="n">
        <v>45190</v>
      </c>
      <c r="D1605" t="inlineStr">
        <is>
          <t>KALMAR LÄN</t>
        </is>
      </c>
      <c r="E1605" t="inlineStr">
        <is>
          <t>NYBRO</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14231-2019</t>
        </is>
      </c>
      <c r="B1606" s="1" t="n">
        <v>43536</v>
      </c>
      <c r="C1606" s="1" t="n">
        <v>45190</v>
      </c>
      <c r="D1606" t="inlineStr">
        <is>
          <t>KALMAR LÄN</t>
        </is>
      </c>
      <c r="E1606" t="inlineStr">
        <is>
          <t>OSKARSHAMN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14991-2019</t>
        </is>
      </c>
      <c r="B1607" s="1" t="n">
        <v>43537</v>
      </c>
      <c r="C1607" s="1" t="n">
        <v>45190</v>
      </c>
      <c r="D1607" t="inlineStr">
        <is>
          <t>KALMAR LÄN</t>
        </is>
      </c>
      <c r="E1607" t="inlineStr">
        <is>
          <t>MÖNSTERÅS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14500-2019</t>
        </is>
      </c>
      <c r="B1608" s="1" t="n">
        <v>43537</v>
      </c>
      <c r="C1608" s="1" t="n">
        <v>45190</v>
      </c>
      <c r="D1608" t="inlineStr">
        <is>
          <t>KALMAR LÄN</t>
        </is>
      </c>
      <c r="E1608" t="inlineStr">
        <is>
          <t>VIMMERBY</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14998-2019</t>
        </is>
      </c>
      <c r="B1609" s="1" t="n">
        <v>43537</v>
      </c>
      <c r="C1609" s="1" t="n">
        <v>45190</v>
      </c>
      <c r="D1609" t="inlineStr">
        <is>
          <t>KALMAR LÄN</t>
        </is>
      </c>
      <c r="E1609" t="inlineStr">
        <is>
          <t>EMMABODA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15051-2019</t>
        </is>
      </c>
      <c r="B1610" s="1" t="n">
        <v>43537</v>
      </c>
      <c r="C1610" s="1" t="n">
        <v>45190</v>
      </c>
      <c r="D1610" t="inlineStr">
        <is>
          <t>KALMAR LÄN</t>
        </is>
      </c>
      <c r="E1610" t="inlineStr">
        <is>
          <t>MÖNSTERÅS</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14510-2019</t>
        </is>
      </c>
      <c r="B1611" s="1" t="n">
        <v>43537</v>
      </c>
      <c r="C1611" s="1" t="n">
        <v>45190</v>
      </c>
      <c r="D1611" t="inlineStr">
        <is>
          <t>KALMAR LÄN</t>
        </is>
      </c>
      <c r="E1611" t="inlineStr">
        <is>
          <t>TORSÅS</t>
        </is>
      </c>
      <c r="G1611" t="n">
        <v>13.8</v>
      </c>
      <c r="H1611" t="n">
        <v>0</v>
      </c>
      <c r="I1611" t="n">
        <v>0</v>
      </c>
      <c r="J1611" t="n">
        <v>0</v>
      </c>
      <c r="K1611" t="n">
        <v>0</v>
      </c>
      <c r="L1611" t="n">
        <v>0</v>
      </c>
      <c r="M1611" t="n">
        <v>0</v>
      </c>
      <c r="N1611" t="n">
        <v>0</v>
      </c>
      <c r="O1611" t="n">
        <v>0</v>
      </c>
      <c r="P1611" t="n">
        <v>0</v>
      </c>
      <c r="Q1611" t="n">
        <v>0</v>
      </c>
      <c r="R1611" s="2" t="inlineStr"/>
    </row>
    <row r="1612" ht="15" customHeight="1">
      <c r="A1612" t="inlineStr">
        <is>
          <t>A 14895-2019</t>
        </is>
      </c>
      <c r="B1612" s="1" t="n">
        <v>43537</v>
      </c>
      <c r="C1612" s="1" t="n">
        <v>45190</v>
      </c>
      <c r="D1612" t="inlineStr">
        <is>
          <t>KALMAR LÄN</t>
        </is>
      </c>
      <c r="E1612" t="inlineStr">
        <is>
          <t>VÄSTERVIK</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15094-2019</t>
        </is>
      </c>
      <c r="B1613" s="1" t="n">
        <v>43537</v>
      </c>
      <c r="C1613" s="1" t="n">
        <v>45190</v>
      </c>
      <c r="D1613" t="inlineStr">
        <is>
          <t>KALMAR LÄN</t>
        </is>
      </c>
      <c r="E1613" t="inlineStr">
        <is>
          <t>TORSÅS</t>
        </is>
      </c>
      <c r="G1613" t="n">
        <v>5</v>
      </c>
      <c r="H1613" t="n">
        <v>0</v>
      </c>
      <c r="I1613" t="n">
        <v>0</v>
      </c>
      <c r="J1613" t="n">
        <v>0</v>
      </c>
      <c r="K1613" t="n">
        <v>0</v>
      </c>
      <c r="L1613" t="n">
        <v>0</v>
      </c>
      <c r="M1613" t="n">
        <v>0</v>
      </c>
      <c r="N1613" t="n">
        <v>0</v>
      </c>
      <c r="O1613" t="n">
        <v>0</v>
      </c>
      <c r="P1613" t="n">
        <v>0</v>
      </c>
      <c r="Q1613" t="n">
        <v>0</v>
      </c>
      <c r="R1613" s="2" t="inlineStr"/>
    </row>
    <row r="1614" ht="15" customHeight="1">
      <c r="A1614" t="inlineStr">
        <is>
          <t>A 14637-2019</t>
        </is>
      </c>
      <c r="B1614" s="1" t="n">
        <v>43538</v>
      </c>
      <c r="C1614" s="1" t="n">
        <v>45190</v>
      </c>
      <c r="D1614" t="inlineStr">
        <is>
          <t>KALMAR LÄN</t>
        </is>
      </c>
      <c r="E1614" t="inlineStr">
        <is>
          <t>KALMAR</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14859-2019</t>
        </is>
      </c>
      <c r="B1615" s="1" t="n">
        <v>43538</v>
      </c>
      <c r="C1615" s="1" t="n">
        <v>45190</v>
      </c>
      <c r="D1615" t="inlineStr">
        <is>
          <t>KALMAR LÄN</t>
        </is>
      </c>
      <c r="E1615" t="inlineStr">
        <is>
          <t>OSKARSHAMN</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15123-2019</t>
        </is>
      </c>
      <c r="B1616" s="1" t="n">
        <v>43538</v>
      </c>
      <c r="C1616" s="1" t="n">
        <v>45190</v>
      </c>
      <c r="D1616" t="inlineStr">
        <is>
          <t>KALMAR LÄN</t>
        </is>
      </c>
      <c r="E1616" t="inlineStr">
        <is>
          <t>VÄSTERVIK</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15259-2019</t>
        </is>
      </c>
      <c r="B1617" s="1" t="n">
        <v>43539</v>
      </c>
      <c r="C1617" s="1" t="n">
        <v>45190</v>
      </c>
      <c r="D1617" t="inlineStr">
        <is>
          <t>KALMAR LÄN</t>
        </is>
      </c>
      <c r="E1617" t="inlineStr">
        <is>
          <t>VIMMERBY</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15192-2019</t>
        </is>
      </c>
      <c r="B1618" s="1" t="n">
        <v>43539</v>
      </c>
      <c r="C1618" s="1" t="n">
        <v>45190</v>
      </c>
      <c r="D1618" t="inlineStr">
        <is>
          <t>KALMAR LÄN</t>
        </is>
      </c>
      <c r="E1618" t="inlineStr">
        <is>
          <t>HULTSFRED</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15261-2019</t>
        </is>
      </c>
      <c r="B1619" s="1" t="n">
        <v>43539</v>
      </c>
      <c r="C1619" s="1" t="n">
        <v>45190</v>
      </c>
      <c r="D1619" t="inlineStr">
        <is>
          <t>KALMAR LÄN</t>
        </is>
      </c>
      <c r="E1619" t="inlineStr">
        <is>
          <t>VIMMERBY</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15264-2019</t>
        </is>
      </c>
      <c r="B1620" s="1" t="n">
        <v>43539</v>
      </c>
      <c r="C1620" s="1" t="n">
        <v>45190</v>
      </c>
      <c r="D1620" t="inlineStr">
        <is>
          <t>KALMAR LÄN</t>
        </is>
      </c>
      <c r="E1620" t="inlineStr">
        <is>
          <t>VIMMERBY</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15136-2019</t>
        </is>
      </c>
      <c r="B1621" s="1" t="n">
        <v>43539</v>
      </c>
      <c r="C1621" s="1" t="n">
        <v>45190</v>
      </c>
      <c r="D1621" t="inlineStr">
        <is>
          <t>KALMAR LÄN</t>
        </is>
      </c>
      <c r="E1621" t="inlineStr">
        <is>
          <t>VÄSTERVIK</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15281-2019</t>
        </is>
      </c>
      <c r="B1622" s="1" t="n">
        <v>43539</v>
      </c>
      <c r="C1622" s="1" t="n">
        <v>45190</v>
      </c>
      <c r="D1622" t="inlineStr">
        <is>
          <t>KALMAR LÄN</t>
        </is>
      </c>
      <c r="E1622" t="inlineStr">
        <is>
          <t>VÄSTERVIK</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15361-2019</t>
        </is>
      </c>
      <c r="B1623" s="1" t="n">
        <v>43542</v>
      </c>
      <c r="C1623" s="1" t="n">
        <v>45190</v>
      </c>
      <c r="D1623" t="inlineStr">
        <is>
          <t>KALMAR LÄN</t>
        </is>
      </c>
      <c r="E1623" t="inlineStr">
        <is>
          <t>TORSÅS</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15400-2019</t>
        </is>
      </c>
      <c r="B1624" s="1" t="n">
        <v>43542</v>
      </c>
      <c r="C1624" s="1" t="n">
        <v>45190</v>
      </c>
      <c r="D1624" t="inlineStr">
        <is>
          <t>KALMAR LÄN</t>
        </is>
      </c>
      <c r="E1624" t="inlineStr">
        <is>
          <t>OSKARSHAMN</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15424-2019</t>
        </is>
      </c>
      <c r="B1625" s="1" t="n">
        <v>43542</v>
      </c>
      <c r="C1625" s="1" t="n">
        <v>45190</v>
      </c>
      <c r="D1625" t="inlineStr">
        <is>
          <t>KALMAR LÄN</t>
        </is>
      </c>
      <c r="E1625" t="inlineStr">
        <is>
          <t>OSKARSHAMN</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15551-2019</t>
        </is>
      </c>
      <c r="B1626" s="1" t="n">
        <v>43542</v>
      </c>
      <c r="C1626" s="1" t="n">
        <v>45190</v>
      </c>
      <c r="D1626" t="inlineStr">
        <is>
          <t>KALMAR LÄN</t>
        </is>
      </c>
      <c r="E1626" t="inlineStr">
        <is>
          <t>NYBRO</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15560-2019</t>
        </is>
      </c>
      <c r="B1627" s="1" t="n">
        <v>43542</v>
      </c>
      <c r="C1627" s="1" t="n">
        <v>45190</v>
      </c>
      <c r="D1627" t="inlineStr">
        <is>
          <t>KALMAR LÄN</t>
        </is>
      </c>
      <c r="E1627" t="inlineStr">
        <is>
          <t>NYBRO</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15277-2019</t>
        </is>
      </c>
      <c r="B1628" s="1" t="n">
        <v>43542</v>
      </c>
      <c r="C1628" s="1" t="n">
        <v>45190</v>
      </c>
      <c r="D1628" t="inlineStr">
        <is>
          <t>KALMAR LÄN</t>
        </is>
      </c>
      <c r="E1628" t="inlineStr">
        <is>
          <t>HULTSFRED</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15561-2019</t>
        </is>
      </c>
      <c r="B1629" s="1" t="n">
        <v>43542</v>
      </c>
      <c r="C1629" s="1" t="n">
        <v>45190</v>
      </c>
      <c r="D1629" t="inlineStr">
        <is>
          <t>KALMAR LÄN</t>
        </is>
      </c>
      <c r="E1629" t="inlineStr">
        <is>
          <t>NYBRO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15202-2019</t>
        </is>
      </c>
      <c r="B1630" s="1" t="n">
        <v>43542</v>
      </c>
      <c r="C1630" s="1" t="n">
        <v>45190</v>
      </c>
      <c r="D1630" t="inlineStr">
        <is>
          <t>KALMAR LÄN</t>
        </is>
      </c>
      <c r="E1630" t="inlineStr">
        <is>
          <t>MÖNSTERÅS</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15454-2019</t>
        </is>
      </c>
      <c r="B1631" s="1" t="n">
        <v>43542</v>
      </c>
      <c r="C1631" s="1" t="n">
        <v>45190</v>
      </c>
      <c r="D1631" t="inlineStr">
        <is>
          <t>KALMAR LÄN</t>
        </is>
      </c>
      <c r="E1631" t="inlineStr">
        <is>
          <t>VIMMERBY</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15552-2019</t>
        </is>
      </c>
      <c r="B1632" s="1" t="n">
        <v>43542</v>
      </c>
      <c r="C1632" s="1" t="n">
        <v>45190</v>
      </c>
      <c r="D1632" t="inlineStr">
        <is>
          <t>KALMAR LÄN</t>
        </is>
      </c>
      <c r="E1632" t="inlineStr">
        <is>
          <t>NYBRO</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15862-2019</t>
        </is>
      </c>
      <c r="B1633" s="1" t="n">
        <v>43543</v>
      </c>
      <c r="C1633" s="1" t="n">
        <v>45190</v>
      </c>
      <c r="D1633" t="inlineStr">
        <is>
          <t>KALMAR LÄN</t>
        </is>
      </c>
      <c r="E1633" t="inlineStr">
        <is>
          <t>OSKARSHAMN</t>
        </is>
      </c>
      <c r="F1633" t="inlineStr">
        <is>
          <t>Sveaskog</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15872-2019</t>
        </is>
      </c>
      <c r="B1634" s="1" t="n">
        <v>43543</v>
      </c>
      <c r="C1634" s="1" t="n">
        <v>45190</v>
      </c>
      <c r="D1634" t="inlineStr">
        <is>
          <t>KALMAR LÄN</t>
        </is>
      </c>
      <c r="E1634" t="inlineStr">
        <is>
          <t>VÄSTERVIK</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15806-2019</t>
        </is>
      </c>
      <c r="B1635" s="1" t="n">
        <v>43543</v>
      </c>
      <c r="C1635" s="1" t="n">
        <v>45190</v>
      </c>
      <c r="D1635" t="inlineStr">
        <is>
          <t>KALMAR LÄN</t>
        </is>
      </c>
      <c r="E1635" t="inlineStr">
        <is>
          <t>VÄSTERVIK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16196-2019</t>
        </is>
      </c>
      <c r="B1636" s="1" t="n">
        <v>43544</v>
      </c>
      <c r="C1636" s="1" t="n">
        <v>45190</v>
      </c>
      <c r="D1636" t="inlineStr">
        <is>
          <t>KALMAR LÄN</t>
        </is>
      </c>
      <c r="E1636" t="inlineStr">
        <is>
          <t>HÖGSBY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16109-2019</t>
        </is>
      </c>
      <c r="B1637" s="1" t="n">
        <v>43544</v>
      </c>
      <c r="C1637" s="1" t="n">
        <v>45190</v>
      </c>
      <c r="D1637" t="inlineStr">
        <is>
          <t>KALMAR LÄN</t>
        </is>
      </c>
      <c r="E1637" t="inlineStr">
        <is>
          <t>EMMABODA</t>
        </is>
      </c>
      <c r="F1637" t="inlineStr">
        <is>
          <t>Sveaskog</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16096-2019</t>
        </is>
      </c>
      <c r="B1638" s="1" t="n">
        <v>43544</v>
      </c>
      <c r="C1638" s="1" t="n">
        <v>45190</v>
      </c>
      <c r="D1638" t="inlineStr">
        <is>
          <t>KALMAR LÄN</t>
        </is>
      </c>
      <c r="E1638" t="inlineStr">
        <is>
          <t>OSKARSHAMN</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16126-2019</t>
        </is>
      </c>
      <c r="B1639" s="1" t="n">
        <v>43544</v>
      </c>
      <c r="C1639" s="1" t="n">
        <v>45190</v>
      </c>
      <c r="D1639" t="inlineStr">
        <is>
          <t>KALMAR LÄN</t>
        </is>
      </c>
      <c r="E1639" t="inlineStr">
        <is>
          <t>TORSÅS</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16250-2019</t>
        </is>
      </c>
      <c r="B1640" s="1" t="n">
        <v>43545</v>
      </c>
      <c r="C1640" s="1" t="n">
        <v>45190</v>
      </c>
      <c r="D1640" t="inlineStr">
        <is>
          <t>KALMAR LÄN</t>
        </is>
      </c>
      <c r="E1640" t="inlineStr">
        <is>
          <t>MÖNSTERÅS</t>
        </is>
      </c>
      <c r="G1640" t="n">
        <v>5.4</v>
      </c>
      <c r="H1640" t="n">
        <v>0</v>
      </c>
      <c r="I1640" t="n">
        <v>0</v>
      </c>
      <c r="J1640" t="n">
        <v>0</v>
      </c>
      <c r="K1640" t="n">
        <v>0</v>
      </c>
      <c r="L1640" t="n">
        <v>0</v>
      </c>
      <c r="M1640" t="n">
        <v>0</v>
      </c>
      <c r="N1640" t="n">
        <v>0</v>
      </c>
      <c r="O1640" t="n">
        <v>0</v>
      </c>
      <c r="P1640" t="n">
        <v>0</v>
      </c>
      <c r="Q1640" t="n">
        <v>0</v>
      </c>
      <c r="R1640" s="2" t="inlineStr"/>
    </row>
    <row r="1641" ht="15" customHeight="1">
      <c r="A1641" t="inlineStr">
        <is>
          <t>A 16361-2019</t>
        </is>
      </c>
      <c r="B1641" s="1" t="n">
        <v>43545</v>
      </c>
      <c r="C1641" s="1" t="n">
        <v>45190</v>
      </c>
      <c r="D1641" t="inlineStr">
        <is>
          <t>KALMAR LÄN</t>
        </is>
      </c>
      <c r="E1641" t="inlineStr">
        <is>
          <t>NYBRO</t>
        </is>
      </c>
      <c r="G1641" t="n">
        <v>8.5</v>
      </c>
      <c r="H1641" t="n">
        <v>0</v>
      </c>
      <c r="I1641" t="n">
        <v>0</v>
      </c>
      <c r="J1641" t="n">
        <v>0</v>
      </c>
      <c r="K1641" t="n">
        <v>0</v>
      </c>
      <c r="L1641" t="n">
        <v>0</v>
      </c>
      <c r="M1641" t="n">
        <v>0</v>
      </c>
      <c r="N1641" t="n">
        <v>0</v>
      </c>
      <c r="O1641" t="n">
        <v>0</v>
      </c>
      <c r="P1641" t="n">
        <v>0</v>
      </c>
      <c r="Q1641" t="n">
        <v>0</v>
      </c>
      <c r="R1641" s="2" t="inlineStr"/>
    </row>
    <row r="1642" ht="15" customHeight="1">
      <c r="A1642" t="inlineStr">
        <is>
          <t>A 16255-2019</t>
        </is>
      </c>
      <c r="B1642" s="1" t="n">
        <v>43545</v>
      </c>
      <c r="C1642" s="1" t="n">
        <v>45190</v>
      </c>
      <c r="D1642" t="inlineStr">
        <is>
          <t>KALMAR LÄN</t>
        </is>
      </c>
      <c r="E1642" t="inlineStr">
        <is>
          <t>KALMAR</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16331-2019</t>
        </is>
      </c>
      <c r="B1643" s="1" t="n">
        <v>43545</v>
      </c>
      <c r="C1643" s="1" t="n">
        <v>45190</v>
      </c>
      <c r="D1643" t="inlineStr">
        <is>
          <t>KALMAR LÄN</t>
        </is>
      </c>
      <c r="E1643" t="inlineStr">
        <is>
          <t>NYBRO</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16268-2019</t>
        </is>
      </c>
      <c r="B1644" s="1" t="n">
        <v>43545</v>
      </c>
      <c r="C1644" s="1" t="n">
        <v>45190</v>
      </c>
      <c r="D1644" t="inlineStr">
        <is>
          <t>KALMAR LÄN</t>
        </is>
      </c>
      <c r="E1644" t="inlineStr">
        <is>
          <t>KALMAR</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16360-2019</t>
        </is>
      </c>
      <c r="B1645" s="1" t="n">
        <v>43545</v>
      </c>
      <c r="C1645" s="1" t="n">
        <v>45190</v>
      </c>
      <c r="D1645" t="inlineStr">
        <is>
          <t>KALMAR LÄN</t>
        </is>
      </c>
      <c r="E1645" t="inlineStr">
        <is>
          <t>KALMAR</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16410-2019</t>
        </is>
      </c>
      <c r="B1646" s="1" t="n">
        <v>43546</v>
      </c>
      <c r="C1646" s="1" t="n">
        <v>45190</v>
      </c>
      <c r="D1646" t="inlineStr">
        <is>
          <t>KALMAR LÄN</t>
        </is>
      </c>
      <c r="E1646" t="inlineStr">
        <is>
          <t>NYBRO</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16499-2019</t>
        </is>
      </c>
      <c r="B1647" s="1" t="n">
        <v>43546</v>
      </c>
      <c r="C1647" s="1" t="n">
        <v>45190</v>
      </c>
      <c r="D1647" t="inlineStr">
        <is>
          <t>KALMAR LÄN</t>
        </is>
      </c>
      <c r="E1647" t="inlineStr">
        <is>
          <t>NYBRO</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16407-2019</t>
        </is>
      </c>
      <c r="B1648" s="1" t="n">
        <v>43546</v>
      </c>
      <c r="C1648" s="1" t="n">
        <v>45190</v>
      </c>
      <c r="D1648" t="inlineStr">
        <is>
          <t>KALMAR LÄN</t>
        </is>
      </c>
      <c r="E1648" t="inlineStr">
        <is>
          <t>NYBRO</t>
        </is>
      </c>
      <c r="G1648" t="n">
        <v>9.1</v>
      </c>
      <c r="H1648" t="n">
        <v>0</v>
      </c>
      <c r="I1648" t="n">
        <v>0</v>
      </c>
      <c r="J1648" t="n">
        <v>0</v>
      </c>
      <c r="K1648" t="n">
        <v>0</v>
      </c>
      <c r="L1648" t="n">
        <v>0</v>
      </c>
      <c r="M1648" t="n">
        <v>0</v>
      </c>
      <c r="N1648" t="n">
        <v>0</v>
      </c>
      <c r="O1648" t="n">
        <v>0</v>
      </c>
      <c r="P1648" t="n">
        <v>0</v>
      </c>
      <c r="Q1648" t="n">
        <v>0</v>
      </c>
      <c r="R1648" s="2" t="inlineStr"/>
    </row>
    <row r="1649" ht="15" customHeight="1">
      <c r="A1649" t="inlineStr">
        <is>
          <t>A 16644-2019</t>
        </is>
      </c>
      <c r="B1649" s="1" t="n">
        <v>43549</v>
      </c>
      <c r="C1649" s="1" t="n">
        <v>45190</v>
      </c>
      <c r="D1649" t="inlineStr">
        <is>
          <t>KALMAR LÄN</t>
        </is>
      </c>
      <c r="E1649" t="inlineStr">
        <is>
          <t>EMMABODA</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16728-2019</t>
        </is>
      </c>
      <c r="B1650" s="1" t="n">
        <v>43549</v>
      </c>
      <c r="C1650" s="1" t="n">
        <v>45190</v>
      </c>
      <c r="D1650" t="inlineStr">
        <is>
          <t>KALMAR LÄN</t>
        </is>
      </c>
      <c r="E1650" t="inlineStr">
        <is>
          <t>NYBRO</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16899-2019</t>
        </is>
      </c>
      <c r="B1651" s="1" t="n">
        <v>43549</v>
      </c>
      <c r="C1651" s="1" t="n">
        <v>45190</v>
      </c>
      <c r="D1651" t="inlineStr">
        <is>
          <t>KALMAR LÄN</t>
        </is>
      </c>
      <c r="E1651" t="inlineStr">
        <is>
          <t>HÖGSBY</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16947-2019</t>
        </is>
      </c>
      <c r="B1652" s="1" t="n">
        <v>43549</v>
      </c>
      <c r="C1652" s="1" t="n">
        <v>45190</v>
      </c>
      <c r="D1652" t="inlineStr">
        <is>
          <t>KALMAR LÄN</t>
        </is>
      </c>
      <c r="E1652" t="inlineStr">
        <is>
          <t>HÖGSBY</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16730-2019</t>
        </is>
      </c>
      <c r="B1653" s="1" t="n">
        <v>43549</v>
      </c>
      <c r="C1653" s="1" t="n">
        <v>45190</v>
      </c>
      <c r="D1653" t="inlineStr">
        <is>
          <t>KALMAR LÄN</t>
        </is>
      </c>
      <c r="E1653" t="inlineStr">
        <is>
          <t>VÄSTERVIK</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16902-2019</t>
        </is>
      </c>
      <c r="B1654" s="1" t="n">
        <v>43549</v>
      </c>
      <c r="C1654" s="1" t="n">
        <v>45190</v>
      </c>
      <c r="D1654" t="inlineStr">
        <is>
          <t>KALMAR LÄN</t>
        </is>
      </c>
      <c r="E1654" t="inlineStr">
        <is>
          <t>HÖGSBY</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16703-2019</t>
        </is>
      </c>
      <c r="B1655" s="1" t="n">
        <v>43549</v>
      </c>
      <c r="C1655" s="1" t="n">
        <v>45190</v>
      </c>
      <c r="D1655" t="inlineStr">
        <is>
          <t>KALMAR LÄN</t>
        </is>
      </c>
      <c r="E1655" t="inlineStr">
        <is>
          <t>OSKARSHAMN</t>
        </is>
      </c>
      <c r="G1655" t="n">
        <v>7.1</v>
      </c>
      <c r="H1655" t="n">
        <v>0</v>
      </c>
      <c r="I1655" t="n">
        <v>0</v>
      </c>
      <c r="J1655" t="n">
        <v>0</v>
      </c>
      <c r="K1655" t="n">
        <v>0</v>
      </c>
      <c r="L1655" t="n">
        <v>0</v>
      </c>
      <c r="M1655" t="n">
        <v>0</v>
      </c>
      <c r="N1655" t="n">
        <v>0</v>
      </c>
      <c r="O1655" t="n">
        <v>0</v>
      </c>
      <c r="P1655" t="n">
        <v>0</v>
      </c>
      <c r="Q1655" t="n">
        <v>0</v>
      </c>
      <c r="R1655" s="2" t="inlineStr"/>
    </row>
    <row r="1656" ht="15" customHeight="1">
      <c r="A1656" t="inlineStr">
        <is>
          <t>A 16765-2019</t>
        </is>
      </c>
      <c r="B1656" s="1" t="n">
        <v>43549</v>
      </c>
      <c r="C1656" s="1" t="n">
        <v>45190</v>
      </c>
      <c r="D1656" t="inlineStr">
        <is>
          <t>KALMAR LÄN</t>
        </is>
      </c>
      <c r="E1656" t="inlineStr">
        <is>
          <t>NYBRO</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16900-2019</t>
        </is>
      </c>
      <c r="B1657" s="1" t="n">
        <v>43549</v>
      </c>
      <c r="C1657" s="1" t="n">
        <v>45190</v>
      </c>
      <c r="D1657" t="inlineStr">
        <is>
          <t>KALMAR LÄN</t>
        </is>
      </c>
      <c r="E1657" t="inlineStr">
        <is>
          <t>HÖGSBY</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16877-2019</t>
        </is>
      </c>
      <c r="B1658" s="1" t="n">
        <v>43550</v>
      </c>
      <c r="C1658" s="1" t="n">
        <v>45190</v>
      </c>
      <c r="D1658" t="inlineStr">
        <is>
          <t>KALMAR LÄN</t>
        </is>
      </c>
      <c r="E1658" t="inlineStr">
        <is>
          <t>NYBRO</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16973-2019</t>
        </is>
      </c>
      <c r="B1659" s="1" t="n">
        <v>43550</v>
      </c>
      <c r="C1659" s="1" t="n">
        <v>45190</v>
      </c>
      <c r="D1659" t="inlineStr">
        <is>
          <t>KALMAR LÄN</t>
        </is>
      </c>
      <c r="E1659" t="inlineStr">
        <is>
          <t>EMMABODA</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16974-2019</t>
        </is>
      </c>
      <c r="B1660" s="1" t="n">
        <v>43550</v>
      </c>
      <c r="C1660" s="1" t="n">
        <v>45190</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17286-2019</t>
        </is>
      </c>
      <c r="B1661" s="1" t="n">
        <v>43550</v>
      </c>
      <c r="C1661" s="1" t="n">
        <v>45190</v>
      </c>
      <c r="D1661" t="inlineStr">
        <is>
          <t>KALMAR LÄN</t>
        </is>
      </c>
      <c r="E1661" t="inlineStr">
        <is>
          <t>VÄSTERVIK</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16908-2019</t>
        </is>
      </c>
      <c r="B1662" s="1" t="n">
        <v>43550</v>
      </c>
      <c r="C1662" s="1" t="n">
        <v>45190</v>
      </c>
      <c r="D1662" t="inlineStr">
        <is>
          <t>KALMAR LÄN</t>
        </is>
      </c>
      <c r="E1662" t="inlineStr">
        <is>
          <t>HULTSFRED</t>
        </is>
      </c>
      <c r="G1662" t="n">
        <v>11.2</v>
      </c>
      <c r="H1662" t="n">
        <v>0</v>
      </c>
      <c r="I1662" t="n">
        <v>0</v>
      </c>
      <c r="J1662" t="n">
        <v>0</v>
      </c>
      <c r="K1662" t="n">
        <v>0</v>
      </c>
      <c r="L1662" t="n">
        <v>0</v>
      </c>
      <c r="M1662" t="n">
        <v>0</v>
      </c>
      <c r="N1662" t="n">
        <v>0</v>
      </c>
      <c r="O1662" t="n">
        <v>0</v>
      </c>
      <c r="P1662" t="n">
        <v>0</v>
      </c>
      <c r="Q1662" t="n">
        <v>0</v>
      </c>
      <c r="R1662" s="2" t="inlineStr"/>
    </row>
    <row r="1663" ht="15" customHeight="1">
      <c r="A1663" t="inlineStr">
        <is>
          <t>A 16972-2019</t>
        </is>
      </c>
      <c r="B1663" s="1" t="n">
        <v>43550</v>
      </c>
      <c r="C1663" s="1" t="n">
        <v>45190</v>
      </c>
      <c r="D1663" t="inlineStr">
        <is>
          <t>KALMAR LÄN</t>
        </is>
      </c>
      <c r="E1663" t="inlineStr">
        <is>
          <t>HÖGSBY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17217-2019</t>
        </is>
      </c>
      <c r="B1664" s="1" t="n">
        <v>43550</v>
      </c>
      <c r="C1664" s="1" t="n">
        <v>45190</v>
      </c>
      <c r="D1664" t="inlineStr">
        <is>
          <t>KALMAR LÄN</t>
        </is>
      </c>
      <c r="E1664" t="inlineStr">
        <is>
          <t>NYBRO</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17291-2019</t>
        </is>
      </c>
      <c r="B1665" s="1" t="n">
        <v>43550</v>
      </c>
      <c r="C1665" s="1" t="n">
        <v>45190</v>
      </c>
      <c r="D1665" t="inlineStr">
        <is>
          <t>KALMAR LÄN</t>
        </is>
      </c>
      <c r="E1665" t="inlineStr">
        <is>
          <t>VÄSTERVIK</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17120-2019</t>
        </is>
      </c>
      <c r="B1666" s="1" t="n">
        <v>43551</v>
      </c>
      <c r="C1666" s="1" t="n">
        <v>45190</v>
      </c>
      <c r="D1666" t="inlineStr">
        <is>
          <t>KALMAR LÄN</t>
        </is>
      </c>
      <c r="E1666" t="inlineStr">
        <is>
          <t>VÄSTERVIK</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17167-2019</t>
        </is>
      </c>
      <c r="B1667" s="1" t="n">
        <v>43551</v>
      </c>
      <c r="C1667" s="1" t="n">
        <v>45190</v>
      </c>
      <c r="D1667" t="inlineStr">
        <is>
          <t>KALMAR LÄN</t>
        </is>
      </c>
      <c r="E1667" t="inlineStr">
        <is>
          <t>HULTSFRED</t>
        </is>
      </c>
      <c r="G1667" t="n">
        <v>5.4</v>
      </c>
      <c r="H1667" t="n">
        <v>0</v>
      </c>
      <c r="I1667" t="n">
        <v>0</v>
      </c>
      <c r="J1667" t="n">
        <v>0</v>
      </c>
      <c r="K1667" t="n">
        <v>0</v>
      </c>
      <c r="L1667" t="n">
        <v>0</v>
      </c>
      <c r="M1667" t="n">
        <v>0</v>
      </c>
      <c r="N1667" t="n">
        <v>0</v>
      </c>
      <c r="O1667" t="n">
        <v>0</v>
      </c>
      <c r="P1667" t="n">
        <v>0</v>
      </c>
      <c r="Q1667" t="n">
        <v>0</v>
      </c>
      <c r="R1667" s="2" t="inlineStr"/>
    </row>
    <row r="1668" ht="15" customHeight="1">
      <c r="A1668" t="inlineStr">
        <is>
          <t>A 17155-2019</t>
        </is>
      </c>
      <c r="B1668" s="1" t="n">
        <v>43551</v>
      </c>
      <c r="C1668" s="1" t="n">
        <v>45190</v>
      </c>
      <c r="D1668" t="inlineStr">
        <is>
          <t>KALMAR LÄN</t>
        </is>
      </c>
      <c r="E1668" t="inlineStr">
        <is>
          <t>VÄSTERVIK</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17162-2019</t>
        </is>
      </c>
      <c r="B1669" s="1" t="n">
        <v>43551</v>
      </c>
      <c r="C1669" s="1" t="n">
        <v>45190</v>
      </c>
      <c r="D1669" t="inlineStr">
        <is>
          <t>KALMAR LÄN</t>
        </is>
      </c>
      <c r="E1669" t="inlineStr">
        <is>
          <t>HULTSFRED</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17161-2019</t>
        </is>
      </c>
      <c r="B1670" s="1" t="n">
        <v>43551</v>
      </c>
      <c r="C1670" s="1" t="n">
        <v>45190</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17164-2019</t>
        </is>
      </c>
      <c r="B1671" s="1" t="n">
        <v>43551</v>
      </c>
      <c r="C1671" s="1" t="n">
        <v>45190</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17395-2019</t>
        </is>
      </c>
      <c r="B1672" s="1" t="n">
        <v>43552</v>
      </c>
      <c r="C1672" s="1" t="n">
        <v>45190</v>
      </c>
      <c r="D1672" t="inlineStr">
        <is>
          <t>KALMAR LÄN</t>
        </is>
      </c>
      <c r="E1672" t="inlineStr">
        <is>
          <t>VIMMERBY</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17222-2019</t>
        </is>
      </c>
      <c r="B1673" s="1" t="n">
        <v>43552</v>
      </c>
      <c r="C1673" s="1" t="n">
        <v>45190</v>
      </c>
      <c r="D1673" t="inlineStr">
        <is>
          <t>KALMAR LÄN</t>
        </is>
      </c>
      <c r="E1673" t="inlineStr">
        <is>
          <t>OSKARSHAMN</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17396-2019</t>
        </is>
      </c>
      <c r="B1674" s="1" t="n">
        <v>43552</v>
      </c>
      <c r="C1674" s="1" t="n">
        <v>45190</v>
      </c>
      <c r="D1674" t="inlineStr">
        <is>
          <t>KALMAR LÄN</t>
        </is>
      </c>
      <c r="E1674" t="inlineStr">
        <is>
          <t>VIMMERBY</t>
        </is>
      </c>
      <c r="G1674" t="n">
        <v>8.199999999999999</v>
      </c>
      <c r="H1674" t="n">
        <v>0</v>
      </c>
      <c r="I1674" t="n">
        <v>0</v>
      </c>
      <c r="J1674" t="n">
        <v>0</v>
      </c>
      <c r="K1674" t="n">
        <v>0</v>
      </c>
      <c r="L1674" t="n">
        <v>0</v>
      </c>
      <c r="M1674" t="n">
        <v>0</v>
      </c>
      <c r="N1674" t="n">
        <v>0</v>
      </c>
      <c r="O1674" t="n">
        <v>0</v>
      </c>
      <c r="P1674" t="n">
        <v>0</v>
      </c>
      <c r="Q1674" t="n">
        <v>0</v>
      </c>
      <c r="R1674" s="2" t="inlineStr"/>
    </row>
    <row r="1675" ht="15" customHeight="1">
      <c r="A1675" t="inlineStr">
        <is>
          <t>A 17203-2019</t>
        </is>
      </c>
      <c r="B1675" s="1" t="n">
        <v>43552</v>
      </c>
      <c r="C1675" s="1" t="n">
        <v>45190</v>
      </c>
      <c r="D1675" t="inlineStr">
        <is>
          <t>KALMAR LÄN</t>
        </is>
      </c>
      <c r="E1675" t="inlineStr">
        <is>
          <t>NYBRO</t>
        </is>
      </c>
      <c r="G1675" t="n">
        <v>4</v>
      </c>
      <c r="H1675" t="n">
        <v>0</v>
      </c>
      <c r="I1675" t="n">
        <v>0</v>
      </c>
      <c r="J1675" t="n">
        <v>0</v>
      </c>
      <c r="K1675" t="n">
        <v>0</v>
      </c>
      <c r="L1675" t="n">
        <v>0</v>
      </c>
      <c r="M1675" t="n">
        <v>0</v>
      </c>
      <c r="N1675" t="n">
        <v>0</v>
      </c>
      <c r="O1675" t="n">
        <v>0</v>
      </c>
      <c r="P1675" t="n">
        <v>0</v>
      </c>
      <c r="Q1675" t="n">
        <v>0</v>
      </c>
      <c r="R1675" s="2" t="inlineStr"/>
    </row>
    <row r="1676" ht="15" customHeight="1">
      <c r="A1676" t="inlineStr">
        <is>
          <t>A 17391-2019</t>
        </is>
      </c>
      <c r="B1676" s="1" t="n">
        <v>43552</v>
      </c>
      <c r="C1676" s="1" t="n">
        <v>45190</v>
      </c>
      <c r="D1676" t="inlineStr">
        <is>
          <t>KALMAR LÄN</t>
        </is>
      </c>
      <c r="E1676" t="inlineStr">
        <is>
          <t>NYBRO</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17398-2019</t>
        </is>
      </c>
      <c r="B1677" s="1" t="n">
        <v>43552</v>
      </c>
      <c r="C1677" s="1" t="n">
        <v>45190</v>
      </c>
      <c r="D1677" t="inlineStr">
        <is>
          <t>KALMAR LÄN</t>
        </is>
      </c>
      <c r="E1677" t="inlineStr">
        <is>
          <t>VIMMERBY</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17242-2019</t>
        </is>
      </c>
      <c r="B1678" s="1" t="n">
        <v>43552</v>
      </c>
      <c r="C1678" s="1" t="n">
        <v>45190</v>
      </c>
      <c r="D1678" t="inlineStr">
        <is>
          <t>KALMAR LÄN</t>
        </is>
      </c>
      <c r="E1678" t="inlineStr">
        <is>
          <t>VIMMERBY</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17262-2019</t>
        </is>
      </c>
      <c r="B1679" s="1" t="n">
        <v>43552</v>
      </c>
      <c r="C1679" s="1" t="n">
        <v>45190</v>
      </c>
      <c r="D1679" t="inlineStr">
        <is>
          <t>KALMAR LÄN</t>
        </is>
      </c>
      <c r="E1679" t="inlineStr">
        <is>
          <t>NYBRO</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17329-2019</t>
        </is>
      </c>
      <c r="B1680" s="1" t="n">
        <v>43552</v>
      </c>
      <c r="C1680" s="1" t="n">
        <v>45190</v>
      </c>
      <c r="D1680" t="inlineStr">
        <is>
          <t>KALMAR LÄN</t>
        </is>
      </c>
      <c r="E1680" t="inlineStr">
        <is>
          <t>OSKARSHAMN</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17394-2019</t>
        </is>
      </c>
      <c r="B1681" s="1" t="n">
        <v>43552</v>
      </c>
      <c r="C1681" s="1" t="n">
        <v>45190</v>
      </c>
      <c r="D1681" t="inlineStr">
        <is>
          <t>KALMAR LÄN</t>
        </is>
      </c>
      <c r="E1681" t="inlineStr">
        <is>
          <t>VIMMERBY</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17447-2019</t>
        </is>
      </c>
      <c r="B1682" s="1" t="n">
        <v>43553</v>
      </c>
      <c r="C1682" s="1" t="n">
        <v>45190</v>
      </c>
      <c r="D1682" t="inlineStr">
        <is>
          <t>KALMAR LÄN</t>
        </is>
      </c>
      <c r="E1682" t="inlineStr">
        <is>
          <t>VIMMERBY</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17495-2019</t>
        </is>
      </c>
      <c r="B1683" s="1" t="n">
        <v>43553</v>
      </c>
      <c r="C1683" s="1" t="n">
        <v>45190</v>
      </c>
      <c r="D1683" t="inlineStr">
        <is>
          <t>KALMAR LÄN</t>
        </is>
      </c>
      <c r="E1683" t="inlineStr">
        <is>
          <t>NYBRO</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17719-2019</t>
        </is>
      </c>
      <c r="B1684" s="1" t="n">
        <v>43556</v>
      </c>
      <c r="C1684" s="1" t="n">
        <v>45190</v>
      </c>
      <c r="D1684" t="inlineStr">
        <is>
          <t>KALMAR LÄN</t>
        </is>
      </c>
      <c r="E1684" t="inlineStr">
        <is>
          <t>KALMAR</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17715-2019</t>
        </is>
      </c>
      <c r="B1685" s="1" t="n">
        <v>43556</v>
      </c>
      <c r="C1685" s="1" t="n">
        <v>45190</v>
      </c>
      <c r="D1685" t="inlineStr">
        <is>
          <t>KALMAR LÄN</t>
        </is>
      </c>
      <c r="E1685" t="inlineStr">
        <is>
          <t>HULTSFRED</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17837-2019</t>
        </is>
      </c>
      <c r="B1686" s="1" t="n">
        <v>43556</v>
      </c>
      <c r="C1686" s="1" t="n">
        <v>45190</v>
      </c>
      <c r="D1686" t="inlineStr">
        <is>
          <t>KALMAR LÄN</t>
        </is>
      </c>
      <c r="E1686" t="inlineStr">
        <is>
          <t>OSKARSHAMN</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17908-2019</t>
        </is>
      </c>
      <c r="B1687" s="1" t="n">
        <v>43557</v>
      </c>
      <c r="C1687" s="1" t="n">
        <v>45190</v>
      </c>
      <c r="D1687" t="inlineStr">
        <is>
          <t>KALMAR LÄN</t>
        </is>
      </c>
      <c r="E1687" t="inlineStr">
        <is>
          <t>OSKARSHAMN</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17945-2019</t>
        </is>
      </c>
      <c r="B1688" s="1" t="n">
        <v>43557</v>
      </c>
      <c r="C1688" s="1" t="n">
        <v>45190</v>
      </c>
      <c r="D1688" t="inlineStr">
        <is>
          <t>KALMAR LÄN</t>
        </is>
      </c>
      <c r="E1688" t="inlineStr">
        <is>
          <t>OSKARSHAMN</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18259-2019</t>
        </is>
      </c>
      <c r="B1689" s="1" t="n">
        <v>43557</v>
      </c>
      <c r="C1689" s="1" t="n">
        <v>45190</v>
      </c>
      <c r="D1689" t="inlineStr">
        <is>
          <t>KALMAR LÄN</t>
        </is>
      </c>
      <c r="E1689" t="inlineStr">
        <is>
          <t>HULTSFRED</t>
        </is>
      </c>
      <c r="G1689" t="n">
        <v>8.4</v>
      </c>
      <c r="H1689" t="n">
        <v>0</v>
      </c>
      <c r="I1689" t="n">
        <v>0</v>
      </c>
      <c r="J1689" t="n">
        <v>0</v>
      </c>
      <c r="K1689" t="n">
        <v>0</v>
      </c>
      <c r="L1689" t="n">
        <v>0</v>
      </c>
      <c r="M1689" t="n">
        <v>0</v>
      </c>
      <c r="N1689" t="n">
        <v>0</v>
      </c>
      <c r="O1689" t="n">
        <v>0</v>
      </c>
      <c r="P1689" t="n">
        <v>0</v>
      </c>
      <c r="Q1689" t="n">
        <v>0</v>
      </c>
      <c r="R1689" s="2" t="inlineStr"/>
    </row>
    <row r="1690" ht="15" customHeight="1">
      <c r="A1690" t="inlineStr">
        <is>
          <t>A 18293-2019</t>
        </is>
      </c>
      <c r="B1690" s="1" t="n">
        <v>43558</v>
      </c>
      <c r="C1690" s="1" t="n">
        <v>45190</v>
      </c>
      <c r="D1690" t="inlineStr">
        <is>
          <t>KALMAR LÄN</t>
        </is>
      </c>
      <c r="E1690" t="inlineStr">
        <is>
          <t>EMMABODA</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18229-2019</t>
        </is>
      </c>
      <c r="B1691" s="1" t="n">
        <v>43558</v>
      </c>
      <c r="C1691" s="1" t="n">
        <v>45190</v>
      </c>
      <c r="D1691" t="inlineStr">
        <is>
          <t>KALMAR LÄN</t>
        </is>
      </c>
      <c r="E1691" t="inlineStr">
        <is>
          <t>KALMAR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18236-2019</t>
        </is>
      </c>
      <c r="B1692" s="1" t="n">
        <v>43558</v>
      </c>
      <c r="C1692" s="1" t="n">
        <v>45190</v>
      </c>
      <c r="D1692" t="inlineStr">
        <is>
          <t>KALMAR LÄN</t>
        </is>
      </c>
      <c r="E1692" t="inlineStr">
        <is>
          <t>KALMAR</t>
        </is>
      </c>
      <c r="G1692" t="n">
        <v>5</v>
      </c>
      <c r="H1692" t="n">
        <v>0</v>
      </c>
      <c r="I1692" t="n">
        <v>0</v>
      </c>
      <c r="J1692" t="n">
        <v>0</v>
      </c>
      <c r="K1692" t="n">
        <v>0</v>
      </c>
      <c r="L1692" t="n">
        <v>0</v>
      </c>
      <c r="M1692" t="n">
        <v>0</v>
      </c>
      <c r="N1692" t="n">
        <v>0</v>
      </c>
      <c r="O1692" t="n">
        <v>0</v>
      </c>
      <c r="P1692" t="n">
        <v>0</v>
      </c>
      <c r="Q1692" t="n">
        <v>0</v>
      </c>
      <c r="R1692" s="2" t="inlineStr"/>
    </row>
    <row r="1693" ht="15" customHeight="1">
      <c r="A1693" t="inlineStr">
        <is>
          <t>A 18290-2019</t>
        </is>
      </c>
      <c r="B1693" s="1" t="n">
        <v>43558</v>
      </c>
      <c r="C1693" s="1" t="n">
        <v>45190</v>
      </c>
      <c r="D1693" t="inlineStr">
        <is>
          <t>KALMAR LÄN</t>
        </is>
      </c>
      <c r="E1693" t="inlineStr">
        <is>
          <t>EMMABODA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18184-2019</t>
        </is>
      </c>
      <c r="B1694" s="1" t="n">
        <v>43558</v>
      </c>
      <c r="C1694" s="1" t="n">
        <v>45190</v>
      </c>
      <c r="D1694" t="inlineStr">
        <is>
          <t>KALMAR LÄN</t>
        </is>
      </c>
      <c r="E1694" t="inlineStr">
        <is>
          <t>NYBRO</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18251-2019</t>
        </is>
      </c>
      <c r="B1695" s="1" t="n">
        <v>43558</v>
      </c>
      <c r="C1695" s="1" t="n">
        <v>45190</v>
      </c>
      <c r="D1695" t="inlineStr">
        <is>
          <t>KALMAR LÄN</t>
        </is>
      </c>
      <c r="E1695" t="inlineStr">
        <is>
          <t>HULTSFRED</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18241-2019</t>
        </is>
      </c>
      <c r="B1696" s="1" t="n">
        <v>43558</v>
      </c>
      <c r="C1696" s="1" t="n">
        <v>45190</v>
      </c>
      <c r="D1696" t="inlineStr">
        <is>
          <t>KALMAR LÄN</t>
        </is>
      </c>
      <c r="E1696" t="inlineStr">
        <is>
          <t>OSKARSHAMN</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18505-2019</t>
        </is>
      </c>
      <c r="B1697" s="1" t="n">
        <v>43559</v>
      </c>
      <c r="C1697" s="1" t="n">
        <v>45190</v>
      </c>
      <c r="D1697" t="inlineStr">
        <is>
          <t>KALMAR LÄN</t>
        </is>
      </c>
      <c r="E1697" t="inlineStr">
        <is>
          <t>EMMABODA</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18673-2019</t>
        </is>
      </c>
      <c r="B1698" s="1" t="n">
        <v>43559</v>
      </c>
      <c r="C1698" s="1" t="n">
        <v>45190</v>
      </c>
      <c r="D1698" t="inlineStr">
        <is>
          <t>KALMAR LÄN</t>
        </is>
      </c>
      <c r="E1698" t="inlineStr">
        <is>
          <t>EMMABODA</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18419-2019</t>
        </is>
      </c>
      <c r="B1699" s="1" t="n">
        <v>43559</v>
      </c>
      <c r="C1699" s="1" t="n">
        <v>45190</v>
      </c>
      <c r="D1699" t="inlineStr">
        <is>
          <t>KALMAR LÄN</t>
        </is>
      </c>
      <c r="E1699" t="inlineStr">
        <is>
          <t>VÄSTERVIK</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18417-2019</t>
        </is>
      </c>
      <c r="B1700" s="1" t="n">
        <v>43559</v>
      </c>
      <c r="C1700" s="1" t="n">
        <v>45190</v>
      </c>
      <c r="D1700" t="inlineStr">
        <is>
          <t>KALMAR LÄN</t>
        </is>
      </c>
      <c r="E1700" t="inlineStr">
        <is>
          <t>VÄSTERVIK</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18456-2019</t>
        </is>
      </c>
      <c r="B1701" s="1" t="n">
        <v>43559</v>
      </c>
      <c r="C1701" s="1" t="n">
        <v>45190</v>
      </c>
      <c r="D1701" t="inlineStr">
        <is>
          <t>KALMAR LÄN</t>
        </is>
      </c>
      <c r="E1701" t="inlineStr">
        <is>
          <t>KALMAR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18552-2019</t>
        </is>
      </c>
      <c r="B1702" s="1" t="n">
        <v>43559</v>
      </c>
      <c r="C1702" s="1" t="n">
        <v>45190</v>
      </c>
      <c r="D1702" t="inlineStr">
        <is>
          <t>KALMAR LÄN</t>
        </is>
      </c>
      <c r="E1702" t="inlineStr">
        <is>
          <t>VÄSTERVIK</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18658-2019</t>
        </is>
      </c>
      <c r="B1703" s="1" t="n">
        <v>43559</v>
      </c>
      <c r="C1703" s="1" t="n">
        <v>45190</v>
      </c>
      <c r="D1703" t="inlineStr">
        <is>
          <t>KALMAR LÄN</t>
        </is>
      </c>
      <c r="E1703" t="inlineStr">
        <is>
          <t>VIMMERBY</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18455-2019</t>
        </is>
      </c>
      <c r="B1704" s="1" t="n">
        <v>43559</v>
      </c>
      <c r="C1704" s="1" t="n">
        <v>45190</v>
      </c>
      <c r="D1704" t="inlineStr">
        <is>
          <t>KALMAR LÄN</t>
        </is>
      </c>
      <c r="E1704" t="inlineStr">
        <is>
          <t>NYBRO</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18656-2019</t>
        </is>
      </c>
      <c r="B1705" s="1" t="n">
        <v>43559</v>
      </c>
      <c r="C1705" s="1" t="n">
        <v>45190</v>
      </c>
      <c r="D1705" t="inlineStr">
        <is>
          <t>KALMAR LÄN</t>
        </is>
      </c>
      <c r="E1705" t="inlineStr">
        <is>
          <t>VIMMERBY</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18603-2019</t>
        </is>
      </c>
      <c r="B1706" s="1" t="n">
        <v>43560</v>
      </c>
      <c r="C1706" s="1" t="n">
        <v>45190</v>
      </c>
      <c r="D1706" t="inlineStr">
        <is>
          <t>KALMAR LÄN</t>
        </is>
      </c>
      <c r="E1706" t="inlineStr">
        <is>
          <t>NYBRO</t>
        </is>
      </c>
      <c r="G1706" t="n">
        <v>7.3</v>
      </c>
      <c r="H1706" t="n">
        <v>0</v>
      </c>
      <c r="I1706" t="n">
        <v>0</v>
      </c>
      <c r="J1706" t="n">
        <v>0</v>
      </c>
      <c r="K1706" t="n">
        <v>0</v>
      </c>
      <c r="L1706" t="n">
        <v>0</v>
      </c>
      <c r="M1706" t="n">
        <v>0</v>
      </c>
      <c r="N1706" t="n">
        <v>0</v>
      </c>
      <c r="O1706" t="n">
        <v>0</v>
      </c>
      <c r="P1706" t="n">
        <v>0</v>
      </c>
      <c r="Q1706" t="n">
        <v>0</v>
      </c>
      <c r="R1706" s="2" t="inlineStr"/>
    </row>
    <row r="1707" ht="15" customHeight="1">
      <c r="A1707" t="inlineStr">
        <is>
          <t>A 18735-2019</t>
        </is>
      </c>
      <c r="B1707" s="1" t="n">
        <v>43560</v>
      </c>
      <c r="C1707" s="1" t="n">
        <v>45190</v>
      </c>
      <c r="D1707" t="inlineStr">
        <is>
          <t>KALMAR LÄN</t>
        </is>
      </c>
      <c r="E1707" t="inlineStr">
        <is>
          <t>EMMABODA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18770-2019</t>
        </is>
      </c>
      <c r="B1708" s="1" t="n">
        <v>43560</v>
      </c>
      <c r="C1708" s="1" t="n">
        <v>45190</v>
      </c>
      <c r="D1708" t="inlineStr">
        <is>
          <t>KALMAR LÄN</t>
        </is>
      </c>
      <c r="E1708" t="inlineStr">
        <is>
          <t>VÄSTERVIK</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18768-2019</t>
        </is>
      </c>
      <c r="B1709" s="1" t="n">
        <v>43560</v>
      </c>
      <c r="C1709" s="1" t="n">
        <v>45190</v>
      </c>
      <c r="D1709" t="inlineStr">
        <is>
          <t>KALMAR LÄN</t>
        </is>
      </c>
      <c r="E1709" t="inlineStr">
        <is>
          <t>VÄSTERVIK</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18727-2019</t>
        </is>
      </c>
      <c r="B1710" s="1" t="n">
        <v>43560</v>
      </c>
      <c r="C1710" s="1" t="n">
        <v>45190</v>
      </c>
      <c r="D1710" t="inlineStr">
        <is>
          <t>KALMAR LÄN</t>
        </is>
      </c>
      <c r="E1710" t="inlineStr">
        <is>
          <t>NYBRO</t>
        </is>
      </c>
      <c r="G1710" t="n">
        <v>7</v>
      </c>
      <c r="H1710" t="n">
        <v>0</v>
      </c>
      <c r="I1710" t="n">
        <v>0</v>
      </c>
      <c r="J1710" t="n">
        <v>0</v>
      </c>
      <c r="K1710" t="n">
        <v>0</v>
      </c>
      <c r="L1710" t="n">
        <v>0</v>
      </c>
      <c r="M1710" t="n">
        <v>0</v>
      </c>
      <c r="N1710" t="n">
        <v>0</v>
      </c>
      <c r="O1710" t="n">
        <v>0</v>
      </c>
      <c r="P1710" t="n">
        <v>0</v>
      </c>
      <c r="Q1710" t="n">
        <v>0</v>
      </c>
      <c r="R1710" s="2" t="inlineStr"/>
    </row>
    <row r="1711" ht="15" customHeight="1">
      <c r="A1711" t="inlineStr">
        <is>
          <t>A 18730-2019</t>
        </is>
      </c>
      <c r="B1711" s="1" t="n">
        <v>43560</v>
      </c>
      <c r="C1711" s="1" t="n">
        <v>45190</v>
      </c>
      <c r="D1711" t="inlineStr">
        <is>
          <t>KALMAR LÄN</t>
        </is>
      </c>
      <c r="E1711" t="inlineStr">
        <is>
          <t>NYBRO</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18755-2019</t>
        </is>
      </c>
      <c r="B1712" s="1" t="n">
        <v>43560</v>
      </c>
      <c r="C1712" s="1" t="n">
        <v>45190</v>
      </c>
      <c r="D1712" t="inlineStr">
        <is>
          <t>KALMAR LÄN</t>
        </is>
      </c>
      <c r="E1712" t="inlineStr">
        <is>
          <t>VIMMERBY</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19054-2019</t>
        </is>
      </c>
      <c r="B1713" s="1" t="n">
        <v>43563</v>
      </c>
      <c r="C1713" s="1" t="n">
        <v>45190</v>
      </c>
      <c r="D1713" t="inlineStr">
        <is>
          <t>KALMAR LÄN</t>
        </is>
      </c>
      <c r="E1713" t="inlineStr">
        <is>
          <t>VIMMERBY</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18859-2019</t>
        </is>
      </c>
      <c r="B1714" s="1" t="n">
        <v>43563</v>
      </c>
      <c r="C1714" s="1" t="n">
        <v>45190</v>
      </c>
      <c r="D1714" t="inlineStr">
        <is>
          <t>KALMAR LÄN</t>
        </is>
      </c>
      <c r="E1714" t="inlineStr">
        <is>
          <t>TORSÅS</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19056-2019</t>
        </is>
      </c>
      <c r="B1715" s="1" t="n">
        <v>43563</v>
      </c>
      <c r="C1715" s="1" t="n">
        <v>45190</v>
      </c>
      <c r="D1715" t="inlineStr">
        <is>
          <t>KALMAR LÄN</t>
        </is>
      </c>
      <c r="E1715" t="inlineStr">
        <is>
          <t>VIMMERBY</t>
        </is>
      </c>
      <c r="G1715" t="n">
        <v>3.2</v>
      </c>
      <c r="H1715" t="n">
        <v>0</v>
      </c>
      <c r="I1715" t="n">
        <v>0</v>
      </c>
      <c r="J1715" t="n">
        <v>0</v>
      </c>
      <c r="K1715" t="n">
        <v>0</v>
      </c>
      <c r="L1715" t="n">
        <v>0</v>
      </c>
      <c r="M1715" t="n">
        <v>0</v>
      </c>
      <c r="N1715" t="n">
        <v>0</v>
      </c>
      <c r="O1715" t="n">
        <v>0</v>
      </c>
      <c r="P1715" t="n">
        <v>0</v>
      </c>
      <c r="Q1715" t="n">
        <v>0</v>
      </c>
      <c r="R1715" s="2" t="inlineStr"/>
    </row>
    <row r="1716" ht="15" customHeight="1">
      <c r="A1716" t="inlineStr">
        <is>
          <t>A 19057-2019</t>
        </is>
      </c>
      <c r="B1716" s="1" t="n">
        <v>43563</v>
      </c>
      <c r="C1716" s="1" t="n">
        <v>45190</v>
      </c>
      <c r="D1716" t="inlineStr">
        <is>
          <t>KALMAR LÄN</t>
        </is>
      </c>
      <c r="E1716" t="inlineStr">
        <is>
          <t>VIMMERBY</t>
        </is>
      </c>
      <c r="G1716" t="n">
        <v>10.1</v>
      </c>
      <c r="H1716" t="n">
        <v>0</v>
      </c>
      <c r="I1716" t="n">
        <v>0</v>
      </c>
      <c r="J1716" t="n">
        <v>0</v>
      </c>
      <c r="K1716" t="n">
        <v>0</v>
      </c>
      <c r="L1716" t="n">
        <v>0</v>
      </c>
      <c r="M1716" t="n">
        <v>0</v>
      </c>
      <c r="N1716" t="n">
        <v>0</v>
      </c>
      <c r="O1716" t="n">
        <v>0</v>
      </c>
      <c r="P1716" t="n">
        <v>0</v>
      </c>
      <c r="Q1716" t="n">
        <v>0</v>
      </c>
      <c r="R1716" s="2" t="inlineStr"/>
    </row>
    <row r="1717" ht="15" customHeight="1">
      <c r="A1717" t="inlineStr">
        <is>
          <t>A 18848-2019</t>
        </is>
      </c>
      <c r="B1717" s="1" t="n">
        <v>43563</v>
      </c>
      <c r="C1717" s="1" t="n">
        <v>45190</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19036-2019</t>
        </is>
      </c>
      <c r="B1718" s="1" t="n">
        <v>43563</v>
      </c>
      <c r="C1718" s="1" t="n">
        <v>45190</v>
      </c>
      <c r="D1718" t="inlineStr">
        <is>
          <t>KALMAR LÄN</t>
        </is>
      </c>
      <c r="E1718" t="inlineStr">
        <is>
          <t>EMMABODA</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19205-2019</t>
        </is>
      </c>
      <c r="B1719" s="1" t="n">
        <v>43564</v>
      </c>
      <c r="C1719" s="1" t="n">
        <v>45190</v>
      </c>
      <c r="D1719" t="inlineStr">
        <is>
          <t>KALMAR LÄN</t>
        </is>
      </c>
      <c r="E1719" t="inlineStr">
        <is>
          <t>NYBRO</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19242-2019</t>
        </is>
      </c>
      <c r="B1720" s="1" t="n">
        <v>43564</v>
      </c>
      <c r="C1720" s="1" t="n">
        <v>45190</v>
      </c>
      <c r="D1720" t="inlineStr">
        <is>
          <t>KALMAR LÄN</t>
        </is>
      </c>
      <c r="E1720" t="inlineStr">
        <is>
          <t>NYBRO</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19089-2019</t>
        </is>
      </c>
      <c r="B1721" s="1" t="n">
        <v>43564</v>
      </c>
      <c r="C1721" s="1" t="n">
        <v>45190</v>
      </c>
      <c r="D1721" t="inlineStr">
        <is>
          <t>KALMAR LÄN</t>
        </is>
      </c>
      <c r="E1721" t="inlineStr">
        <is>
          <t>MÖNSTERÅS</t>
        </is>
      </c>
      <c r="F1721" t="inlineStr">
        <is>
          <t>Kommuner</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19201-2019</t>
        </is>
      </c>
      <c r="B1722" s="1" t="n">
        <v>43564</v>
      </c>
      <c r="C1722" s="1" t="n">
        <v>45190</v>
      </c>
      <c r="D1722" t="inlineStr">
        <is>
          <t>KALMAR LÄN</t>
        </is>
      </c>
      <c r="E1722" t="inlineStr">
        <is>
          <t>NYBRO</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19080-2019</t>
        </is>
      </c>
      <c r="B1723" s="1" t="n">
        <v>43564</v>
      </c>
      <c r="C1723" s="1" t="n">
        <v>45190</v>
      </c>
      <c r="D1723" t="inlineStr">
        <is>
          <t>KALMAR LÄN</t>
        </is>
      </c>
      <c r="E1723" t="inlineStr">
        <is>
          <t>NYBRO</t>
        </is>
      </c>
      <c r="G1723" t="n">
        <v>19.2</v>
      </c>
      <c r="H1723" t="n">
        <v>0</v>
      </c>
      <c r="I1723" t="n">
        <v>0</v>
      </c>
      <c r="J1723" t="n">
        <v>0</v>
      </c>
      <c r="K1723" t="n">
        <v>0</v>
      </c>
      <c r="L1723" t="n">
        <v>0</v>
      </c>
      <c r="M1723" t="n">
        <v>0</v>
      </c>
      <c r="N1723" t="n">
        <v>0</v>
      </c>
      <c r="O1723" t="n">
        <v>0</v>
      </c>
      <c r="P1723" t="n">
        <v>0</v>
      </c>
      <c r="Q1723" t="n">
        <v>0</v>
      </c>
      <c r="R1723" s="2" t="inlineStr"/>
    </row>
    <row r="1724" ht="15" customHeight="1">
      <c r="A1724" t="inlineStr">
        <is>
          <t>A 19141-2019</t>
        </is>
      </c>
      <c r="B1724" s="1" t="n">
        <v>43564</v>
      </c>
      <c r="C1724" s="1" t="n">
        <v>45190</v>
      </c>
      <c r="D1724" t="inlineStr">
        <is>
          <t>KALMAR LÄN</t>
        </is>
      </c>
      <c r="E1724" t="inlineStr">
        <is>
          <t>VÄSTERVIK</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19087-2019</t>
        </is>
      </c>
      <c r="B1725" s="1" t="n">
        <v>43564</v>
      </c>
      <c r="C1725" s="1" t="n">
        <v>45190</v>
      </c>
      <c r="D1725" t="inlineStr">
        <is>
          <t>KALMAR LÄN</t>
        </is>
      </c>
      <c r="E1725" t="inlineStr">
        <is>
          <t>MÖNSTERÅS</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19209-2019</t>
        </is>
      </c>
      <c r="B1726" s="1" t="n">
        <v>43564</v>
      </c>
      <c r="C1726" s="1" t="n">
        <v>45190</v>
      </c>
      <c r="D1726" t="inlineStr">
        <is>
          <t>KALMAR LÄN</t>
        </is>
      </c>
      <c r="E1726" t="inlineStr">
        <is>
          <t>NYBRO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19314-2019</t>
        </is>
      </c>
      <c r="B1727" s="1" t="n">
        <v>43565</v>
      </c>
      <c r="C1727" s="1" t="n">
        <v>45190</v>
      </c>
      <c r="D1727" t="inlineStr">
        <is>
          <t>KALMAR LÄN</t>
        </is>
      </c>
      <c r="E1727" t="inlineStr">
        <is>
          <t>HULTSFRED</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19387-2019</t>
        </is>
      </c>
      <c r="B1728" s="1" t="n">
        <v>43565</v>
      </c>
      <c r="C1728" s="1" t="n">
        <v>45190</v>
      </c>
      <c r="D1728" t="inlineStr">
        <is>
          <t>KALMAR LÄN</t>
        </is>
      </c>
      <c r="E1728" t="inlineStr">
        <is>
          <t>TORSÅS</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19414-2019</t>
        </is>
      </c>
      <c r="B1729" s="1" t="n">
        <v>43565</v>
      </c>
      <c r="C1729" s="1" t="n">
        <v>45190</v>
      </c>
      <c r="D1729" t="inlineStr">
        <is>
          <t>KALMAR LÄN</t>
        </is>
      </c>
      <c r="E1729" t="inlineStr">
        <is>
          <t>VÄSTERVIK</t>
        </is>
      </c>
      <c r="F1729" t="inlineStr">
        <is>
          <t>Sveaskog</t>
        </is>
      </c>
      <c r="G1729" t="n">
        <v>5.4</v>
      </c>
      <c r="H1729" t="n">
        <v>0</v>
      </c>
      <c r="I1729" t="n">
        <v>0</v>
      </c>
      <c r="J1729" t="n">
        <v>0</v>
      </c>
      <c r="K1729" t="n">
        <v>0</v>
      </c>
      <c r="L1729" t="n">
        <v>0</v>
      </c>
      <c r="M1729" t="n">
        <v>0</v>
      </c>
      <c r="N1729" t="n">
        <v>0</v>
      </c>
      <c r="O1729" t="n">
        <v>0</v>
      </c>
      <c r="P1729" t="n">
        <v>0</v>
      </c>
      <c r="Q1729" t="n">
        <v>0</v>
      </c>
      <c r="R1729" s="2" t="inlineStr"/>
    </row>
    <row r="1730" ht="15" customHeight="1">
      <c r="A1730" t="inlineStr">
        <is>
          <t>A 19678-2019</t>
        </is>
      </c>
      <c r="B1730" s="1" t="n">
        <v>43566</v>
      </c>
      <c r="C1730" s="1" t="n">
        <v>45190</v>
      </c>
      <c r="D1730" t="inlineStr">
        <is>
          <t>KALMAR LÄN</t>
        </is>
      </c>
      <c r="E1730" t="inlineStr">
        <is>
          <t>EMMABODA</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20073-2019</t>
        </is>
      </c>
      <c r="B1731" s="1" t="n">
        <v>43566</v>
      </c>
      <c r="C1731" s="1" t="n">
        <v>45190</v>
      </c>
      <c r="D1731" t="inlineStr">
        <is>
          <t>KALMAR LÄN</t>
        </is>
      </c>
      <c r="E1731" t="inlineStr">
        <is>
          <t>NYBRO</t>
        </is>
      </c>
      <c r="F1731" t="inlineStr">
        <is>
          <t>Kyrkan</t>
        </is>
      </c>
      <c r="G1731" t="n">
        <v>18.4</v>
      </c>
      <c r="H1731" t="n">
        <v>0</v>
      </c>
      <c r="I1731" t="n">
        <v>0</v>
      </c>
      <c r="J1731" t="n">
        <v>0</v>
      </c>
      <c r="K1731" t="n">
        <v>0</v>
      </c>
      <c r="L1731" t="n">
        <v>0</v>
      </c>
      <c r="M1731" t="n">
        <v>0</v>
      </c>
      <c r="N1731" t="n">
        <v>0</v>
      </c>
      <c r="O1731" t="n">
        <v>0</v>
      </c>
      <c r="P1731" t="n">
        <v>0</v>
      </c>
      <c r="Q1731" t="n">
        <v>0</v>
      </c>
      <c r="R1731" s="2" t="inlineStr"/>
    </row>
    <row r="1732" ht="15" customHeight="1">
      <c r="A1732" t="inlineStr">
        <is>
          <t>A 19616-2019</t>
        </is>
      </c>
      <c r="B1732" s="1" t="n">
        <v>43566</v>
      </c>
      <c r="C1732" s="1" t="n">
        <v>45190</v>
      </c>
      <c r="D1732" t="inlineStr">
        <is>
          <t>KALMAR LÄN</t>
        </is>
      </c>
      <c r="E1732" t="inlineStr">
        <is>
          <t>VIMMERBY</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19693-2019</t>
        </is>
      </c>
      <c r="B1733" s="1" t="n">
        <v>43566</v>
      </c>
      <c r="C1733" s="1" t="n">
        <v>45190</v>
      </c>
      <c r="D1733" t="inlineStr">
        <is>
          <t>KALMAR LÄN</t>
        </is>
      </c>
      <c r="E1733" t="inlineStr">
        <is>
          <t>TORSÅS</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19618-2019</t>
        </is>
      </c>
      <c r="B1734" s="1" t="n">
        <v>43566</v>
      </c>
      <c r="C1734" s="1" t="n">
        <v>45190</v>
      </c>
      <c r="D1734" t="inlineStr">
        <is>
          <t>KALMAR LÄN</t>
        </is>
      </c>
      <c r="E1734" t="inlineStr">
        <is>
          <t>OSKARSHAMN</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19632-2019</t>
        </is>
      </c>
      <c r="B1735" s="1" t="n">
        <v>43566</v>
      </c>
      <c r="C1735" s="1" t="n">
        <v>45190</v>
      </c>
      <c r="D1735" t="inlineStr">
        <is>
          <t>KALMAR LÄN</t>
        </is>
      </c>
      <c r="E1735" t="inlineStr">
        <is>
          <t>VIMMERBY</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19653-2019</t>
        </is>
      </c>
      <c r="B1736" s="1" t="n">
        <v>43566</v>
      </c>
      <c r="C1736" s="1" t="n">
        <v>45190</v>
      </c>
      <c r="D1736" t="inlineStr">
        <is>
          <t>KALMAR LÄN</t>
        </is>
      </c>
      <c r="E1736" t="inlineStr">
        <is>
          <t>VÄSTERVIK</t>
        </is>
      </c>
      <c r="F1736" t="inlineStr">
        <is>
          <t>Sveaskog</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19565-2019</t>
        </is>
      </c>
      <c r="B1737" s="1" t="n">
        <v>43566</v>
      </c>
      <c r="C1737" s="1" t="n">
        <v>45190</v>
      </c>
      <c r="D1737" t="inlineStr">
        <is>
          <t>KALMAR LÄN</t>
        </is>
      </c>
      <c r="E1737" t="inlineStr">
        <is>
          <t>KALMAR</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19715-2019</t>
        </is>
      </c>
      <c r="B1738" s="1" t="n">
        <v>43566</v>
      </c>
      <c r="C1738" s="1" t="n">
        <v>45190</v>
      </c>
      <c r="D1738" t="inlineStr">
        <is>
          <t>KALMAR LÄN</t>
        </is>
      </c>
      <c r="E1738" t="inlineStr">
        <is>
          <t>HÖGSBY</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19742-2019</t>
        </is>
      </c>
      <c r="B1739" s="1" t="n">
        <v>43567</v>
      </c>
      <c r="C1739" s="1" t="n">
        <v>45190</v>
      </c>
      <c r="D1739" t="inlineStr">
        <is>
          <t>KALMAR LÄN</t>
        </is>
      </c>
      <c r="E1739" t="inlineStr">
        <is>
          <t>NYBRO</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19764-2019</t>
        </is>
      </c>
      <c r="B1740" s="1" t="n">
        <v>43567</v>
      </c>
      <c r="C1740" s="1" t="n">
        <v>45190</v>
      </c>
      <c r="D1740" t="inlineStr">
        <is>
          <t>KALMAR LÄN</t>
        </is>
      </c>
      <c r="E1740" t="inlineStr">
        <is>
          <t>NYBRO</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19819-2019</t>
        </is>
      </c>
      <c r="B1741" s="1" t="n">
        <v>43567</v>
      </c>
      <c r="C1741" s="1" t="n">
        <v>45190</v>
      </c>
      <c r="D1741" t="inlineStr">
        <is>
          <t>KALMAR LÄN</t>
        </is>
      </c>
      <c r="E1741" t="inlineStr">
        <is>
          <t>VÄSTERVIK</t>
        </is>
      </c>
      <c r="F1741" t="inlineStr">
        <is>
          <t>Sveaskog</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19837-2019</t>
        </is>
      </c>
      <c r="B1742" s="1" t="n">
        <v>43567</v>
      </c>
      <c r="C1742" s="1" t="n">
        <v>45190</v>
      </c>
      <c r="D1742" t="inlineStr">
        <is>
          <t>KALMAR LÄN</t>
        </is>
      </c>
      <c r="E1742" t="inlineStr">
        <is>
          <t>NYBRO</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19744-2019</t>
        </is>
      </c>
      <c r="B1743" s="1" t="n">
        <v>43567</v>
      </c>
      <c r="C1743" s="1" t="n">
        <v>45190</v>
      </c>
      <c r="D1743" t="inlineStr">
        <is>
          <t>KALMAR LÄN</t>
        </is>
      </c>
      <c r="E1743" t="inlineStr">
        <is>
          <t>NYBRO</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19798-2019</t>
        </is>
      </c>
      <c r="B1744" s="1" t="n">
        <v>43567</v>
      </c>
      <c r="C1744" s="1" t="n">
        <v>45190</v>
      </c>
      <c r="D1744" t="inlineStr">
        <is>
          <t>KALMAR LÄN</t>
        </is>
      </c>
      <c r="E1744" t="inlineStr">
        <is>
          <t>KALMAR</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19899-2019</t>
        </is>
      </c>
      <c r="B1745" s="1" t="n">
        <v>43567</v>
      </c>
      <c r="C1745" s="1" t="n">
        <v>45190</v>
      </c>
      <c r="D1745" t="inlineStr">
        <is>
          <t>KALMAR LÄN</t>
        </is>
      </c>
      <c r="E1745" t="inlineStr">
        <is>
          <t>VIMMERBY</t>
        </is>
      </c>
      <c r="F1745" t="inlineStr">
        <is>
          <t>Övriga Aktiebolag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19825-2019</t>
        </is>
      </c>
      <c r="B1746" s="1" t="n">
        <v>43567</v>
      </c>
      <c r="C1746" s="1" t="n">
        <v>45190</v>
      </c>
      <c r="D1746" t="inlineStr">
        <is>
          <t>KALMAR LÄN</t>
        </is>
      </c>
      <c r="E1746" t="inlineStr">
        <is>
          <t>VÄSTERVIK</t>
        </is>
      </c>
      <c r="F1746" t="inlineStr">
        <is>
          <t>Sveaskog</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20225-2019</t>
        </is>
      </c>
      <c r="B1747" s="1" t="n">
        <v>43567</v>
      </c>
      <c r="C1747" s="1" t="n">
        <v>45190</v>
      </c>
      <c r="D1747" t="inlineStr">
        <is>
          <t>KALMAR LÄN</t>
        </is>
      </c>
      <c r="E1747" t="inlineStr">
        <is>
          <t>OSKARSHAMN</t>
        </is>
      </c>
      <c r="G1747" t="n">
        <v>11.4</v>
      </c>
      <c r="H1747" t="n">
        <v>0</v>
      </c>
      <c r="I1747" t="n">
        <v>0</v>
      </c>
      <c r="J1747" t="n">
        <v>0</v>
      </c>
      <c r="K1747" t="n">
        <v>0</v>
      </c>
      <c r="L1747" t="n">
        <v>0</v>
      </c>
      <c r="M1747" t="n">
        <v>0</v>
      </c>
      <c r="N1747" t="n">
        <v>0</v>
      </c>
      <c r="O1747" t="n">
        <v>0</v>
      </c>
      <c r="P1747" t="n">
        <v>0</v>
      </c>
      <c r="Q1747" t="n">
        <v>0</v>
      </c>
      <c r="R1747" s="2" t="inlineStr"/>
    </row>
    <row r="1748" ht="15" customHeight="1">
      <c r="A1748" t="inlineStr">
        <is>
          <t>A 20287-2019</t>
        </is>
      </c>
      <c r="B1748" s="1" t="n">
        <v>43567</v>
      </c>
      <c r="C1748" s="1" t="n">
        <v>45190</v>
      </c>
      <c r="D1748" t="inlineStr">
        <is>
          <t>KALMAR LÄN</t>
        </is>
      </c>
      <c r="E1748" t="inlineStr">
        <is>
          <t>NYBRO</t>
        </is>
      </c>
      <c r="G1748" t="n">
        <v>8.300000000000001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19743-2019</t>
        </is>
      </c>
      <c r="B1749" s="1" t="n">
        <v>43567</v>
      </c>
      <c r="C1749" s="1" t="n">
        <v>45190</v>
      </c>
      <c r="D1749" t="inlineStr">
        <is>
          <t>KALMAR LÄN</t>
        </is>
      </c>
      <c r="E1749" t="inlineStr">
        <is>
          <t>NYBRO</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19838-2019</t>
        </is>
      </c>
      <c r="B1750" s="1" t="n">
        <v>43567</v>
      </c>
      <c r="C1750" s="1" t="n">
        <v>45190</v>
      </c>
      <c r="D1750" t="inlineStr">
        <is>
          <t>KALMAR LÄN</t>
        </is>
      </c>
      <c r="E1750" t="inlineStr">
        <is>
          <t>NYBRO</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19960-2019</t>
        </is>
      </c>
      <c r="B1751" s="1" t="n">
        <v>43569</v>
      </c>
      <c r="C1751" s="1" t="n">
        <v>45190</v>
      </c>
      <c r="D1751" t="inlineStr">
        <is>
          <t>KALMAR LÄN</t>
        </is>
      </c>
      <c r="E1751" t="inlineStr">
        <is>
          <t>EMMABODA</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19959-2019</t>
        </is>
      </c>
      <c r="B1752" s="1" t="n">
        <v>43569</v>
      </c>
      <c r="C1752" s="1" t="n">
        <v>45190</v>
      </c>
      <c r="D1752" t="inlineStr">
        <is>
          <t>KALMAR LÄN</t>
        </is>
      </c>
      <c r="E1752" t="inlineStr">
        <is>
          <t>EMMABODA</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20035-2019</t>
        </is>
      </c>
      <c r="B1753" s="1" t="n">
        <v>43570</v>
      </c>
      <c r="C1753" s="1" t="n">
        <v>45190</v>
      </c>
      <c r="D1753" t="inlineStr">
        <is>
          <t>KALMAR LÄN</t>
        </is>
      </c>
      <c r="E1753" t="inlineStr">
        <is>
          <t>VIMMERBY</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20056-2019</t>
        </is>
      </c>
      <c r="B1754" s="1" t="n">
        <v>43570</v>
      </c>
      <c r="C1754" s="1" t="n">
        <v>45190</v>
      </c>
      <c r="D1754" t="inlineStr">
        <is>
          <t>KALMAR LÄN</t>
        </is>
      </c>
      <c r="E1754" t="inlineStr">
        <is>
          <t>MÖNSTERÅS</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20085-2019</t>
        </is>
      </c>
      <c r="B1755" s="1" t="n">
        <v>43570</v>
      </c>
      <c r="C1755" s="1" t="n">
        <v>45190</v>
      </c>
      <c r="D1755" t="inlineStr">
        <is>
          <t>KALMAR LÄN</t>
        </is>
      </c>
      <c r="E1755" t="inlineStr">
        <is>
          <t>KALMAR</t>
        </is>
      </c>
      <c r="G1755" t="n">
        <v>7.5</v>
      </c>
      <c r="H1755" t="n">
        <v>0</v>
      </c>
      <c r="I1755" t="n">
        <v>0</v>
      </c>
      <c r="J1755" t="n">
        <v>0</v>
      </c>
      <c r="K1755" t="n">
        <v>0</v>
      </c>
      <c r="L1755" t="n">
        <v>0</v>
      </c>
      <c r="M1755" t="n">
        <v>0</v>
      </c>
      <c r="N1755" t="n">
        <v>0</v>
      </c>
      <c r="O1755" t="n">
        <v>0</v>
      </c>
      <c r="P1755" t="n">
        <v>0</v>
      </c>
      <c r="Q1755" t="n">
        <v>0</v>
      </c>
      <c r="R1755" s="2" t="inlineStr"/>
    </row>
    <row r="1756" ht="15" customHeight="1">
      <c r="A1756" t="inlineStr">
        <is>
          <t>A 20259-2019</t>
        </is>
      </c>
      <c r="B1756" s="1" t="n">
        <v>43570</v>
      </c>
      <c r="C1756" s="1" t="n">
        <v>45190</v>
      </c>
      <c r="D1756" t="inlineStr">
        <is>
          <t>KALMAR LÄN</t>
        </is>
      </c>
      <c r="E1756" t="inlineStr">
        <is>
          <t>HULTSFRED</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19982-2019</t>
        </is>
      </c>
      <c r="B1757" s="1" t="n">
        <v>43570</v>
      </c>
      <c r="C1757" s="1" t="n">
        <v>45190</v>
      </c>
      <c r="D1757" t="inlineStr">
        <is>
          <t>KALMAR LÄN</t>
        </is>
      </c>
      <c r="E1757" t="inlineStr">
        <is>
          <t>EMMABODA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20060-2019</t>
        </is>
      </c>
      <c r="B1758" s="1" t="n">
        <v>43570</v>
      </c>
      <c r="C1758" s="1" t="n">
        <v>45190</v>
      </c>
      <c r="D1758" t="inlineStr">
        <is>
          <t>KALMAR LÄN</t>
        </is>
      </c>
      <c r="E1758" t="inlineStr">
        <is>
          <t>NYBRO</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20415-2019</t>
        </is>
      </c>
      <c r="B1759" s="1" t="n">
        <v>43571</v>
      </c>
      <c r="C1759" s="1" t="n">
        <v>45190</v>
      </c>
      <c r="D1759" t="inlineStr">
        <is>
          <t>KALMAR LÄN</t>
        </is>
      </c>
      <c r="E1759" t="inlineStr">
        <is>
          <t>NYBRO</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20312-2019</t>
        </is>
      </c>
      <c r="B1760" s="1" t="n">
        <v>43571</v>
      </c>
      <c r="C1760" s="1" t="n">
        <v>45190</v>
      </c>
      <c r="D1760" t="inlineStr">
        <is>
          <t>KALMAR LÄN</t>
        </is>
      </c>
      <c r="E1760" t="inlineStr">
        <is>
          <t>VIMMERBY</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20426-2019</t>
        </is>
      </c>
      <c r="B1761" s="1" t="n">
        <v>43571</v>
      </c>
      <c r="C1761" s="1" t="n">
        <v>45190</v>
      </c>
      <c r="D1761" t="inlineStr">
        <is>
          <t>KALMAR LÄN</t>
        </is>
      </c>
      <c r="E1761" t="inlineStr">
        <is>
          <t>TORSÅS</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20223-2019</t>
        </is>
      </c>
      <c r="B1762" s="1" t="n">
        <v>43571</v>
      </c>
      <c r="C1762" s="1" t="n">
        <v>45190</v>
      </c>
      <c r="D1762" t="inlineStr">
        <is>
          <t>KALMAR LÄN</t>
        </is>
      </c>
      <c r="E1762" t="inlineStr">
        <is>
          <t>HULTSFRED</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20371-2019</t>
        </is>
      </c>
      <c r="B1763" s="1" t="n">
        <v>43571</v>
      </c>
      <c r="C1763" s="1" t="n">
        <v>45190</v>
      </c>
      <c r="D1763" t="inlineStr">
        <is>
          <t>KALMAR LÄN</t>
        </is>
      </c>
      <c r="E1763" t="inlineStr">
        <is>
          <t>VÄSTERVIK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20459-2019</t>
        </is>
      </c>
      <c r="B1764" s="1" t="n">
        <v>43571</v>
      </c>
      <c r="C1764" s="1" t="n">
        <v>45190</v>
      </c>
      <c r="D1764" t="inlineStr">
        <is>
          <t>KALMAR LÄN</t>
        </is>
      </c>
      <c r="E1764" t="inlineStr">
        <is>
          <t>NYBRO</t>
        </is>
      </c>
      <c r="G1764" t="n">
        <v>45.1</v>
      </c>
      <c r="H1764" t="n">
        <v>0</v>
      </c>
      <c r="I1764" t="n">
        <v>0</v>
      </c>
      <c r="J1764" t="n">
        <v>0</v>
      </c>
      <c r="K1764" t="n">
        <v>0</v>
      </c>
      <c r="L1764" t="n">
        <v>0</v>
      </c>
      <c r="M1764" t="n">
        <v>0</v>
      </c>
      <c r="N1764" t="n">
        <v>0</v>
      </c>
      <c r="O1764" t="n">
        <v>0</v>
      </c>
      <c r="P1764" t="n">
        <v>0</v>
      </c>
      <c r="Q1764" t="n">
        <v>0</v>
      </c>
      <c r="R1764" s="2" t="inlineStr"/>
    </row>
    <row r="1765" ht="15" customHeight="1">
      <c r="A1765" t="inlineStr">
        <is>
          <t>A 20430-2019</t>
        </is>
      </c>
      <c r="B1765" s="1" t="n">
        <v>43571</v>
      </c>
      <c r="C1765" s="1" t="n">
        <v>45190</v>
      </c>
      <c r="D1765" t="inlineStr">
        <is>
          <t>KALMAR LÄN</t>
        </is>
      </c>
      <c r="E1765" t="inlineStr">
        <is>
          <t>MÖNSTERÅS</t>
        </is>
      </c>
      <c r="G1765" t="n">
        <v>2.6</v>
      </c>
      <c r="H1765" t="n">
        <v>0</v>
      </c>
      <c r="I1765" t="n">
        <v>0</v>
      </c>
      <c r="J1765" t="n">
        <v>0</v>
      </c>
      <c r="K1765" t="n">
        <v>0</v>
      </c>
      <c r="L1765" t="n">
        <v>0</v>
      </c>
      <c r="M1765" t="n">
        <v>0</v>
      </c>
      <c r="N1765" t="n">
        <v>0</v>
      </c>
      <c r="O1765" t="n">
        <v>0</v>
      </c>
      <c r="P1765" t="n">
        <v>0</v>
      </c>
      <c r="Q1765" t="n">
        <v>0</v>
      </c>
      <c r="R1765" s="2" t="inlineStr"/>
    </row>
    <row r="1766" ht="15" customHeight="1">
      <c r="A1766" t="inlineStr">
        <is>
          <t>A 20564-2019</t>
        </is>
      </c>
      <c r="B1766" s="1" t="n">
        <v>43572</v>
      </c>
      <c r="C1766" s="1" t="n">
        <v>45190</v>
      </c>
      <c r="D1766" t="inlineStr">
        <is>
          <t>KALMAR LÄN</t>
        </is>
      </c>
      <c r="E1766" t="inlineStr">
        <is>
          <t>HULTSFRED</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20553-2019</t>
        </is>
      </c>
      <c r="B1767" s="1" t="n">
        <v>43572</v>
      </c>
      <c r="C1767" s="1" t="n">
        <v>45190</v>
      </c>
      <c r="D1767" t="inlineStr">
        <is>
          <t>KALMAR LÄN</t>
        </is>
      </c>
      <c r="E1767" t="inlineStr">
        <is>
          <t>HÖGSBY</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20565-2019</t>
        </is>
      </c>
      <c r="B1768" s="1" t="n">
        <v>43572</v>
      </c>
      <c r="C1768" s="1" t="n">
        <v>45190</v>
      </c>
      <c r="D1768" t="inlineStr">
        <is>
          <t>KALMAR LÄN</t>
        </is>
      </c>
      <c r="E1768" t="inlineStr">
        <is>
          <t>VIMMERBY</t>
        </is>
      </c>
      <c r="G1768" t="n">
        <v>5.5</v>
      </c>
      <c r="H1768" t="n">
        <v>0</v>
      </c>
      <c r="I1768" t="n">
        <v>0</v>
      </c>
      <c r="J1768" t="n">
        <v>0</v>
      </c>
      <c r="K1768" t="n">
        <v>0</v>
      </c>
      <c r="L1768" t="n">
        <v>0</v>
      </c>
      <c r="M1768" t="n">
        <v>0</v>
      </c>
      <c r="N1768" t="n">
        <v>0</v>
      </c>
      <c r="O1768" t="n">
        <v>0</v>
      </c>
      <c r="P1768" t="n">
        <v>0</v>
      </c>
      <c r="Q1768" t="n">
        <v>0</v>
      </c>
      <c r="R1768" s="2" t="inlineStr"/>
    </row>
    <row r="1769" ht="15" customHeight="1">
      <c r="A1769" t="inlineStr">
        <is>
          <t>A 20821-2019</t>
        </is>
      </c>
      <c r="B1769" s="1" t="n">
        <v>43573</v>
      </c>
      <c r="C1769" s="1" t="n">
        <v>45190</v>
      </c>
      <c r="D1769" t="inlineStr">
        <is>
          <t>KALMAR LÄN</t>
        </is>
      </c>
      <c r="E1769" t="inlineStr">
        <is>
          <t>HÖGSBY</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20737-2019</t>
        </is>
      </c>
      <c r="B1770" s="1" t="n">
        <v>43573</v>
      </c>
      <c r="C1770" s="1" t="n">
        <v>45190</v>
      </c>
      <c r="D1770" t="inlineStr">
        <is>
          <t>KALMAR LÄN</t>
        </is>
      </c>
      <c r="E1770" t="inlineStr">
        <is>
          <t>NYBRO</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20835-2019</t>
        </is>
      </c>
      <c r="B1771" s="1" t="n">
        <v>43575</v>
      </c>
      <c r="C1771" s="1" t="n">
        <v>45190</v>
      </c>
      <c r="D1771" t="inlineStr">
        <is>
          <t>KALMAR LÄN</t>
        </is>
      </c>
      <c r="E1771" t="inlineStr">
        <is>
          <t>EMMABODA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21142-2019</t>
        </is>
      </c>
      <c r="B1772" s="1" t="n">
        <v>43577</v>
      </c>
      <c r="C1772" s="1" t="n">
        <v>45190</v>
      </c>
      <c r="D1772" t="inlineStr">
        <is>
          <t>KALMAR LÄN</t>
        </is>
      </c>
      <c r="E1772" t="inlineStr">
        <is>
          <t>TORSÅS</t>
        </is>
      </c>
      <c r="G1772" t="n">
        <v>6.9</v>
      </c>
      <c r="H1772" t="n">
        <v>0</v>
      </c>
      <c r="I1772" t="n">
        <v>0</v>
      </c>
      <c r="J1772" t="n">
        <v>0</v>
      </c>
      <c r="K1772" t="n">
        <v>0</v>
      </c>
      <c r="L1772" t="n">
        <v>0</v>
      </c>
      <c r="M1772" t="n">
        <v>0</v>
      </c>
      <c r="N1772" t="n">
        <v>0</v>
      </c>
      <c r="O1772" t="n">
        <v>0</v>
      </c>
      <c r="P1772" t="n">
        <v>0</v>
      </c>
      <c r="Q1772" t="n">
        <v>0</v>
      </c>
      <c r="R1772" s="2" t="inlineStr"/>
    </row>
    <row r="1773" ht="15" customHeight="1">
      <c r="A1773" t="inlineStr">
        <is>
          <t>A 21137-2019</t>
        </is>
      </c>
      <c r="B1773" s="1" t="n">
        <v>43577</v>
      </c>
      <c r="C1773" s="1" t="n">
        <v>45190</v>
      </c>
      <c r="D1773" t="inlineStr">
        <is>
          <t>KALMAR LÄN</t>
        </is>
      </c>
      <c r="E1773" t="inlineStr">
        <is>
          <t>TORSÅS</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21075-2019</t>
        </is>
      </c>
      <c r="B1774" s="1" t="n">
        <v>43578</v>
      </c>
      <c r="C1774" s="1" t="n">
        <v>45190</v>
      </c>
      <c r="D1774" t="inlineStr">
        <is>
          <t>KALMAR LÄN</t>
        </is>
      </c>
      <c r="E1774" t="inlineStr">
        <is>
          <t>KALMAR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20900-2019</t>
        </is>
      </c>
      <c r="B1775" s="1" t="n">
        <v>43578</v>
      </c>
      <c r="C1775" s="1" t="n">
        <v>45190</v>
      </c>
      <c r="D1775" t="inlineStr">
        <is>
          <t>KALMAR LÄN</t>
        </is>
      </c>
      <c r="E1775" t="inlineStr">
        <is>
          <t>EMMABODA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20961-2019</t>
        </is>
      </c>
      <c r="B1776" s="1" t="n">
        <v>43578</v>
      </c>
      <c r="C1776" s="1" t="n">
        <v>45190</v>
      </c>
      <c r="D1776" t="inlineStr">
        <is>
          <t>KALMAR LÄN</t>
        </is>
      </c>
      <c r="E1776" t="inlineStr">
        <is>
          <t>HÖGSBY</t>
        </is>
      </c>
      <c r="G1776" t="n">
        <v>9.1</v>
      </c>
      <c r="H1776" t="n">
        <v>0</v>
      </c>
      <c r="I1776" t="n">
        <v>0</v>
      </c>
      <c r="J1776" t="n">
        <v>0</v>
      </c>
      <c r="K1776" t="n">
        <v>0</v>
      </c>
      <c r="L1776" t="n">
        <v>0</v>
      </c>
      <c r="M1776" t="n">
        <v>0</v>
      </c>
      <c r="N1776" t="n">
        <v>0</v>
      </c>
      <c r="O1776" t="n">
        <v>0</v>
      </c>
      <c r="P1776" t="n">
        <v>0</v>
      </c>
      <c r="Q1776" t="n">
        <v>0</v>
      </c>
      <c r="R1776" s="2" t="inlineStr"/>
    </row>
    <row r="1777" ht="15" customHeight="1">
      <c r="A1777" t="inlineStr">
        <is>
          <t>A 21304-2019</t>
        </is>
      </c>
      <c r="B1777" s="1" t="n">
        <v>43578</v>
      </c>
      <c r="C1777" s="1" t="n">
        <v>45190</v>
      </c>
      <c r="D1777" t="inlineStr">
        <is>
          <t>KALMAR LÄN</t>
        </is>
      </c>
      <c r="E1777" t="inlineStr">
        <is>
          <t>KALMAR</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20912-2019</t>
        </is>
      </c>
      <c r="B1778" s="1" t="n">
        <v>43578</v>
      </c>
      <c r="C1778" s="1" t="n">
        <v>45190</v>
      </c>
      <c r="D1778" t="inlineStr">
        <is>
          <t>KALMAR LÄN</t>
        </is>
      </c>
      <c r="E1778" t="inlineStr">
        <is>
          <t>EMMABODA</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21008-2019</t>
        </is>
      </c>
      <c r="B1779" s="1" t="n">
        <v>43578</v>
      </c>
      <c r="C1779" s="1" t="n">
        <v>45190</v>
      </c>
      <c r="D1779" t="inlineStr">
        <is>
          <t>KALMAR LÄN</t>
        </is>
      </c>
      <c r="E1779" t="inlineStr">
        <is>
          <t>HULTSFRED</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21240-2019</t>
        </is>
      </c>
      <c r="B1780" s="1" t="n">
        <v>43578</v>
      </c>
      <c r="C1780" s="1" t="n">
        <v>45190</v>
      </c>
      <c r="D1780" t="inlineStr">
        <is>
          <t>KALMAR LÄN</t>
        </is>
      </c>
      <c r="E1780" t="inlineStr">
        <is>
          <t>TORSÅS</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21074-2019</t>
        </is>
      </c>
      <c r="B1781" s="1" t="n">
        <v>43578</v>
      </c>
      <c r="C1781" s="1" t="n">
        <v>45190</v>
      </c>
      <c r="D1781" t="inlineStr">
        <is>
          <t>KALMAR LÄN</t>
        </is>
      </c>
      <c r="E1781" t="inlineStr">
        <is>
          <t>KALMAR</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21197-2019</t>
        </is>
      </c>
      <c r="B1782" s="1" t="n">
        <v>43579</v>
      </c>
      <c r="C1782" s="1" t="n">
        <v>45190</v>
      </c>
      <c r="D1782" t="inlineStr">
        <is>
          <t>KALMAR LÄN</t>
        </is>
      </c>
      <c r="E1782" t="inlineStr">
        <is>
          <t>EMMABODA</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21219-2019</t>
        </is>
      </c>
      <c r="B1783" s="1" t="n">
        <v>43579</v>
      </c>
      <c r="C1783" s="1" t="n">
        <v>45190</v>
      </c>
      <c r="D1783" t="inlineStr">
        <is>
          <t>KALMAR LÄN</t>
        </is>
      </c>
      <c r="E1783" t="inlineStr">
        <is>
          <t>HÖGSBY</t>
        </is>
      </c>
      <c r="G1783" t="n">
        <v>0.2</v>
      </c>
      <c r="H1783" t="n">
        <v>0</v>
      </c>
      <c r="I1783" t="n">
        <v>0</v>
      </c>
      <c r="J1783" t="n">
        <v>0</v>
      </c>
      <c r="K1783" t="n">
        <v>0</v>
      </c>
      <c r="L1783" t="n">
        <v>0</v>
      </c>
      <c r="M1783" t="n">
        <v>0</v>
      </c>
      <c r="N1783" t="n">
        <v>0</v>
      </c>
      <c r="O1783" t="n">
        <v>0</v>
      </c>
      <c r="P1783" t="n">
        <v>0</v>
      </c>
      <c r="Q1783" t="n">
        <v>0</v>
      </c>
      <c r="R1783" s="2" t="inlineStr"/>
    </row>
    <row r="1784" ht="15" customHeight="1">
      <c r="A1784" t="inlineStr">
        <is>
          <t>A 21134-2019</t>
        </is>
      </c>
      <c r="B1784" s="1" t="n">
        <v>43579</v>
      </c>
      <c r="C1784" s="1" t="n">
        <v>45190</v>
      </c>
      <c r="D1784" t="inlineStr">
        <is>
          <t>KALMAR LÄN</t>
        </is>
      </c>
      <c r="E1784" t="inlineStr">
        <is>
          <t>EMMABODA</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21187-2019</t>
        </is>
      </c>
      <c r="B1785" s="1" t="n">
        <v>43579</v>
      </c>
      <c r="C1785" s="1" t="n">
        <v>45190</v>
      </c>
      <c r="D1785" t="inlineStr">
        <is>
          <t>KALMAR LÄN</t>
        </is>
      </c>
      <c r="E1785" t="inlineStr">
        <is>
          <t>MÖNSTERÅS</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21216-2019</t>
        </is>
      </c>
      <c r="B1786" s="1" t="n">
        <v>43579</v>
      </c>
      <c r="C1786" s="1" t="n">
        <v>45190</v>
      </c>
      <c r="D1786" t="inlineStr">
        <is>
          <t>KALMAR LÄN</t>
        </is>
      </c>
      <c r="E1786" t="inlineStr">
        <is>
          <t>NYBRO</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21223-2019</t>
        </is>
      </c>
      <c r="B1787" s="1" t="n">
        <v>43579</v>
      </c>
      <c r="C1787" s="1" t="n">
        <v>45190</v>
      </c>
      <c r="D1787" t="inlineStr">
        <is>
          <t>KALMAR LÄN</t>
        </is>
      </c>
      <c r="E1787" t="inlineStr">
        <is>
          <t>NYBRO</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21311-2019</t>
        </is>
      </c>
      <c r="B1788" s="1" t="n">
        <v>43579</v>
      </c>
      <c r="C1788" s="1" t="n">
        <v>45190</v>
      </c>
      <c r="D1788" t="inlineStr">
        <is>
          <t>KALMAR LÄN</t>
        </is>
      </c>
      <c r="E1788" t="inlineStr">
        <is>
          <t>NYBRO</t>
        </is>
      </c>
      <c r="G1788" t="n">
        <v>14.3</v>
      </c>
      <c r="H1788" t="n">
        <v>0</v>
      </c>
      <c r="I1788" t="n">
        <v>0</v>
      </c>
      <c r="J1788" t="n">
        <v>0</v>
      </c>
      <c r="K1788" t="n">
        <v>0</v>
      </c>
      <c r="L1788" t="n">
        <v>0</v>
      </c>
      <c r="M1788" t="n">
        <v>0</v>
      </c>
      <c r="N1788" t="n">
        <v>0</v>
      </c>
      <c r="O1788" t="n">
        <v>0</v>
      </c>
      <c r="P1788" t="n">
        <v>0</v>
      </c>
      <c r="Q1788" t="n">
        <v>0</v>
      </c>
      <c r="R1788" s="2" t="inlineStr"/>
    </row>
    <row r="1789" ht="15" customHeight="1">
      <c r="A1789" t="inlineStr">
        <is>
          <t>A 21323-2019</t>
        </is>
      </c>
      <c r="B1789" s="1" t="n">
        <v>43579</v>
      </c>
      <c r="C1789" s="1" t="n">
        <v>45190</v>
      </c>
      <c r="D1789" t="inlineStr">
        <is>
          <t>KALMAR LÄN</t>
        </is>
      </c>
      <c r="E1789" t="inlineStr">
        <is>
          <t>OSKARSHAMN</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21366-2019</t>
        </is>
      </c>
      <c r="B1790" s="1" t="n">
        <v>43579</v>
      </c>
      <c r="C1790" s="1" t="n">
        <v>45190</v>
      </c>
      <c r="D1790" t="inlineStr">
        <is>
          <t>KALMAR LÄN</t>
        </is>
      </c>
      <c r="E1790" t="inlineStr">
        <is>
          <t>HULTSFRED</t>
        </is>
      </c>
      <c r="G1790" t="n">
        <v>8.800000000000001</v>
      </c>
      <c r="H1790" t="n">
        <v>0</v>
      </c>
      <c r="I1790" t="n">
        <v>0</v>
      </c>
      <c r="J1790" t="n">
        <v>0</v>
      </c>
      <c r="K1790" t="n">
        <v>0</v>
      </c>
      <c r="L1790" t="n">
        <v>0</v>
      </c>
      <c r="M1790" t="n">
        <v>0</v>
      </c>
      <c r="N1790" t="n">
        <v>0</v>
      </c>
      <c r="O1790" t="n">
        <v>0</v>
      </c>
      <c r="P1790" t="n">
        <v>0</v>
      </c>
      <c r="Q1790" t="n">
        <v>0</v>
      </c>
      <c r="R1790" s="2" t="inlineStr"/>
    </row>
    <row r="1791" ht="15" customHeight="1">
      <c r="A1791" t="inlineStr">
        <is>
          <t>A 21393-2019</t>
        </is>
      </c>
      <c r="B1791" s="1" t="n">
        <v>43579</v>
      </c>
      <c r="C1791" s="1" t="n">
        <v>45190</v>
      </c>
      <c r="D1791" t="inlineStr">
        <is>
          <t>KALMAR LÄN</t>
        </is>
      </c>
      <c r="E1791" t="inlineStr">
        <is>
          <t>HÖGSBY</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21133-2019</t>
        </is>
      </c>
      <c r="B1792" s="1" t="n">
        <v>43579</v>
      </c>
      <c r="C1792" s="1" t="n">
        <v>45190</v>
      </c>
      <c r="D1792" t="inlineStr">
        <is>
          <t>KALMAR LÄN</t>
        </is>
      </c>
      <c r="E1792" t="inlineStr">
        <is>
          <t>EMMABODA</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21140-2019</t>
        </is>
      </c>
      <c r="B1793" s="1" t="n">
        <v>43579</v>
      </c>
      <c r="C1793" s="1" t="n">
        <v>45190</v>
      </c>
      <c r="D1793" t="inlineStr">
        <is>
          <t>KALMAR LÄN</t>
        </is>
      </c>
      <c r="E1793" t="inlineStr">
        <is>
          <t>MÖNSTERÅS</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21203-2019</t>
        </is>
      </c>
      <c r="B1794" s="1" t="n">
        <v>43579</v>
      </c>
      <c r="C1794" s="1" t="n">
        <v>45190</v>
      </c>
      <c r="D1794" t="inlineStr">
        <is>
          <t>KALMAR LÄN</t>
        </is>
      </c>
      <c r="E1794" t="inlineStr">
        <is>
          <t>TORSÅS</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21294-2019</t>
        </is>
      </c>
      <c r="B1795" s="1" t="n">
        <v>43579</v>
      </c>
      <c r="C1795" s="1" t="n">
        <v>45190</v>
      </c>
      <c r="D1795" t="inlineStr">
        <is>
          <t>KALMAR LÄN</t>
        </is>
      </c>
      <c r="E1795" t="inlineStr">
        <is>
          <t>NYBRO</t>
        </is>
      </c>
      <c r="G1795" t="n">
        <v>22.6</v>
      </c>
      <c r="H1795" t="n">
        <v>0</v>
      </c>
      <c r="I1795" t="n">
        <v>0</v>
      </c>
      <c r="J1795" t="n">
        <v>0</v>
      </c>
      <c r="K1795" t="n">
        <v>0</v>
      </c>
      <c r="L1795" t="n">
        <v>0</v>
      </c>
      <c r="M1795" t="n">
        <v>0</v>
      </c>
      <c r="N1795" t="n">
        <v>0</v>
      </c>
      <c r="O1795" t="n">
        <v>0</v>
      </c>
      <c r="P1795" t="n">
        <v>0</v>
      </c>
      <c r="Q1795" t="n">
        <v>0</v>
      </c>
      <c r="R1795" s="2" t="inlineStr"/>
    </row>
    <row r="1796" ht="15" customHeight="1">
      <c r="A1796" t="inlineStr">
        <is>
          <t>A 21315-2019</t>
        </is>
      </c>
      <c r="B1796" s="1" t="n">
        <v>43579</v>
      </c>
      <c r="C1796" s="1" t="n">
        <v>45190</v>
      </c>
      <c r="D1796" t="inlineStr">
        <is>
          <t>KALMAR LÄN</t>
        </is>
      </c>
      <c r="E1796" t="inlineStr">
        <is>
          <t>NYBRO</t>
        </is>
      </c>
      <c r="G1796" t="n">
        <v>9.300000000000001</v>
      </c>
      <c r="H1796" t="n">
        <v>0</v>
      </c>
      <c r="I1796" t="n">
        <v>0</v>
      </c>
      <c r="J1796" t="n">
        <v>0</v>
      </c>
      <c r="K1796" t="n">
        <v>0</v>
      </c>
      <c r="L1796" t="n">
        <v>0</v>
      </c>
      <c r="M1796" t="n">
        <v>0</v>
      </c>
      <c r="N1796" t="n">
        <v>0</v>
      </c>
      <c r="O1796" t="n">
        <v>0</v>
      </c>
      <c r="P1796" t="n">
        <v>0</v>
      </c>
      <c r="Q1796" t="n">
        <v>0</v>
      </c>
      <c r="R1796" s="2" t="inlineStr"/>
    </row>
    <row r="1797" ht="15" customHeight="1">
      <c r="A1797" t="inlineStr">
        <is>
          <t>A 21138-2019</t>
        </is>
      </c>
      <c r="B1797" s="1" t="n">
        <v>43579</v>
      </c>
      <c r="C1797" s="1" t="n">
        <v>45190</v>
      </c>
      <c r="D1797" t="inlineStr">
        <is>
          <t>KALMAR LÄN</t>
        </is>
      </c>
      <c r="E1797" t="inlineStr">
        <is>
          <t>TORSÅS</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21202-2019</t>
        </is>
      </c>
      <c r="B1798" s="1" t="n">
        <v>43579</v>
      </c>
      <c r="C1798" s="1" t="n">
        <v>45190</v>
      </c>
      <c r="D1798" t="inlineStr">
        <is>
          <t>KALMAR LÄN</t>
        </is>
      </c>
      <c r="E1798" t="inlineStr">
        <is>
          <t>TORSÅS</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21220-2019</t>
        </is>
      </c>
      <c r="B1799" s="1" t="n">
        <v>43579</v>
      </c>
      <c r="C1799" s="1" t="n">
        <v>45190</v>
      </c>
      <c r="D1799" t="inlineStr">
        <is>
          <t>KALMAR LÄN</t>
        </is>
      </c>
      <c r="E1799" t="inlineStr">
        <is>
          <t>NYBRO</t>
        </is>
      </c>
      <c r="G1799" t="n">
        <v>21.6</v>
      </c>
      <c r="H1799" t="n">
        <v>0</v>
      </c>
      <c r="I1799" t="n">
        <v>0</v>
      </c>
      <c r="J1799" t="n">
        <v>0</v>
      </c>
      <c r="K1799" t="n">
        <v>0</v>
      </c>
      <c r="L1799" t="n">
        <v>0</v>
      </c>
      <c r="M1799" t="n">
        <v>0</v>
      </c>
      <c r="N1799" t="n">
        <v>0</v>
      </c>
      <c r="O1799" t="n">
        <v>0</v>
      </c>
      <c r="P1799" t="n">
        <v>0</v>
      </c>
      <c r="Q1799" t="n">
        <v>0</v>
      </c>
      <c r="R1799" s="2" t="inlineStr"/>
    </row>
    <row r="1800" ht="15" customHeight="1">
      <c r="A1800" t="inlineStr">
        <is>
          <t>A 21319-2019</t>
        </is>
      </c>
      <c r="B1800" s="1" t="n">
        <v>43579</v>
      </c>
      <c r="C1800" s="1" t="n">
        <v>45190</v>
      </c>
      <c r="D1800" t="inlineStr">
        <is>
          <t>KALMAR LÄN</t>
        </is>
      </c>
      <c r="E1800" t="inlineStr">
        <is>
          <t>NYBRO</t>
        </is>
      </c>
      <c r="G1800" t="n">
        <v>11.7</v>
      </c>
      <c r="H1800" t="n">
        <v>0</v>
      </c>
      <c r="I1800" t="n">
        <v>0</v>
      </c>
      <c r="J1800" t="n">
        <v>0</v>
      </c>
      <c r="K1800" t="n">
        <v>0</v>
      </c>
      <c r="L1800" t="n">
        <v>0</v>
      </c>
      <c r="M1800" t="n">
        <v>0</v>
      </c>
      <c r="N1800" t="n">
        <v>0</v>
      </c>
      <c r="O1800" t="n">
        <v>0</v>
      </c>
      <c r="P1800" t="n">
        <v>0</v>
      </c>
      <c r="Q1800" t="n">
        <v>0</v>
      </c>
      <c r="R1800" s="2" t="inlineStr"/>
    </row>
    <row r="1801" ht="15" customHeight="1">
      <c r="A1801" t="inlineStr">
        <is>
          <t>A 21358-2019</t>
        </is>
      </c>
      <c r="B1801" s="1" t="n">
        <v>43579</v>
      </c>
      <c r="C1801" s="1" t="n">
        <v>45190</v>
      </c>
      <c r="D1801" t="inlineStr">
        <is>
          <t>KALMAR LÄN</t>
        </is>
      </c>
      <c r="E1801" t="inlineStr">
        <is>
          <t>NYBRO</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21504-2019</t>
        </is>
      </c>
      <c r="B1802" s="1" t="n">
        <v>43580</v>
      </c>
      <c r="C1802" s="1" t="n">
        <v>45190</v>
      </c>
      <c r="D1802" t="inlineStr">
        <is>
          <t>KALMAR LÄN</t>
        </is>
      </c>
      <c r="E1802" t="inlineStr">
        <is>
          <t>HÖGSBY</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21557-2019</t>
        </is>
      </c>
      <c r="B1803" s="1" t="n">
        <v>43580</v>
      </c>
      <c r="C1803" s="1" t="n">
        <v>45190</v>
      </c>
      <c r="D1803" t="inlineStr">
        <is>
          <t>KALMAR LÄN</t>
        </is>
      </c>
      <c r="E1803" t="inlineStr">
        <is>
          <t>VIMMERBY</t>
        </is>
      </c>
      <c r="G1803" t="n">
        <v>13.8</v>
      </c>
      <c r="H1803" t="n">
        <v>0</v>
      </c>
      <c r="I1803" t="n">
        <v>0</v>
      </c>
      <c r="J1803" t="n">
        <v>0</v>
      </c>
      <c r="K1803" t="n">
        <v>0</v>
      </c>
      <c r="L1803" t="n">
        <v>0</v>
      </c>
      <c r="M1803" t="n">
        <v>0</v>
      </c>
      <c r="N1803" t="n">
        <v>0</v>
      </c>
      <c r="O1803" t="n">
        <v>0</v>
      </c>
      <c r="P1803" t="n">
        <v>0</v>
      </c>
      <c r="Q1803" t="n">
        <v>0</v>
      </c>
      <c r="R1803" s="2" t="inlineStr"/>
    </row>
    <row r="1804" ht="15" customHeight="1">
      <c r="A1804" t="inlineStr">
        <is>
          <t>A 21443-2019</t>
        </is>
      </c>
      <c r="B1804" s="1" t="n">
        <v>43580</v>
      </c>
      <c r="C1804" s="1" t="n">
        <v>45190</v>
      </c>
      <c r="D1804" t="inlineStr">
        <is>
          <t>KALMAR LÄN</t>
        </is>
      </c>
      <c r="E1804" t="inlineStr">
        <is>
          <t>EMMABODA</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21439-2019</t>
        </is>
      </c>
      <c r="B1805" s="1" t="n">
        <v>43580</v>
      </c>
      <c r="C1805" s="1" t="n">
        <v>45190</v>
      </c>
      <c r="D1805" t="inlineStr">
        <is>
          <t>KALMAR LÄN</t>
        </is>
      </c>
      <c r="E1805" t="inlineStr">
        <is>
          <t>EMMABODA</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21500-2019</t>
        </is>
      </c>
      <c r="B1806" s="1" t="n">
        <v>43580</v>
      </c>
      <c r="C1806" s="1" t="n">
        <v>45190</v>
      </c>
      <c r="D1806" t="inlineStr">
        <is>
          <t>KALMAR LÄN</t>
        </is>
      </c>
      <c r="E1806" t="inlineStr">
        <is>
          <t>VIMMERBY</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21599-2019</t>
        </is>
      </c>
      <c r="B1807" s="1" t="n">
        <v>43581</v>
      </c>
      <c r="C1807" s="1" t="n">
        <v>45190</v>
      </c>
      <c r="D1807" t="inlineStr">
        <is>
          <t>KALMAR LÄN</t>
        </is>
      </c>
      <c r="E1807" t="inlineStr">
        <is>
          <t>KALMAR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21688-2019</t>
        </is>
      </c>
      <c r="B1808" s="1" t="n">
        <v>43581</v>
      </c>
      <c r="C1808" s="1" t="n">
        <v>45190</v>
      </c>
      <c r="D1808" t="inlineStr">
        <is>
          <t>KALMAR LÄN</t>
        </is>
      </c>
      <c r="E1808" t="inlineStr">
        <is>
          <t>VIMMERBY</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21657-2019</t>
        </is>
      </c>
      <c r="B1809" s="1" t="n">
        <v>43581</v>
      </c>
      <c r="C1809" s="1" t="n">
        <v>45190</v>
      </c>
      <c r="D1809" t="inlineStr">
        <is>
          <t>KALMAR LÄN</t>
        </is>
      </c>
      <c r="E1809" t="inlineStr">
        <is>
          <t>EMMABODA</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21667-2019</t>
        </is>
      </c>
      <c r="B1810" s="1" t="n">
        <v>43581</v>
      </c>
      <c r="C1810" s="1" t="n">
        <v>45190</v>
      </c>
      <c r="D1810" t="inlineStr">
        <is>
          <t>KALMAR LÄN</t>
        </is>
      </c>
      <c r="E1810" t="inlineStr">
        <is>
          <t>HÖGSBY</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21783-2019</t>
        </is>
      </c>
      <c r="B1811" s="1" t="n">
        <v>43581</v>
      </c>
      <c r="C1811" s="1" t="n">
        <v>45190</v>
      </c>
      <c r="D1811" t="inlineStr">
        <is>
          <t>KALMAR LÄN</t>
        </is>
      </c>
      <c r="E1811" t="inlineStr">
        <is>
          <t>KALMAR</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21821-2019</t>
        </is>
      </c>
      <c r="B1812" s="1" t="n">
        <v>43583</v>
      </c>
      <c r="C1812" s="1" t="n">
        <v>45190</v>
      </c>
      <c r="D1812" t="inlineStr">
        <is>
          <t>KALMAR LÄN</t>
        </is>
      </c>
      <c r="E1812" t="inlineStr">
        <is>
          <t>NYBRO</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21822-2019</t>
        </is>
      </c>
      <c r="B1813" s="1" t="n">
        <v>43583</v>
      </c>
      <c r="C1813" s="1" t="n">
        <v>45190</v>
      </c>
      <c r="D1813" t="inlineStr">
        <is>
          <t>KALMAR LÄN</t>
        </is>
      </c>
      <c r="E1813" t="inlineStr">
        <is>
          <t>NYBRO</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21861-2019</t>
        </is>
      </c>
      <c r="B1814" s="1" t="n">
        <v>43584</v>
      </c>
      <c r="C1814" s="1" t="n">
        <v>45190</v>
      </c>
      <c r="D1814" t="inlineStr">
        <is>
          <t>KALMAR LÄN</t>
        </is>
      </c>
      <c r="E1814" t="inlineStr">
        <is>
          <t>HULTSFRED</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21932-2019</t>
        </is>
      </c>
      <c r="B1815" s="1" t="n">
        <v>43584</v>
      </c>
      <c r="C1815" s="1" t="n">
        <v>45190</v>
      </c>
      <c r="D1815" t="inlineStr">
        <is>
          <t>KALMAR LÄN</t>
        </is>
      </c>
      <c r="E1815" t="inlineStr">
        <is>
          <t>HULTSFRED</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21940-2019</t>
        </is>
      </c>
      <c r="B1816" s="1" t="n">
        <v>43584</v>
      </c>
      <c r="C1816" s="1" t="n">
        <v>45190</v>
      </c>
      <c r="D1816" t="inlineStr">
        <is>
          <t>KALMAR LÄN</t>
        </is>
      </c>
      <c r="E1816" t="inlineStr">
        <is>
          <t>HULTSFRED</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22023-2019</t>
        </is>
      </c>
      <c r="B1817" s="1" t="n">
        <v>43584</v>
      </c>
      <c r="C1817" s="1" t="n">
        <v>45190</v>
      </c>
      <c r="D1817" t="inlineStr">
        <is>
          <t>KALMAR LÄN</t>
        </is>
      </c>
      <c r="E1817" t="inlineStr">
        <is>
          <t>HÖGSBY</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22047-2019</t>
        </is>
      </c>
      <c r="B1818" s="1" t="n">
        <v>43584</v>
      </c>
      <c r="C1818" s="1" t="n">
        <v>45190</v>
      </c>
      <c r="D1818" t="inlineStr">
        <is>
          <t>KALMAR LÄN</t>
        </is>
      </c>
      <c r="E1818" t="inlineStr">
        <is>
          <t>KALMAR</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21909-2019</t>
        </is>
      </c>
      <c r="B1819" s="1" t="n">
        <v>43584</v>
      </c>
      <c r="C1819" s="1" t="n">
        <v>45190</v>
      </c>
      <c r="D1819" t="inlineStr">
        <is>
          <t>KALMAR LÄN</t>
        </is>
      </c>
      <c r="E1819" t="inlineStr">
        <is>
          <t>MÖNSTERÅS</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22055-2019</t>
        </is>
      </c>
      <c r="B1820" s="1" t="n">
        <v>43584</v>
      </c>
      <c r="C1820" s="1" t="n">
        <v>45190</v>
      </c>
      <c r="D1820" t="inlineStr">
        <is>
          <t>KALMAR LÄN</t>
        </is>
      </c>
      <c r="E1820" t="inlineStr">
        <is>
          <t>HULTSFRED</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21926-2019</t>
        </is>
      </c>
      <c r="B1821" s="1" t="n">
        <v>43584</v>
      </c>
      <c r="C1821" s="1" t="n">
        <v>45190</v>
      </c>
      <c r="D1821" t="inlineStr">
        <is>
          <t>KALMAR LÄN</t>
        </is>
      </c>
      <c r="E1821" t="inlineStr">
        <is>
          <t>MÖNSTERÅS</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21868-2019</t>
        </is>
      </c>
      <c r="B1822" s="1" t="n">
        <v>43584</v>
      </c>
      <c r="C1822" s="1" t="n">
        <v>45190</v>
      </c>
      <c r="D1822" t="inlineStr">
        <is>
          <t>KALMAR LÄN</t>
        </is>
      </c>
      <c r="E1822" t="inlineStr">
        <is>
          <t>HULTSFRED</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21912-2019</t>
        </is>
      </c>
      <c r="B1823" s="1" t="n">
        <v>43584</v>
      </c>
      <c r="C1823" s="1" t="n">
        <v>45190</v>
      </c>
      <c r="D1823" t="inlineStr">
        <is>
          <t>KALMAR LÄN</t>
        </is>
      </c>
      <c r="E1823" t="inlineStr">
        <is>
          <t>MÖNSTERÅS</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22062-2019</t>
        </is>
      </c>
      <c r="B1824" s="1" t="n">
        <v>43584</v>
      </c>
      <c r="C1824" s="1" t="n">
        <v>45190</v>
      </c>
      <c r="D1824" t="inlineStr">
        <is>
          <t>KALMAR LÄN</t>
        </is>
      </c>
      <c r="E1824" t="inlineStr">
        <is>
          <t>HÖGSBY</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22154-2019</t>
        </is>
      </c>
      <c r="B1825" s="1" t="n">
        <v>43585</v>
      </c>
      <c r="C1825" s="1" t="n">
        <v>45190</v>
      </c>
      <c r="D1825" t="inlineStr">
        <is>
          <t>KALMAR LÄN</t>
        </is>
      </c>
      <c r="E1825" t="inlineStr">
        <is>
          <t>HULTSFRED</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22155-2019</t>
        </is>
      </c>
      <c r="B1826" s="1" t="n">
        <v>43585</v>
      </c>
      <c r="C1826" s="1" t="n">
        <v>45190</v>
      </c>
      <c r="D1826" t="inlineStr">
        <is>
          <t>KALMAR LÄN</t>
        </is>
      </c>
      <c r="E1826" t="inlineStr">
        <is>
          <t>KALMAR</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22355-2019</t>
        </is>
      </c>
      <c r="B1827" s="1" t="n">
        <v>43587</v>
      </c>
      <c r="C1827" s="1" t="n">
        <v>45190</v>
      </c>
      <c r="D1827" t="inlineStr">
        <is>
          <t>KALMAR LÄN</t>
        </is>
      </c>
      <c r="E1827" t="inlineStr">
        <is>
          <t>NYBRO</t>
        </is>
      </c>
      <c r="G1827" t="n">
        <v>6</v>
      </c>
      <c r="H1827" t="n">
        <v>0</v>
      </c>
      <c r="I1827" t="n">
        <v>0</v>
      </c>
      <c r="J1827" t="n">
        <v>0</v>
      </c>
      <c r="K1827" t="n">
        <v>0</v>
      </c>
      <c r="L1827" t="n">
        <v>0</v>
      </c>
      <c r="M1827" t="n">
        <v>0</v>
      </c>
      <c r="N1827" t="n">
        <v>0</v>
      </c>
      <c r="O1827" t="n">
        <v>0</v>
      </c>
      <c r="P1827" t="n">
        <v>0</v>
      </c>
      <c r="Q1827" t="n">
        <v>0</v>
      </c>
      <c r="R1827" s="2" t="inlineStr"/>
    </row>
    <row r="1828" ht="15" customHeight="1">
      <c r="A1828" t="inlineStr">
        <is>
          <t>A 22362-2019</t>
        </is>
      </c>
      <c r="B1828" s="1" t="n">
        <v>43587</v>
      </c>
      <c r="C1828" s="1" t="n">
        <v>45190</v>
      </c>
      <c r="D1828" t="inlineStr">
        <is>
          <t>KALMAR LÄN</t>
        </is>
      </c>
      <c r="E1828" t="inlineStr">
        <is>
          <t>NYBRO</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22402-2019</t>
        </is>
      </c>
      <c r="B1829" s="1" t="n">
        <v>43587</v>
      </c>
      <c r="C1829" s="1" t="n">
        <v>45190</v>
      </c>
      <c r="D1829" t="inlineStr">
        <is>
          <t>KALMAR LÄN</t>
        </is>
      </c>
      <c r="E1829" t="inlineStr">
        <is>
          <t>EMMABODA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22485-2019</t>
        </is>
      </c>
      <c r="B1830" s="1" t="n">
        <v>43587</v>
      </c>
      <c r="C1830" s="1" t="n">
        <v>45190</v>
      </c>
      <c r="D1830" t="inlineStr">
        <is>
          <t>KALMAR LÄN</t>
        </is>
      </c>
      <c r="E1830" t="inlineStr">
        <is>
          <t>NYBRO</t>
        </is>
      </c>
      <c r="G1830" t="n">
        <v>2.8</v>
      </c>
      <c r="H1830" t="n">
        <v>0</v>
      </c>
      <c r="I1830" t="n">
        <v>0</v>
      </c>
      <c r="J1830" t="n">
        <v>0</v>
      </c>
      <c r="K1830" t="n">
        <v>0</v>
      </c>
      <c r="L1830" t="n">
        <v>0</v>
      </c>
      <c r="M1830" t="n">
        <v>0</v>
      </c>
      <c r="N1830" t="n">
        <v>0</v>
      </c>
      <c r="O1830" t="n">
        <v>0</v>
      </c>
      <c r="P1830" t="n">
        <v>0</v>
      </c>
      <c r="Q1830" t="n">
        <v>0</v>
      </c>
      <c r="R1830" s="2" t="inlineStr"/>
    </row>
    <row r="1831" ht="15" customHeight="1">
      <c r="A1831" t="inlineStr">
        <is>
          <t>A 22505-2019</t>
        </is>
      </c>
      <c r="B1831" s="1" t="n">
        <v>43587</v>
      </c>
      <c r="C1831" s="1" t="n">
        <v>45190</v>
      </c>
      <c r="D1831" t="inlineStr">
        <is>
          <t>KALMAR LÄN</t>
        </is>
      </c>
      <c r="E1831" t="inlineStr">
        <is>
          <t>NYBRO</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22572-2019</t>
        </is>
      </c>
      <c r="B1832" s="1" t="n">
        <v>43587</v>
      </c>
      <c r="C1832" s="1" t="n">
        <v>45190</v>
      </c>
      <c r="D1832" t="inlineStr">
        <is>
          <t>KALMAR LÄN</t>
        </is>
      </c>
      <c r="E1832" t="inlineStr">
        <is>
          <t>HÖGSBY</t>
        </is>
      </c>
      <c r="G1832" t="n">
        <v>3.9</v>
      </c>
      <c r="H1832" t="n">
        <v>0</v>
      </c>
      <c r="I1832" t="n">
        <v>0</v>
      </c>
      <c r="J1832" t="n">
        <v>0</v>
      </c>
      <c r="K1832" t="n">
        <v>0</v>
      </c>
      <c r="L1832" t="n">
        <v>0</v>
      </c>
      <c r="M1832" t="n">
        <v>0</v>
      </c>
      <c r="N1832" t="n">
        <v>0</v>
      </c>
      <c r="O1832" t="n">
        <v>0</v>
      </c>
      <c r="P1832" t="n">
        <v>0</v>
      </c>
      <c r="Q1832" t="n">
        <v>0</v>
      </c>
      <c r="R1832" s="2" t="inlineStr"/>
    </row>
    <row r="1833" ht="15" customHeight="1">
      <c r="A1833" t="inlineStr">
        <is>
          <t>A 22610-2019</t>
        </is>
      </c>
      <c r="B1833" s="1" t="n">
        <v>43587</v>
      </c>
      <c r="C1833" s="1" t="n">
        <v>45190</v>
      </c>
      <c r="D1833" t="inlineStr">
        <is>
          <t>KALMAR LÄN</t>
        </is>
      </c>
      <c r="E1833" t="inlineStr">
        <is>
          <t>NYBRO</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22378-2019</t>
        </is>
      </c>
      <c r="B1834" s="1" t="n">
        <v>43587</v>
      </c>
      <c r="C1834" s="1" t="n">
        <v>45190</v>
      </c>
      <c r="D1834" t="inlineStr">
        <is>
          <t>KALMAR LÄN</t>
        </is>
      </c>
      <c r="E1834" t="inlineStr">
        <is>
          <t>NYBRO</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22492-2019</t>
        </is>
      </c>
      <c r="B1835" s="1" t="n">
        <v>43587</v>
      </c>
      <c r="C1835" s="1" t="n">
        <v>45190</v>
      </c>
      <c r="D1835" t="inlineStr">
        <is>
          <t>KALMAR LÄN</t>
        </is>
      </c>
      <c r="E1835" t="inlineStr">
        <is>
          <t>NYBRO</t>
        </is>
      </c>
      <c r="G1835" t="n">
        <v>10.2</v>
      </c>
      <c r="H1835" t="n">
        <v>0</v>
      </c>
      <c r="I1835" t="n">
        <v>0</v>
      </c>
      <c r="J1835" t="n">
        <v>0</v>
      </c>
      <c r="K1835" t="n">
        <v>0</v>
      </c>
      <c r="L1835" t="n">
        <v>0</v>
      </c>
      <c r="M1835" t="n">
        <v>0</v>
      </c>
      <c r="N1835" t="n">
        <v>0</v>
      </c>
      <c r="O1835" t="n">
        <v>0</v>
      </c>
      <c r="P1835" t="n">
        <v>0</v>
      </c>
      <c r="Q1835" t="n">
        <v>0</v>
      </c>
      <c r="R1835" s="2" t="inlineStr"/>
    </row>
    <row r="1836" ht="15" customHeight="1">
      <c r="A1836" t="inlineStr">
        <is>
          <t>A 22548-2019</t>
        </is>
      </c>
      <c r="B1836" s="1" t="n">
        <v>43587</v>
      </c>
      <c r="C1836" s="1" t="n">
        <v>45190</v>
      </c>
      <c r="D1836" t="inlineStr">
        <is>
          <t>KALMAR LÄN</t>
        </is>
      </c>
      <c r="E1836" t="inlineStr">
        <is>
          <t>NYBRO</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22437-2019</t>
        </is>
      </c>
      <c r="B1837" s="1" t="n">
        <v>43587</v>
      </c>
      <c r="C1837" s="1" t="n">
        <v>45190</v>
      </c>
      <c r="D1837" t="inlineStr">
        <is>
          <t>KALMAR LÄN</t>
        </is>
      </c>
      <c r="E1837" t="inlineStr">
        <is>
          <t>NYBRO</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22509-2019</t>
        </is>
      </c>
      <c r="B1838" s="1" t="n">
        <v>43587</v>
      </c>
      <c r="C1838" s="1" t="n">
        <v>45190</v>
      </c>
      <c r="D1838" t="inlineStr">
        <is>
          <t>KALMAR LÄN</t>
        </is>
      </c>
      <c r="E1838" t="inlineStr">
        <is>
          <t>NYBRO</t>
        </is>
      </c>
      <c r="G1838" t="n">
        <v>4.4</v>
      </c>
      <c r="H1838" t="n">
        <v>0</v>
      </c>
      <c r="I1838" t="n">
        <v>0</v>
      </c>
      <c r="J1838" t="n">
        <v>0</v>
      </c>
      <c r="K1838" t="n">
        <v>0</v>
      </c>
      <c r="L1838" t="n">
        <v>0</v>
      </c>
      <c r="M1838" t="n">
        <v>0</v>
      </c>
      <c r="N1838" t="n">
        <v>0</v>
      </c>
      <c r="O1838" t="n">
        <v>0</v>
      </c>
      <c r="P1838" t="n">
        <v>0</v>
      </c>
      <c r="Q1838" t="n">
        <v>0</v>
      </c>
      <c r="R1838" s="2" t="inlineStr"/>
    </row>
    <row r="1839" ht="15" customHeight="1">
      <c r="A1839" t="inlineStr">
        <is>
          <t>A 22545-2019</t>
        </is>
      </c>
      <c r="B1839" s="1" t="n">
        <v>43587</v>
      </c>
      <c r="C1839" s="1" t="n">
        <v>45190</v>
      </c>
      <c r="D1839" t="inlineStr">
        <is>
          <t>KALMAR LÄN</t>
        </is>
      </c>
      <c r="E1839" t="inlineStr">
        <is>
          <t>NYBRO</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22552-2019</t>
        </is>
      </c>
      <c r="B1840" s="1" t="n">
        <v>43587</v>
      </c>
      <c r="C1840" s="1" t="n">
        <v>45190</v>
      </c>
      <c r="D1840" t="inlineStr">
        <is>
          <t>KALMAR LÄN</t>
        </is>
      </c>
      <c r="E1840" t="inlineStr">
        <is>
          <t>NYBRO</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22618-2019</t>
        </is>
      </c>
      <c r="B1841" s="1" t="n">
        <v>43587</v>
      </c>
      <c r="C1841" s="1" t="n">
        <v>45190</v>
      </c>
      <c r="D1841" t="inlineStr">
        <is>
          <t>KALMAR LÄN</t>
        </is>
      </c>
      <c r="E1841" t="inlineStr">
        <is>
          <t>NYBRO</t>
        </is>
      </c>
      <c r="G1841" t="n">
        <v>39.8</v>
      </c>
      <c r="H1841" t="n">
        <v>0</v>
      </c>
      <c r="I1841" t="n">
        <v>0</v>
      </c>
      <c r="J1841" t="n">
        <v>0</v>
      </c>
      <c r="K1841" t="n">
        <v>0</v>
      </c>
      <c r="L1841" t="n">
        <v>0</v>
      </c>
      <c r="M1841" t="n">
        <v>0</v>
      </c>
      <c r="N1841" t="n">
        <v>0</v>
      </c>
      <c r="O1841" t="n">
        <v>0</v>
      </c>
      <c r="P1841" t="n">
        <v>0</v>
      </c>
      <c r="Q1841" t="n">
        <v>0</v>
      </c>
      <c r="R1841" s="2" t="inlineStr"/>
    </row>
    <row r="1842" ht="15" customHeight="1">
      <c r="A1842" t="inlineStr">
        <is>
          <t>A 23178-2019</t>
        </is>
      </c>
      <c r="B1842" s="1" t="n">
        <v>43587</v>
      </c>
      <c r="C1842" s="1" t="n">
        <v>45190</v>
      </c>
      <c r="D1842" t="inlineStr">
        <is>
          <t>KALMAR LÄN</t>
        </is>
      </c>
      <c r="E1842" t="inlineStr">
        <is>
          <t>HULTSFRED</t>
        </is>
      </c>
      <c r="F1842" t="inlineStr">
        <is>
          <t>Övriga Aktiebolag</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22356-2019</t>
        </is>
      </c>
      <c r="B1843" s="1" t="n">
        <v>43587</v>
      </c>
      <c r="C1843" s="1" t="n">
        <v>45190</v>
      </c>
      <c r="D1843" t="inlineStr">
        <is>
          <t>KALMAR LÄN</t>
        </is>
      </c>
      <c r="E1843" t="inlineStr">
        <is>
          <t>KALMAR</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22372-2019</t>
        </is>
      </c>
      <c r="B1844" s="1" t="n">
        <v>43587</v>
      </c>
      <c r="C1844" s="1" t="n">
        <v>45190</v>
      </c>
      <c r="D1844" t="inlineStr">
        <is>
          <t>KALMAR LÄN</t>
        </is>
      </c>
      <c r="E1844" t="inlineStr">
        <is>
          <t>VIMMERBY</t>
        </is>
      </c>
      <c r="G1844" t="n">
        <v>0.3</v>
      </c>
      <c r="H1844" t="n">
        <v>0</v>
      </c>
      <c r="I1844" t="n">
        <v>0</v>
      </c>
      <c r="J1844" t="n">
        <v>0</v>
      </c>
      <c r="K1844" t="n">
        <v>0</v>
      </c>
      <c r="L1844" t="n">
        <v>0</v>
      </c>
      <c r="M1844" t="n">
        <v>0</v>
      </c>
      <c r="N1844" t="n">
        <v>0</v>
      </c>
      <c r="O1844" t="n">
        <v>0</v>
      </c>
      <c r="P1844" t="n">
        <v>0</v>
      </c>
      <c r="Q1844" t="n">
        <v>0</v>
      </c>
      <c r="R1844" s="2" t="inlineStr"/>
    </row>
    <row r="1845" ht="15" customHeight="1">
      <c r="A1845" t="inlineStr">
        <is>
          <t>A 22405-2019</t>
        </is>
      </c>
      <c r="B1845" s="1" t="n">
        <v>43587</v>
      </c>
      <c r="C1845" s="1" t="n">
        <v>45190</v>
      </c>
      <c r="D1845" t="inlineStr">
        <is>
          <t>KALMAR LÄN</t>
        </is>
      </c>
      <c r="E1845" t="inlineStr">
        <is>
          <t>OSKARSHAMN</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22436-2019</t>
        </is>
      </c>
      <c r="B1846" s="1" t="n">
        <v>43587</v>
      </c>
      <c r="C1846" s="1" t="n">
        <v>45190</v>
      </c>
      <c r="D1846" t="inlineStr">
        <is>
          <t>KALMAR LÄN</t>
        </is>
      </c>
      <c r="E1846" t="inlineStr">
        <is>
          <t>NYBRO</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22518-2019</t>
        </is>
      </c>
      <c r="B1847" s="1" t="n">
        <v>43587</v>
      </c>
      <c r="C1847" s="1" t="n">
        <v>45190</v>
      </c>
      <c r="D1847" t="inlineStr">
        <is>
          <t>KALMAR LÄN</t>
        </is>
      </c>
      <c r="E1847" t="inlineStr">
        <is>
          <t>HULTSFRED</t>
        </is>
      </c>
      <c r="F1847" t="inlineStr">
        <is>
          <t>Övriga Aktiebolag</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22614-2019</t>
        </is>
      </c>
      <c r="B1848" s="1" t="n">
        <v>43587</v>
      </c>
      <c r="C1848" s="1" t="n">
        <v>45190</v>
      </c>
      <c r="D1848" t="inlineStr">
        <is>
          <t>KALMAR LÄN</t>
        </is>
      </c>
      <c r="E1848" t="inlineStr">
        <is>
          <t>NYBRO</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22659-2019</t>
        </is>
      </c>
      <c r="B1849" s="1" t="n">
        <v>43588</v>
      </c>
      <c r="C1849" s="1" t="n">
        <v>45190</v>
      </c>
      <c r="D1849" t="inlineStr">
        <is>
          <t>KALMAR LÄN</t>
        </is>
      </c>
      <c r="E1849" t="inlineStr">
        <is>
          <t>VIMMERBY</t>
        </is>
      </c>
      <c r="G1849" t="n">
        <v>3.5</v>
      </c>
      <c r="H1849" t="n">
        <v>0</v>
      </c>
      <c r="I1849" t="n">
        <v>0</v>
      </c>
      <c r="J1849" t="n">
        <v>0</v>
      </c>
      <c r="K1849" t="n">
        <v>0</v>
      </c>
      <c r="L1849" t="n">
        <v>0</v>
      </c>
      <c r="M1849" t="n">
        <v>0</v>
      </c>
      <c r="N1849" t="n">
        <v>0</v>
      </c>
      <c r="O1849" t="n">
        <v>0</v>
      </c>
      <c r="P1849" t="n">
        <v>0</v>
      </c>
      <c r="Q1849" t="n">
        <v>0</v>
      </c>
      <c r="R1849" s="2" t="inlineStr"/>
    </row>
    <row r="1850" ht="15" customHeight="1">
      <c r="A1850" t="inlineStr">
        <is>
          <t>A 22798-2019</t>
        </is>
      </c>
      <c r="B1850" s="1" t="n">
        <v>43589</v>
      </c>
      <c r="C1850" s="1" t="n">
        <v>45190</v>
      </c>
      <c r="D1850" t="inlineStr">
        <is>
          <t>KALMAR LÄN</t>
        </is>
      </c>
      <c r="E1850" t="inlineStr">
        <is>
          <t>EMMABODA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22882-2019</t>
        </is>
      </c>
      <c r="B1851" s="1" t="n">
        <v>43591</v>
      </c>
      <c r="C1851" s="1" t="n">
        <v>45190</v>
      </c>
      <c r="D1851" t="inlineStr">
        <is>
          <t>KALMAR LÄN</t>
        </is>
      </c>
      <c r="E1851" t="inlineStr">
        <is>
          <t>EMMABODA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22957-2019</t>
        </is>
      </c>
      <c r="B1852" s="1" t="n">
        <v>43591</v>
      </c>
      <c r="C1852" s="1" t="n">
        <v>45190</v>
      </c>
      <c r="D1852" t="inlineStr">
        <is>
          <t>KALMAR LÄN</t>
        </is>
      </c>
      <c r="E1852" t="inlineStr">
        <is>
          <t>KALMAR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22867-2019</t>
        </is>
      </c>
      <c r="B1853" s="1" t="n">
        <v>43591</v>
      </c>
      <c r="C1853" s="1" t="n">
        <v>45190</v>
      </c>
      <c r="D1853" t="inlineStr">
        <is>
          <t>KALMAR LÄN</t>
        </is>
      </c>
      <c r="E1853" t="inlineStr">
        <is>
          <t>NYBRO</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22932-2019</t>
        </is>
      </c>
      <c r="B1854" s="1" t="n">
        <v>43591</v>
      </c>
      <c r="C1854" s="1" t="n">
        <v>45190</v>
      </c>
      <c r="D1854" t="inlineStr">
        <is>
          <t>KALMAR LÄN</t>
        </is>
      </c>
      <c r="E1854" t="inlineStr">
        <is>
          <t>NYBRO</t>
        </is>
      </c>
      <c r="F1854" t="inlineStr">
        <is>
          <t>Kommuner</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22994-2019</t>
        </is>
      </c>
      <c r="B1855" s="1" t="n">
        <v>43591</v>
      </c>
      <c r="C1855" s="1" t="n">
        <v>45190</v>
      </c>
      <c r="D1855" t="inlineStr">
        <is>
          <t>KALMAR LÄN</t>
        </is>
      </c>
      <c r="E1855" t="inlineStr">
        <is>
          <t>NYBRO</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22955-2019</t>
        </is>
      </c>
      <c r="B1856" s="1" t="n">
        <v>43591</v>
      </c>
      <c r="C1856" s="1" t="n">
        <v>45190</v>
      </c>
      <c r="D1856" t="inlineStr">
        <is>
          <t>KALMAR LÄN</t>
        </is>
      </c>
      <c r="E1856" t="inlineStr">
        <is>
          <t>KALMAR</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23000-2019</t>
        </is>
      </c>
      <c r="B1857" s="1" t="n">
        <v>43591</v>
      </c>
      <c r="C1857" s="1" t="n">
        <v>45190</v>
      </c>
      <c r="D1857" t="inlineStr">
        <is>
          <t>KALMAR LÄN</t>
        </is>
      </c>
      <c r="E1857" t="inlineStr">
        <is>
          <t>NYBRO</t>
        </is>
      </c>
      <c r="G1857" t="n">
        <v>5.1</v>
      </c>
      <c r="H1857" t="n">
        <v>0</v>
      </c>
      <c r="I1857" t="n">
        <v>0</v>
      </c>
      <c r="J1857" t="n">
        <v>0</v>
      </c>
      <c r="K1857" t="n">
        <v>0</v>
      </c>
      <c r="L1857" t="n">
        <v>0</v>
      </c>
      <c r="M1857" t="n">
        <v>0</v>
      </c>
      <c r="N1857" t="n">
        <v>0</v>
      </c>
      <c r="O1857" t="n">
        <v>0</v>
      </c>
      <c r="P1857" t="n">
        <v>0</v>
      </c>
      <c r="Q1857" t="n">
        <v>0</v>
      </c>
      <c r="R1857" s="2" t="inlineStr"/>
    </row>
    <row r="1858" ht="15" customHeight="1">
      <c r="A1858" t="inlineStr">
        <is>
          <t>A 22906-2019</t>
        </is>
      </c>
      <c r="B1858" s="1" t="n">
        <v>43591</v>
      </c>
      <c r="C1858" s="1" t="n">
        <v>45190</v>
      </c>
      <c r="D1858" t="inlineStr">
        <is>
          <t>KALMAR LÄN</t>
        </is>
      </c>
      <c r="E1858" t="inlineStr">
        <is>
          <t>NYBRO</t>
        </is>
      </c>
      <c r="G1858" t="n">
        <v>2.8</v>
      </c>
      <c r="H1858" t="n">
        <v>0</v>
      </c>
      <c r="I1858" t="n">
        <v>0</v>
      </c>
      <c r="J1858" t="n">
        <v>0</v>
      </c>
      <c r="K1858" t="n">
        <v>0</v>
      </c>
      <c r="L1858" t="n">
        <v>0</v>
      </c>
      <c r="M1858" t="n">
        <v>0</v>
      </c>
      <c r="N1858" t="n">
        <v>0</v>
      </c>
      <c r="O1858" t="n">
        <v>0</v>
      </c>
      <c r="P1858" t="n">
        <v>0</v>
      </c>
      <c r="Q1858" t="n">
        <v>0</v>
      </c>
      <c r="R1858" s="2" t="inlineStr"/>
    </row>
    <row r="1859" ht="15" customHeight="1">
      <c r="A1859" t="inlineStr">
        <is>
          <t>A 22959-2019</t>
        </is>
      </c>
      <c r="B1859" s="1" t="n">
        <v>43591</v>
      </c>
      <c r="C1859" s="1" t="n">
        <v>45190</v>
      </c>
      <c r="D1859" t="inlineStr">
        <is>
          <t>KALMAR LÄN</t>
        </is>
      </c>
      <c r="E1859" t="inlineStr">
        <is>
          <t>KALMAR</t>
        </is>
      </c>
      <c r="G1859" t="n">
        <v>14.5</v>
      </c>
      <c r="H1859" t="n">
        <v>0</v>
      </c>
      <c r="I1859" t="n">
        <v>0</v>
      </c>
      <c r="J1859" t="n">
        <v>0</v>
      </c>
      <c r="K1859" t="n">
        <v>0</v>
      </c>
      <c r="L1859" t="n">
        <v>0</v>
      </c>
      <c r="M1859" t="n">
        <v>0</v>
      </c>
      <c r="N1859" t="n">
        <v>0</v>
      </c>
      <c r="O1859" t="n">
        <v>0</v>
      </c>
      <c r="P1859" t="n">
        <v>0</v>
      </c>
      <c r="Q1859" t="n">
        <v>0</v>
      </c>
      <c r="R1859" s="2" t="inlineStr"/>
    </row>
    <row r="1860" ht="15" customHeight="1">
      <c r="A1860" t="inlineStr">
        <is>
          <t>A 22998-2019</t>
        </is>
      </c>
      <c r="B1860" s="1" t="n">
        <v>43591</v>
      </c>
      <c r="C1860" s="1" t="n">
        <v>45190</v>
      </c>
      <c r="D1860" t="inlineStr">
        <is>
          <t>KALMAR LÄN</t>
        </is>
      </c>
      <c r="E1860" t="inlineStr">
        <is>
          <t>NYBRO</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23036-2019</t>
        </is>
      </c>
      <c r="B1861" s="1" t="n">
        <v>43591</v>
      </c>
      <c r="C1861" s="1" t="n">
        <v>45190</v>
      </c>
      <c r="D1861" t="inlineStr">
        <is>
          <t>KALMAR LÄN</t>
        </is>
      </c>
      <c r="E1861" t="inlineStr">
        <is>
          <t>BORGHOLM</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23191-2019</t>
        </is>
      </c>
      <c r="B1862" s="1" t="n">
        <v>43592</v>
      </c>
      <c r="C1862" s="1" t="n">
        <v>45190</v>
      </c>
      <c r="D1862" t="inlineStr">
        <is>
          <t>KALMAR LÄN</t>
        </is>
      </c>
      <c r="E1862" t="inlineStr">
        <is>
          <t>BORGHOLM</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23166-2019</t>
        </is>
      </c>
      <c r="B1863" s="1" t="n">
        <v>43592</v>
      </c>
      <c r="C1863" s="1" t="n">
        <v>45190</v>
      </c>
      <c r="D1863" t="inlineStr">
        <is>
          <t>KALMAR LÄN</t>
        </is>
      </c>
      <c r="E1863" t="inlineStr">
        <is>
          <t>KALMAR</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23498-2019</t>
        </is>
      </c>
      <c r="B1864" s="1" t="n">
        <v>43593</v>
      </c>
      <c r="C1864" s="1" t="n">
        <v>45190</v>
      </c>
      <c r="D1864" t="inlineStr">
        <is>
          <t>KALMAR LÄN</t>
        </is>
      </c>
      <c r="E1864" t="inlineStr">
        <is>
          <t>VIMMERBY</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23421-2019</t>
        </is>
      </c>
      <c r="B1865" s="1" t="n">
        <v>43593</v>
      </c>
      <c r="C1865" s="1" t="n">
        <v>45190</v>
      </c>
      <c r="D1865" t="inlineStr">
        <is>
          <t>KALMAR LÄN</t>
        </is>
      </c>
      <c r="E1865" t="inlineStr">
        <is>
          <t>HULTSFRED</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23633-2019</t>
        </is>
      </c>
      <c r="B1866" s="1" t="n">
        <v>43594</v>
      </c>
      <c r="C1866" s="1" t="n">
        <v>45190</v>
      </c>
      <c r="D1866" t="inlineStr">
        <is>
          <t>KALMAR LÄN</t>
        </is>
      </c>
      <c r="E1866" t="inlineStr">
        <is>
          <t>NYBRO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23635-2019</t>
        </is>
      </c>
      <c r="B1867" s="1" t="n">
        <v>43594</v>
      </c>
      <c r="C1867" s="1" t="n">
        <v>45190</v>
      </c>
      <c r="D1867" t="inlineStr">
        <is>
          <t>KALMAR LÄN</t>
        </is>
      </c>
      <c r="E1867" t="inlineStr">
        <is>
          <t>NYBRO</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23584-2019</t>
        </is>
      </c>
      <c r="B1868" s="1" t="n">
        <v>43594</v>
      </c>
      <c r="C1868" s="1" t="n">
        <v>45190</v>
      </c>
      <c r="D1868" t="inlineStr">
        <is>
          <t>KALMAR LÄN</t>
        </is>
      </c>
      <c r="E1868" t="inlineStr">
        <is>
          <t>EMMABODA</t>
        </is>
      </c>
      <c r="G1868" t="n">
        <v>3.5</v>
      </c>
      <c r="H1868" t="n">
        <v>0</v>
      </c>
      <c r="I1868" t="n">
        <v>0</v>
      </c>
      <c r="J1868" t="n">
        <v>0</v>
      </c>
      <c r="K1868" t="n">
        <v>0</v>
      </c>
      <c r="L1868" t="n">
        <v>0</v>
      </c>
      <c r="M1868" t="n">
        <v>0</v>
      </c>
      <c r="N1868" t="n">
        <v>0</v>
      </c>
      <c r="O1868" t="n">
        <v>0</v>
      </c>
      <c r="P1868" t="n">
        <v>0</v>
      </c>
      <c r="Q1868" t="n">
        <v>0</v>
      </c>
      <c r="R1868" s="2" t="inlineStr"/>
    </row>
    <row r="1869" ht="15" customHeight="1">
      <c r="A1869" t="inlineStr">
        <is>
          <t>A 23773-2019</t>
        </is>
      </c>
      <c r="B1869" s="1" t="n">
        <v>43595</v>
      </c>
      <c r="C1869" s="1" t="n">
        <v>45190</v>
      </c>
      <c r="D1869" t="inlineStr">
        <is>
          <t>KALMAR LÄN</t>
        </is>
      </c>
      <c r="E1869" t="inlineStr">
        <is>
          <t>OSKARSHAMN</t>
        </is>
      </c>
      <c r="G1869" t="n">
        <v>4.1</v>
      </c>
      <c r="H1869" t="n">
        <v>0</v>
      </c>
      <c r="I1869" t="n">
        <v>0</v>
      </c>
      <c r="J1869" t="n">
        <v>0</v>
      </c>
      <c r="K1869" t="n">
        <v>0</v>
      </c>
      <c r="L1869" t="n">
        <v>0</v>
      </c>
      <c r="M1869" t="n">
        <v>0</v>
      </c>
      <c r="N1869" t="n">
        <v>0</v>
      </c>
      <c r="O1869" t="n">
        <v>0</v>
      </c>
      <c r="P1869" t="n">
        <v>0</v>
      </c>
      <c r="Q1869" t="n">
        <v>0</v>
      </c>
      <c r="R1869" s="2" t="inlineStr"/>
    </row>
    <row r="1870" ht="15" customHeight="1">
      <c r="A1870" t="inlineStr">
        <is>
          <t>A 23831-2019</t>
        </is>
      </c>
      <c r="B1870" s="1" t="n">
        <v>43595</v>
      </c>
      <c r="C1870" s="1" t="n">
        <v>45190</v>
      </c>
      <c r="D1870" t="inlineStr">
        <is>
          <t>KALMAR LÄN</t>
        </is>
      </c>
      <c r="E1870" t="inlineStr">
        <is>
          <t>OSKARSHAMN</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23768-2019</t>
        </is>
      </c>
      <c r="B1871" s="1" t="n">
        <v>43595</v>
      </c>
      <c r="C1871" s="1" t="n">
        <v>45190</v>
      </c>
      <c r="D1871" t="inlineStr">
        <is>
          <t>KALMAR LÄN</t>
        </is>
      </c>
      <c r="E1871" t="inlineStr">
        <is>
          <t>OSKARSHAMN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23841-2019</t>
        </is>
      </c>
      <c r="B1872" s="1" t="n">
        <v>43595</v>
      </c>
      <c r="C1872" s="1" t="n">
        <v>45190</v>
      </c>
      <c r="D1872" t="inlineStr">
        <is>
          <t>KALMAR LÄN</t>
        </is>
      </c>
      <c r="E1872" t="inlineStr">
        <is>
          <t>HULTSFRED</t>
        </is>
      </c>
      <c r="F1872" t="inlineStr">
        <is>
          <t>Sveaskog</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23819-2019</t>
        </is>
      </c>
      <c r="B1873" s="1" t="n">
        <v>43595</v>
      </c>
      <c r="C1873" s="1" t="n">
        <v>45190</v>
      </c>
      <c r="D1873" t="inlineStr">
        <is>
          <t>KALMAR LÄN</t>
        </is>
      </c>
      <c r="E1873" t="inlineStr">
        <is>
          <t>OSKARSHAMN</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24085-2019</t>
        </is>
      </c>
      <c r="B1874" s="1" t="n">
        <v>43598</v>
      </c>
      <c r="C1874" s="1" t="n">
        <v>45190</v>
      </c>
      <c r="D1874" t="inlineStr">
        <is>
          <t>KALMAR LÄN</t>
        </is>
      </c>
      <c r="E1874" t="inlineStr">
        <is>
          <t>HÖGSBY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24133-2019</t>
        </is>
      </c>
      <c r="B1875" s="1" t="n">
        <v>43598</v>
      </c>
      <c r="C1875" s="1" t="n">
        <v>45190</v>
      </c>
      <c r="D1875" t="inlineStr">
        <is>
          <t>KALMAR LÄN</t>
        </is>
      </c>
      <c r="E1875" t="inlineStr">
        <is>
          <t>VÄSTERVIK</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24054-2019</t>
        </is>
      </c>
      <c r="B1876" s="1" t="n">
        <v>43598</v>
      </c>
      <c r="C1876" s="1" t="n">
        <v>45190</v>
      </c>
      <c r="D1876" t="inlineStr">
        <is>
          <t>KALMAR LÄN</t>
        </is>
      </c>
      <c r="E1876" t="inlineStr">
        <is>
          <t>MÖNSTERÅS</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24120-2019</t>
        </is>
      </c>
      <c r="B1877" s="1" t="n">
        <v>43598</v>
      </c>
      <c r="C1877" s="1" t="n">
        <v>45190</v>
      </c>
      <c r="D1877" t="inlineStr">
        <is>
          <t>KALMAR LÄN</t>
        </is>
      </c>
      <c r="E1877" t="inlineStr">
        <is>
          <t>TORSÅS</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24407-2019</t>
        </is>
      </c>
      <c r="B1878" s="1" t="n">
        <v>43598</v>
      </c>
      <c r="C1878" s="1" t="n">
        <v>45190</v>
      </c>
      <c r="D1878" t="inlineStr">
        <is>
          <t>KALMAR LÄN</t>
        </is>
      </c>
      <c r="E1878" t="inlineStr">
        <is>
          <t>NYBRO</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24100-2019</t>
        </is>
      </c>
      <c r="B1879" s="1" t="n">
        <v>43598</v>
      </c>
      <c r="C1879" s="1" t="n">
        <v>45190</v>
      </c>
      <c r="D1879" t="inlineStr">
        <is>
          <t>KALMAR LÄN</t>
        </is>
      </c>
      <c r="E1879" t="inlineStr">
        <is>
          <t>TORSÅS</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24276-2019</t>
        </is>
      </c>
      <c r="B1880" s="1" t="n">
        <v>43599</v>
      </c>
      <c r="C1880" s="1" t="n">
        <v>45190</v>
      </c>
      <c r="D1880" t="inlineStr">
        <is>
          <t>KALMAR LÄN</t>
        </is>
      </c>
      <c r="E1880" t="inlineStr">
        <is>
          <t>HÖGSBY</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24354-2019</t>
        </is>
      </c>
      <c r="B1881" s="1" t="n">
        <v>43599</v>
      </c>
      <c r="C1881" s="1" t="n">
        <v>45190</v>
      </c>
      <c r="D1881" t="inlineStr">
        <is>
          <t>KALMAR LÄN</t>
        </is>
      </c>
      <c r="E1881" t="inlineStr">
        <is>
          <t>VÄSTERVIK</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24254-2019</t>
        </is>
      </c>
      <c r="B1882" s="1" t="n">
        <v>43599</v>
      </c>
      <c r="C1882" s="1" t="n">
        <v>45190</v>
      </c>
      <c r="D1882" t="inlineStr">
        <is>
          <t>KALMAR LÄN</t>
        </is>
      </c>
      <c r="E1882" t="inlineStr">
        <is>
          <t>VIMMERBY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24356-2019</t>
        </is>
      </c>
      <c r="B1883" s="1" t="n">
        <v>43599</v>
      </c>
      <c r="C1883" s="1" t="n">
        <v>45190</v>
      </c>
      <c r="D1883" t="inlineStr">
        <is>
          <t>KALMAR LÄN</t>
        </is>
      </c>
      <c r="E1883" t="inlineStr">
        <is>
          <t>VÄSTERVIK</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24316-2019</t>
        </is>
      </c>
      <c r="B1884" s="1" t="n">
        <v>43599</v>
      </c>
      <c r="C1884" s="1" t="n">
        <v>45190</v>
      </c>
      <c r="D1884" t="inlineStr">
        <is>
          <t>KALMAR LÄN</t>
        </is>
      </c>
      <c r="E1884" t="inlineStr">
        <is>
          <t>VÄSTERVIK</t>
        </is>
      </c>
      <c r="G1884" t="n">
        <v>14.9</v>
      </c>
      <c r="H1884" t="n">
        <v>0</v>
      </c>
      <c r="I1884" t="n">
        <v>0</v>
      </c>
      <c r="J1884" t="n">
        <v>0</v>
      </c>
      <c r="K1884" t="n">
        <v>0</v>
      </c>
      <c r="L1884" t="n">
        <v>0</v>
      </c>
      <c r="M1884" t="n">
        <v>0</v>
      </c>
      <c r="N1884" t="n">
        <v>0</v>
      </c>
      <c r="O1884" t="n">
        <v>0</v>
      </c>
      <c r="P1884" t="n">
        <v>0</v>
      </c>
      <c r="Q1884" t="n">
        <v>0</v>
      </c>
      <c r="R1884" s="2" t="inlineStr"/>
    </row>
    <row r="1885" ht="15" customHeight="1">
      <c r="A1885" t="inlineStr">
        <is>
          <t>A 24358-2019</t>
        </is>
      </c>
      <c r="B1885" s="1" t="n">
        <v>43599</v>
      </c>
      <c r="C1885" s="1" t="n">
        <v>45190</v>
      </c>
      <c r="D1885" t="inlineStr">
        <is>
          <t>KALMAR LÄN</t>
        </is>
      </c>
      <c r="E1885" t="inlineStr">
        <is>
          <t>VÄSTERVIK</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24265-2019</t>
        </is>
      </c>
      <c r="B1886" s="1" t="n">
        <v>43599</v>
      </c>
      <c r="C1886" s="1" t="n">
        <v>45190</v>
      </c>
      <c r="D1886" t="inlineStr">
        <is>
          <t>KALMAR LÄN</t>
        </is>
      </c>
      <c r="E1886" t="inlineStr">
        <is>
          <t>HÖGSBY</t>
        </is>
      </c>
      <c r="G1886" t="n">
        <v>10.2</v>
      </c>
      <c r="H1886" t="n">
        <v>0</v>
      </c>
      <c r="I1886" t="n">
        <v>0</v>
      </c>
      <c r="J1886" t="n">
        <v>0</v>
      </c>
      <c r="K1886" t="n">
        <v>0</v>
      </c>
      <c r="L1886" t="n">
        <v>0</v>
      </c>
      <c r="M1886" t="n">
        <v>0</v>
      </c>
      <c r="N1886" t="n">
        <v>0</v>
      </c>
      <c r="O1886" t="n">
        <v>0</v>
      </c>
      <c r="P1886" t="n">
        <v>0</v>
      </c>
      <c r="Q1886" t="n">
        <v>0</v>
      </c>
      <c r="R1886" s="2" t="inlineStr"/>
    </row>
    <row r="1887" ht="15" customHeight="1">
      <c r="A1887" t="inlineStr">
        <is>
          <t>A 24273-2019</t>
        </is>
      </c>
      <c r="B1887" s="1" t="n">
        <v>43599</v>
      </c>
      <c r="C1887" s="1" t="n">
        <v>45190</v>
      </c>
      <c r="D1887" t="inlineStr">
        <is>
          <t>KALMAR LÄN</t>
        </is>
      </c>
      <c r="E1887" t="inlineStr">
        <is>
          <t>HÖGSBY</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24318-2019</t>
        </is>
      </c>
      <c r="B1888" s="1" t="n">
        <v>43599</v>
      </c>
      <c r="C1888" s="1" t="n">
        <v>45190</v>
      </c>
      <c r="D1888" t="inlineStr">
        <is>
          <t>KALMAR LÄN</t>
        </is>
      </c>
      <c r="E1888" t="inlineStr">
        <is>
          <t>VÄSTERVIK</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24520-2019</t>
        </is>
      </c>
      <c r="B1889" s="1" t="n">
        <v>43600</v>
      </c>
      <c r="C1889" s="1" t="n">
        <v>45190</v>
      </c>
      <c r="D1889" t="inlineStr">
        <is>
          <t>KALMAR LÄN</t>
        </is>
      </c>
      <c r="E1889" t="inlineStr">
        <is>
          <t>NYBRO</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24538-2019</t>
        </is>
      </c>
      <c r="B1890" s="1" t="n">
        <v>43600</v>
      </c>
      <c r="C1890" s="1" t="n">
        <v>45190</v>
      </c>
      <c r="D1890" t="inlineStr">
        <is>
          <t>KALMAR LÄN</t>
        </is>
      </c>
      <c r="E1890" t="inlineStr">
        <is>
          <t>EMMABODA</t>
        </is>
      </c>
      <c r="G1890" t="n">
        <v>8.699999999999999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24550-2019</t>
        </is>
      </c>
      <c r="B1891" s="1" t="n">
        <v>43600</v>
      </c>
      <c r="C1891" s="1" t="n">
        <v>45190</v>
      </c>
      <c r="D1891" t="inlineStr">
        <is>
          <t>KALMAR LÄN</t>
        </is>
      </c>
      <c r="E1891" t="inlineStr">
        <is>
          <t>VÄSTERVIK</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24982-2019</t>
        </is>
      </c>
      <c r="B1892" s="1" t="n">
        <v>43600</v>
      </c>
      <c r="C1892" s="1" t="n">
        <v>45190</v>
      </c>
      <c r="D1892" t="inlineStr">
        <is>
          <t>KALMAR LÄN</t>
        </is>
      </c>
      <c r="E1892" t="inlineStr">
        <is>
          <t>KALMAR</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24496-2019</t>
        </is>
      </c>
      <c r="B1893" s="1" t="n">
        <v>43600</v>
      </c>
      <c r="C1893" s="1" t="n">
        <v>45190</v>
      </c>
      <c r="D1893" t="inlineStr">
        <is>
          <t>KALMAR LÄN</t>
        </is>
      </c>
      <c r="E1893" t="inlineStr">
        <is>
          <t>TORSÅS</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24531-2019</t>
        </is>
      </c>
      <c r="B1894" s="1" t="n">
        <v>43600</v>
      </c>
      <c r="C1894" s="1" t="n">
        <v>45190</v>
      </c>
      <c r="D1894" t="inlineStr">
        <is>
          <t>KALMAR LÄN</t>
        </is>
      </c>
      <c r="E1894" t="inlineStr">
        <is>
          <t>EMMABODA</t>
        </is>
      </c>
      <c r="G1894" t="n">
        <v>7.8</v>
      </c>
      <c r="H1894" t="n">
        <v>0</v>
      </c>
      <c r="I1894" t="n">
        <v>0</v>
      </c>
      <c r="J1894" t="n">
        <v>0</v>
      </c>
      <c r="K1894" t="n">
        <v>0</v>
      </c>
      <c r="L1894" t="n">
        <v>0</v>
      </c>
      <c r="M1894" t="n">
        <v>0</v>
      </c>
      <c r="N1894" t="n">
        <v>0</v>
      </c>
      <c r="O1894" t="n">
        <v>0</v>
      </c>
      <c r="P1894" t="n">
        <v>0</v>
      </c>
      <c r="Q1894" t="n">
        <v>0</v>
      </c>
      <c r="R1894" s="2" t="inlineStr"/>
    </row>
    <row r="1895" ht="15" customHeight="1">
      <c r="A1895" t="inlineStr">
        <is>
          <t>A 24540-2019</t>
        </is>
      </c>
      <c r="B1895" s="1" t="n">
        <v>43600</v>
      </c>
      <c r="C1895" s="1" t="n">
        <v>45190</v>
      </c>
      <c r="D1895" t="inlineStr">
        <is>
          <t>KALMAR LÄN</t>
        </is>
      </c>
      <c r="E1895" t="inlineStr">
        <is>
          <t>EMMABODA</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24514-2019</t>
        </is>
      </c>
      <c r="B1896" s="1" t="n">
        <v>43600</v>
      </c>
      <c r="C1896" s="1" t="n">
        <v>45190</v>
      </c>
      <c r="D1896" t="inlineStr">
        <is>
          <t>KALMAR LÄN</t>
        </is>
      </c>
      <c r="E1896" t="inlineStr">
        <is>
          <t>NYBRO</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24974-2019</t>
        </is>
      </c>
      <c r="B1897" s="1" t="n">
        <v>43600</v>
      </c>
      <c r="C1897" s="1" t="n">
        <v>45190</v>
      </c>
      <c r="D1897" t="inlineStr">
        <is>
          <t>KALMAR LÄN</t>
        </is>
      </c>
      <c r="E1897" t="inlineStr">
        <is>
          <t>KALMAR</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24605-2019</t>
        </is>
      </c>
      <c r="B1898" s="1" t="n">
        <v>43601</v>
      </c>
      <c r="C1898" s="1" t="n">
        <v>45190</v>
      </c>
      <c r="D1898" t="inlineStr">
        <is>
          <t>KALMAR LÄN</t>
        </is>
      </c>
      <c r="E1898" t="inlineStr">
        <is>
          <t>NYBRO</t>
        </is>
      </c>
      <c r="G1898" t="n">
        <v>6.1</v>
      </c>
      <c r="H1898" t="n">
        <v>0</v>
      </c>
      <c r="I1898" t="n">
        <v>0</v>
      </c>
      <c r="J1898" t="n">
        <v>0</v>
      </c>
      <c r="K1898" t="n">
        <v>0</v>
      </c>
      <c r="L1898" t="n">
        <v>0</v>
      </c>
      <c r="M1898" t="n">
        <v>0</v>
      </c>
      <c r="N1898" t="n">
        <v>0</v>
      </c>
      <c r="O1898" t="n">
        <v>0</v>
      </c>
      <c r="P1898" t="n">
        <v>0</v>
      </c>
      <c r="Q1898" t="n">
        <v>0</v>
      </c>
      <c r="R1898" s="2" t="inlineStr"/>
    </row>
    <row r="1899" ht="15" customHeight="1">
      <c r="A1899" t="inlineStr">
        <is>
          <t>A 24656-2019</t>
        </is>
      </c>
      <c r="B1899" s="1" t="n">
        <v>43601</v>
      </c>
      <c r="C1899" s="1" t="n">
        <v>45190</v>
      </c>
      <c r="D1899" t="inlineStr">
        <is>
          <t>KALMAR LÄN</t>
        </is>
      </c>
      <c r="E1899" t="inlineStr">
        <is>
          <t>NYBRO</t>
        </is>
      </c>
      <c r="G1899" t="n">
        <v>14.2</v>
      </c>
      <c r="H1899" t="n">
        <v>0</v>
      </c>
      <c r="I1899" t="n">
        <v>0</v>
      </c>
      <c r="J1899" t="n">
        <v>0</v>
      </c>
      <c r="K1899" t="n">
        <v>0</v>
      </c>
      <c r="L1899" t="n">
        <v>0</v>
      </c>
      <c r="M1899" t="n">
        <v>0</v>
      </c>
      <c r="N1899" t="n">
        <v>0</v>
      </c>
      <c r="O1899" t="n">
        <v>0</v>
      </c>
      <c r="P1899" t="n">
        <v>0</v>
      </c>
      <c r="Q1899" t="n">
        <v>0</v>
      </c>
      <c r="R1899" s="2" t="inlineStr"/>
    </row>
    <row r="1900" ht="15" customHeight="1">
      <c r="A1900" t="inlineStr">
        <is>
          <t>A 24659-2019</t>
        </is>
      </c>
      <c r="B1900" s="1" t="n">
        <v>43601</v>
      </c>
      <c r="C1900" s="1" t="n">
        <v>45190</v>
      </c>
      <c r="D1900" t="inlineStr">
        <is>
          <t>KALMAR LÄN</t>
        </is>
      </c>
      <c r="E1900" t="inlineStr">
        <is>
          <t>NYBRO</t>
        </is>
      </c>
      <c r="G1900" t="n">
        <v>5.9</v>
      </c>
      <c r="H1900" t="n">
        <v>0</v>
      </c>
      <c r="I1900" t="n">
        <v>0</v>
      </c>
      <c r="J1900" t="n">
        <v>0</v>
      </c>
      <c r="K1900" t="n">
        <v>0</v>
      </c>
      <c r="L1900" t="n">
        <v>0</v>
      </c>
      <c r="M1900" t="n">
        <v>0</v>
      </c>
      <c r="N1900" t="n">
        <v>0</v>
      </c>
      <c r="O1900" t="n">
        <v>0</v>
      </c>
      <c r="P1900" t="n">
        <v>0</v>
      </c>
      <c r="Q1900" t="n">
        <v>0</v>
      </c>
      <c r="R1900" s="2" t="inlineStr"/>
    </row>
    <row r="1901" ht="15" customHeight="1">
      <c r="A1901" t="inlineStr">
        <is>
          <t>A 24683-2019</t>
        </is>
      </c>
      <c r="B1901" s="1" t="n">
        <v>43601</v>
      </c>
      <c r="C1901" s="1" t="n">
        <v>45190</v>
      </c>
      <c r="D1901" t="inlineStr">
        <is>
          <t>KALMAR LÄN</t>
        </is>
      </c>
      <c r="E1901" t="inlineStr">
        <is>
          <t>VÄSTERVIK</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24822-2019</t>
        </is>
      </c>
      <c r="B1902" s="1" t="n">
        <v>43602</v>
      </c>
      <c r="C1902" s="1" t="n">
        <v>45190</v>
      </c>
      <c r="D1902" t="inlineStr">
        <is>
          <t>KALMAR LÄN</t>
        </is>
      </c>
      <c r="E1902" t="inlineStr">
        <is>
          <t>MÖNSTERÅS</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24851-2019</t>
        </is>
      </c>
      <c r="B1903" s="1" t="n">
        <v>43602</v>
      </c>
      <c r="C1903" s="1" t="n">
        <v>45190</v>
      </c>
      <c r="D1903" t="inlineStr">
        <is>
          <t>KALMAR LÄN</t>
        </is>
      </c>
      <c r="E1903" t="inlineStr">
        <is>
          <t>MÖRBYLÅNGA</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24944-2019</t>
        </is>
      </c>
      <c r="B1904" s="1" t="n">
        <v>43602</v>
      </c>
      <c r="C1904" s="1" t="n">
        <v>45190</v>
      </c>
      <c r="D1904" t="inlineStr">
        <is>
          <t>KALMAR LÄN</t>
        </is>
      </c>
      <c r="E1904" t="inlineStr">
        <is>
          <t>VÄSTERVIK</t>
        </is>
      </c>
      <c r="G1904" t="n">
        <v>4.1</v>
      </c>
      <c r="H1904" t="n">
        <v>0</v>
      </c>
      <c r="I1904" t="n">
        <v>0</v>
      </c>
      <c r="J1904" t="n">
        <v>0</v>
      </c>
      <c r="K1904" t="n">
        <v>0</v>
      </c>
      <c r="L1904" t="n">
        <v>0</v>
      </c>
      <c r="M1904" t="n">
        <v>0</v>
      </c>
      <c r="N1904" t="n">
        <v>0</v>
      </c>
      <c r="O1904" t="n">
        <v>0</v>
      </c>
      <c r="P1904" t="n">
        <v>0</v>
      </c>
      <c r="Q1904" t="n">
        <v>0</v>
      </c>
      <c r="R1904" s="2" t="inlineStr"/>
    </row>
    <row r="1905" ht="15" customHeight="1">
      <c r="A1905" t="inlineStr">
        <is>
          <t>A 24937-2019</t>
        </is>
      </c>
      <c r="B1905" s="1" t="n">
        <v>43602</v>
      </c>
      <c r="C1905" s="1" t="n">
        <v>45190</v>
      </c>
      <c r="D1905" t="inlineStr">
        <is>
          <t>KALMAR LÄN</t>
        </is>
      </c>
      <c r="E1905" t="inlineStr">
        <is>
          <t>VIMMERBY</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24950-2019</t>
        </is>
      </c>
      <c r="B1906" s="1" t="n">
        <v>43602</v>
      </c>
      <c r="C1906" s="1" t="n">
        <v>45190</v>
      </c>
      <c r="D1906" t="inlineStr">
        <is>
          <t>KALMAR LÄN</t>
        </is>
      </c>
      <c r="E1906" t="inlineStr">
        <is>
          <t>MÖNSTERÅS</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25095-2019</t>
        </is>
      </c>
      <c r="B1907" s="1" t="n">
        <v>43605</v>
      </c>
      <c r="C1907" s="1" t="n">
        <v>45190</v>
      </c>
      <c r="D1907" t="inlineStr">
        <is>
          <t>KALMAR LÄN</t>
        </is>
      </c>
      <c r="E1907" t="inlineStr">
        <is>
          <t>EMMABODA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25204-2019</t>
        </is>
      </c>
      <c r="B1908" s="1" t="n">
        <v>43605</v>
      </c>
      <c r="C1908" s="1" t="n">
        <v>45190</v>
      </c>
      <c r="D1908" t="inlineStr">
        <is>
          <t>KALMAR LÄN</t>
        </is>
      </c>
      <c r="E1908" t="inlineStr">
        <is>
          <t>EMMABODA</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25282-2019</t>
        </is>
      </c>
      <c r="B1909" s="1" t="n">
        <v>43605</v>
      </c>
      <c r="C1909" s="1" t="n">
        <v>45190</v>
      </c>
      <c r="D1909" t="inlineStr">
        <is>
          <t>KALMAR LÄN</t>
        </is>
      </c>
      <c r="E1909" t="inlineStr">
        <is>
          <t>HULTSFRED</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25289-2019</t>
        </is>
      </c>
      <c r="B1910" s="1" t="n">
        <v>43605</v>
      </c>
      <c r="C1910" s="1" t="n">
        <v>45190</v>
      </c>
      <c r="D1910" t="inlineStr">
        <is>
          <t>KALMAR LÄN</t>
        </is>
      </c>
      <c r="E1910" t="inlineStr">
        <is>
          <t>NYBRO</t>
        </is>
      </c>
      <c r="F1910" t="inlineStr">
        <is>
          <t>Kommuner</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25169-2019</t>
        </is>
      </c>
      <c r="B1911" s="1" t="n">
        <v>43605</v>
      </c>
      <c r="C1911" s="1" t="n">
        <v>45190</v>
      </c>
      <c r="D1911" t="inlineStr">
        <is>
          <t>KALMAR LÄN</t>
        </is>
      </c>
      <c r="E1911" t="inlineStr">
        <is>
          <t>KALMAR</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25173-2019</t>
        </is>
      </c>
      <c r="B1912" s="1" t="n">
        <v>43605</v>
      </c>
      <c r="C1912" s="1" t="n">
        <v>45190</v>
      </c>
      <c r="D1912" t="inlineStr">
        <is>
          <t>KALMAR LÄN</t>
        </is>
      </c>
      <c r="E1912" t="inlineStr">
        <is>
          <t>MÖNSTERÅS</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25281-2019</t>
        </is>
      </c>
      <c r="B1913" s="1" t="n">
        <v>43605</v>
      </c>
      <c r="C1913" s="1" t="n">
        <v>45190</v>
      </c>
      <c r="D1913" t="inlineStr">
        <is>
          <t>KALMAR LÄN</t>
        </is>
      </c>
      <c r="E1913" t="inlineStr">
        <is>
          <t>HULTSFRED</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25512-2019</t>
        </is>
      </c>
      <c r="B1914" s="1" t="n">
        <v>43606</v>
      </c>
      <c r="C1914" s="1" t="n">
        <v>45190</v>
      </c>
      <c r="D1914" t="inlineStr">
        <is>
          <t>KALMAR LÄN</t>
        </is>
      </c>
      <c r="E1914" t="inlineStr">
        <is>
          <t>KALMAR</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26470-2019</t>
        </is>
      </c>
      <c r="B1915" s="1" t="n">
        <v>43606</v>
      </c>
      <c r="C1915" s="1" t="n">
        <v>45190</v>
      </c>
      <c r="D1915" t="inlineStr">
        <is>
          <t>KALMAR LÄN</t>
        </is>
      </c>
      <c r="E1915" t="inlineStr">
        <is>
          <t>VÄSTERVIK</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25458-2019</t>
        </is>
      </c>
      <c r="B1916" s="1" t="n">
        <v>43606</v>
      </c>
      <c r="C1916" s="1" t="n">
        <v>45190</v>
      </c>
      <c r="D1916" t="inlineStr">
        <is>
          <t>KALMAR LÄN</t>
        </is>
      </c>
      <c r="E1916" t="inlineStr">
        <is>
          <t>HÖGSBY</t>
        </is>
      </c>
      <c r="G1916" t="n">
        <v>3.7</v>
      </c>
      <c r="H1916" t="n">
        <v>0</v>
      </c>
      <c r="I1916" t="n">
        <v>0</v>
      </c>
      <c r="J1916" t="n">
        <v>0</v>
      </c>
      <c r="K1916" t="n">
        <v>0</v>
      </c>
      <c r="L1916" t="n">
        <v>0</v>
      </c>
      <c r="M1916" t="n">
        <v>0</v>
      </c>
      <c r="N1916" t="n">
        <v>0</v>
      </c>
      <c r="O1916" t="n">
        <v>0</v>
      </c>
      <c r="P1916" t="n">
        <v>0</v>
      </c>
      <c r="Q1916" t="n">
        <v>0</v>
      </c>
      <c r="R1916" s="2" t="inlineStr"/>
    </row>
    <row r="1917" ht="15" customHeight="1">
      <c r="A1917" t="inlineStr">
        <is>
          <t>A 25511-2019</t>
        </is>
      </c>
      <c r="B1917" s="1" t="n">
        <v>43606</v>
      </c>
      <c r="C1917" s="1" t="n">
        <v>45190</v>
      </c>
      <c r="D1917" t="inlineStr">
        <is>
          <t>KALMAR LÄN</t>
        </is>
      </c>
      <c r="E1917" t="inlineStr">
        <is>
          <t>KALMAR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26380-2019</t>
        </is>
      </c>
      <c r="B1918" s="1" t="n">
        <v>43606</v>
      </c>
      <c r="C1918" s="1" t="n">
        <v>45190</v>
      </c>
      <c r="D1918" t="inlineStr">
        <is>
          <t>KALMAR LÄN</t>
        </is>
      </c>
      <c r="E1918" t="inlineStr">
        <is>
          <t>OSKARSHAMN</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25608-2019</t>
        </is>
      </c>
      <c r="B1919" s="1" t="n">
        <v>43607</v>
      </c>
      <c r="C1919" s="1" t="n">
        <v>45190</v>
      </c>
      <c r="D1919" t="inlineStr">
        <is>
          <t>KALMAR LÄN</t>
        </is>
      </c>
      <c r="E1919" t="inlineStr">
        <is>
          <t>HÖGSBY</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25673-2019</t>
        </is>
      </c>
      <c r="B1920" s="1" t="n">
        <v>43607</v>
      </c>
      <c r="C1920" s="1" t="n">
        <v>45190</v>
      </c>
      <c r="D1920" t="inlineStr">
        <is>
          <t>KALMAR LÄN</t>
        </is>
      </c>
      <c r="E1920" t="inlineStr">
        <is>
          <t>NYBRO</t>
        </is>
      </c>
      <c r="G1920" t="n">
        <v>5.2</v>
      </c>
      <c r="H1920" t="n">
        <v>0</v>
      </c>
      <c r="I1920" t="n">
        <v>0</v>
      </c>
      <c r="J1920" t="n">
        <v>0</v>
      </c>
      <c r="K1920" t="n">
        <v>0</v>
      </c>
      <c r="L1920" t="n">
        <v>0</v>
      </c>
      <c r="M1920" t="n">
        <v>0</v>
      </c>
      <c r="N1920" t="n">
        <v>0</v>
      </c>
      <c r="O1920" t="n">
        <v>0</v>
      </c>
      <c r="P1920" t="n">
        <v>0</v>
      </c>
      <c r="Q1920" t="n">
        <v>0</v>
      </c>
      <c r="R1920" s="2" t="inlineStr"/>
    </row>
    <row r="1921" ht="15" customHeight="1">
      <c r="A1921" t="inlineStr">
        <is>
          <t>A 25585-2019</t>
        </is>
      </c>
      <c r="B1921" s="1" t="n">
        <v>43607</v>
      </c>
      <c r="C1921" s="1" t="n">
        <v>45190</v>
      </c>
      <c r="D1921" t="inlineStr">
        <is>
          <t>KALMAR LÄN</t>
        </is>
      </c>
      <c r="E1921" t="inlineStr">
        <is>
          <t>OSKARSHAMN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25676-2019</t>
        </is>
      </c>
      <c r="B1922" s="1" t="n">
        <v>43607</v>
      </c>
      <c r="C1922" s="1" t="n">
        <v>45190</v>
      </c>
      <c r="D1922" t="inlineStr">
        <is>
          <t>KALMAR LÄN</t>
        </is>
      </c>
      <c r="E1922" t="inlineStr">
        <is>
          <t>NYBRO</t>
        </is>
      </c>
      <c r="G1922" t="n">
        <v>7.6</v>
      </c>
      <c r="H1922" t="n">
        <v>0</v>
      </c>
      <c r="I1922" t="n">
        <v>0</v>
      </c>
      <c r="J1922" t="n">
        <v>0</v>
      </c>
      <c r="K1922" t="n">
        <v>0</v>
      </c>
      <c r="L1922" t="n">
        <v>0</v>
      </c>
      <c r="M1922" t="n">
        <v>0</v>
      </c>
      <c r="N1922" t="n">
        <v>0</v>
      </c>
      <c r="O1922" t="n">
        <v>0</v>
      </c>
      <c r="P1922" t="n">
        <v>0</v>
      </c>
      <c r="Q1922" t="n">
        <v>0</v>
      </c>
      <c r="R1922" s="2" t="inlineStr"/>
    </row>
    <row r="1923" ht="15" customHeight="1">
      <c r="A1923" t="inlineStr">
        <is>
          <t>A 25689-2019</t>
        </is>
      </c>
      <c r="B1923" s="1" t="n">
        <v>43607</v>
      </c>
      <c r="C1923" s="1" t="n">
        <v>45190</v>
      </c>
      <c r="D1923" t="inlineStr">
        <is>
          <t>KALMAR LÄN</t>
        </is>
      </c>
      <c r="E1923" t="inlineStr">
        <is>
          <t>NYBRO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25701-2019</t>
        </is>
      </c>
      <c r="B1924" s="1" t="n">
        <v>43607</v>
      </c>
      <c r="C1924" s="1" t="n">
        <v>45190</v>
      </c>
      <c r="D1924" t="inlineStr">
        <is>
          <t>KALMAR LÄN</t>
        </is>
      </c>
      <c r="E1924" t="inlineStr">
        <is>
          <t>NYBRO</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25870-2019</t>
        </is>
      </c>
      <c r="B1925" s="1" t="n">
        <v>43608</v>
      </c>
      <c r="C1925" s="1" t="n">
        <v>45190</v>
      </c>
      <c r="D1925" t="inlineStr">
        <is>
          <t>KALMAR LÄN</t>
        </is>
      </c>
      <c r="E1925" t="inlineStr">
        <is>
          <t>OSKARSHAMN</t>
        </is>
      </c>
      <c r="F1925" t="inlineStr">
        <is>
          <t>Sveaskog</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26833-2019</t>
        </is>
      </c>
      <c r="B1926" s="1" t="n">
        <v>43608</v>
      </c>
      <c r="C1926" s="1" t="n">
        <v>45190</v>
      </c>
      <c r="D1926" t="inlineStr">
        <is>
          <t>KALMAR LÄN</t>
        </is>
      </c>
      <c r="E1926" t="inlineStr">
        <is>
          <t>VÄSTERVIK</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25753-2019</t>
        </is>
      </c>
      <c r="B1927" s="1" t="n">
        <v>43608</v>
      </c>
      <c r="C1927" s="1" t="n">
        <v>45190</v>
      </c>
      <c r="D1927" t="inlineStr">
        <is>
          <t>KALMAR LÄN</t>
        </is>
      </c>
      <c r="E1927" t="inlineStr">
        <is>
          <t>NYBRO</t>
        </is>
      </c>
      <c r="F1927" t="inlineStr">
        <is>
          <t>Sveaskog</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25869-2019</t>
        </is>
      </c>
      <c r="B1928" s="1" t="n">
        <v>43608</v>
      </c>
      <c r="C1928" s="1" t="n">
        <v>45190</v>
      </c>
      <c r="D1928" t="inlineStr">
        <is>
          <t>KALMAR LÄN</t>
        </is>
      </c>
      <c r="E1928" t="inlineStr">
        <is>
          <t>OSKARSHAMN</t>
        </is>
      </c>
      <c r="F1928" t="inlineStr">
        <is>
          <t>Sveaskog</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25906-2019</t>
        </is>
      </c>
      <c r="B1929" s="1" t="n">
        <v>43608</v>
      </c>
      <c r="C1929" s="1" t="n">
        <v>45190</v>
      </c>
      <c r="D1929" t="inlineStr">
        <is>
          <t>KALMAR LÄN</t>
        </is>
      </c>
      <c r="E1929" t="inlineStr">
        <is>
          <t>MÖNSTERÅS</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25835-2019</t>
        </is>
      </c>
      <c r="B1930" s="1" t="n">
        <v>43608</v>
      </c>
      <c r="C1930" s="1" t="n">
        <v>45190</v>
      </c>
      <c r="D1930" t="inlineStr">
        <is>
          <t>KALMAR LÄN</t>
        </is>
      </c>
      <c r="E1930" t="inlineStr">
        <is>
          <t>EMMABODA</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25871-2019</t>
        </is>
      </c>
      <c r="B1931" s="1" t="n">
        <v>43608</v>
      </c>
      <c r="C1931" s="1" t="n">
        <v>45190</v>
      </c>
      <c r="D1931" t="inlineStr">
        <is>
          <t>KALMAR LÄN</t>
        </is>
      </c>
      <c r="E1931" t="inlineStr">
        <is>
          <t>OSKARSHAMN</t>
        </is>
      </c>
      <c r="F1931" t="inlineStr">
        <is>
          <t>Sveaskog</t>
        </is>
      </c>
      <c r="G1931" t="n">
        <v>9.800000000000001</v>
      </c>
      <c r="H1931" t="n">
        <v>0</v>
      </c>
      <c r="I1931" t="n">
        <v>0</v>
      </c>
      <c r="J1931" t="n">
        <v>0</v>
      </c>
      <c r="K1931" t="n">
        <v>0</v>
      </c>
      <c r="L1931" t="n">
        <v>0</v>
      </c>
      <c r="M1931" t="n">
        <v>0</v>
      </c>
      <c r="N1931" t="n">
        <v>0</v>
      </c>
      <c r="O1931" t="n">
        <v>0</v>
      </c>
      <c r="P1931" t="n">
        <v>0</v>
      </c>
      <c r="Q1931" t="n">
        <v>0</v>
      </c>
      <c r="R1931" s="2" t="inlineStr"/>
    </row>
    <row r="1932" ht="15" customHeight="1">
      <c r="A1932" t="inlineStr">
        <is>
          <t>A 26834-2019</t>
        </is>
      </c>
      <c r="B1932" s="1" t="n">
        <v>43608</v>
      </c>
      <c r="C1932" s="1" t="n">
        <v>45190</v>
      </c>
      <c r="D1932" t="inlineStr">
        <is>
          <t>KALMAR LÄN</t>
        </is>
      </c>
      <c r="E1932" t="inlineStr">
        <is>
          <t>VÄSTERVIK</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26073-2019</t>
        </is>
      </c>
      <c r="B1933" s="1" t="n">
        <v>43609</v>
      </c>
      <c r="C1933" s="1" t="n">
        <v>45190</v>
      </c>
      <c r="D1933" t="inlineStr">
        <is>
          <t>KALMAR LÄN</t>
        </is>
      </c>
      <c r="E1933" t="inlineStr">
        <is>
          <t>VIMMERBY</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26409-2019</t>
        </is>
      </c>
      <c r="B1934" s="1" t="n">
        <v>43612</v>
      </c>
      <c r="C1934" s="1" t="n">
        <v>45190</v>
      </c>
      <c r="D1934" t="inlineStr">
        <is>
          <t>KALMAR LÄN</t>
        </is>
      </c>
      <c r="E1934" t="inlineStr">
        <is>
          <t>NYBRO</t>
        </is>
      </c>
      <c r="G1934" t="n">
        <v>18.1</v>
      </c>
      <c r="H1934" t="n">
        <v>0</v>
      </c>
      <c r="I1934" t="n">
        <v>0</v>
      </c>
      <c r="J1934" t="n">
        <v>0</v>
      </c>
      <c r="K1934" t="n">
        <v>0</v>
      </c>
      <c r="L1934" t="n">
        <v>0</v>
      </c>
      <c r="M1934" t="n">
        <v>0</v>
      </c>
      <c r="N1934" t="n">
        <v>0</v>
      </c>
      <c r="O1934" t="n">
        <v>0</v>
      </c>
      <c r="P1934" t="n">
        <v>0</v>
      </c>
      <c r="Q1934" t="n">
        <v>0</v>
      </c>
      <c r="R1934" s="2" t="inlineStr"/>
    </row>
    <row r="1935" ht="15" customHeight="1">
      <c r="A1935" t="inlineStr">
        <is>
          <t>A 26579-2019</t>
        </is>
      </c>
      <c r="B1935" s="1" t="n">
        <v>43612</v>
      </c>
      <c r="C1935" s="1" t="n">
        <v>45190</v>
      </c>
      <c r="D1935" t="inlineStr">
        <is>
          <t>KALMAR LÄN</t>
        </is>
      </c>
      <c r="E1935" t="inlineStr">
        <is>
          <t>EMMABODA</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26609-2019</t>
        </is>
      </c>
      <c r="B1936" s="1" t="n">
        <v>43612</v>
      </c>
      <c r="C1936" s="1" t="n">
        <v>45190</v>
      </c>
      <c r="D1936" t="inlineStr">
        <is>
          <t>KALMAR LÄN</t>
        </is>
      </c>
      <c r="E1936" t="inlineStr">
        <is>
          <t>TORSÅS</t>
        </is>
      </c>
      <c r="G1936" t="n">
        <v>3.7</v>
      </c>
      <c r="H1936" t="n">
        <v>0</v>
      </c>
      <c r="I1936" t="n">
        <v>0</v>
      </c>
      <c r="J1936" t="n">
        <v>0</v>
      </c>
      <c r="K1936" t="n">
        <v>0</v>
      </c>
      <c r="L1936" t="n">
        <v>0</v>
      </c>
      <c r="M1936" t="n">
        <v>0</v>
      </c>
      <c r="N1936" t="n">
        <v>0</v>
      </c>
      <c r="O1936" t="n">
        <v>0</v>
      </c>
      <c r="P1936" t="n">
        <v>0</v>
      </c>
      <c r="Q1936" t="n">
        <v>0</v>
      </c>
      <c r="R1936" s="2" t="inlineStr"/>
    </row>
    <row r="1937" ht="15" customHeight="1">
      <c r="A1937" t="inlineStr">
        <is>
          <t>A 26389-2019</t>
        </is>
      </c>
      <c r="B1937" s="1" t="n">
        <v>43612</v>
      </c>
      <c r="C1937" s="1" t="n">
        <v>45190</v>
      </c>
      <c r="D1937" t="inlineStr">
        <is>
          <t>KALMAR LÄN</t>
        </is>
      </c>
      <c r="E1937" t="inlineStr">
        <is>
          <t>KALMAR</t>
        </is>
      </c>
      <c r="G1937" t="n">
        <v>10.9</v>
      </c>
      <c r="H1937" t="n">
        <v>0</v>
      </c>
      <c r="I1937" t="n">
        <v>0</v>
      </c>
      <c r="J1937" t="n">
        <v>0</v>
      </c>
      <c r="K1937" t="n">
        <v>0</v>
      </c>
      <c r="L1937" t="n">
        <v>0</v>
      </c>
      <c r="M1937" t="n">
        <v>0</v>
      </c>
      <c r="N1937" t="n">
        <v>0</v>
      </c>
      <c r="O1937" t="n">
        <v>0</v>
      </c>
      <c r="P1937" t="n">
        <v>0</v>
      </c>
      <c r="Q1937" t="n">
        <v>0</v>
      </c>
      <c r="R1937" s="2" t="inlineStr"/>
    </row>
    <row r="1938" ht="15" customHeight="1">
      <c r="A1938" t="inlineStr">
        <is>
          <t>A 26420-2019</t>
        </is>
      </c>
      <c r="B1938" s="1" t="n">
        <v>43612</v>
      </c>
      <c r="C1938" s="1" t="n">
        <v>45190</v>
      </c>
      <c r="D1938" t="inlineStr">
        <is>
          <t>KALMAR LÄN</t>
        </is>
      </c>
      <c r="E1938" t="inlineStr">
        <is>
          <t>KALMAR</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26510-2019</t>
        </is>
      </c>
      <c r="B1939" s="1" t="n">
        <v>43612</v>
      </c>
      <c r="C1939" s="1" t="n">
        <v>45190</v>
      </c>
      <c r="D1939" t="inlineStr">
        <is>
          <t>KALMAR LÄN</t>
        </is>
      </c>
      <c r="E1939" t="inlineStr">
        <is>
          <t>HÖGSBY</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26359-2019</t>
        </is>
      </c>
      <c r="B1940" s="1" t="n">
        <v>43612</v>
      </c>
      <c r="C1940" s="1" t="n">
        <v>45190</v>
      </c>
      <c r="D1940" t="inlineStr">
        <is>
          <t>KALMAR LÄN</t>
        </is>
      </c>
      <c r="E1940" t="inlineStr">
        <is>
          <t>NYBRO</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26385-2019</t>
        </is>
      </c>
      <c r="B1941" s="1" t="n">
        <v>43612</v>
      </c>
      <c r="C1941" s="1" t="n">
        <v>45190</v>
      </c>
      <c r="D1941" t="inlineStr">
        <is>
          <t>KALMAR LÄN</t>
        </is>
      </c>
      <c r="E1941" t="inlineStr">
        <is>
          <t>HÖGSBY</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26563-2019</t>
        </is>
      </c>
      <c r="B1942" s="1" t="n">
        <v>43612</v>
      </c>
      <c r="C1942" s="1" t="n">
        <v>45190</v>
      </c>
      <c r="D1942" t="inlineStr">
        <is>
          <t>KALMAR LÄN</t>
        </is>
      </c>
      <c r="E1942" t="inlineStr">
        <is>
          <t>MÖRBYLÅNGA</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26571-2019</t>
        </is>
      </c>
      <c r="B1943" s="1" t="n">
        <v>43612</v>
      </c>
      <c r="C1943" s="1" t="n">
        <v>45190</v>
      </c>
      <c r="D1943" t="inlineStr">
        <is>
          <t>KALMAR LÄN</t>
        </is>
      </c>
      <c r="E1943" t="inlineStr">
        <is>
          <t>BORGHOLM</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26582-2019</t>
        </is>
      </c>
      <c r="B1944" s="1" t="n">
        <v>43612</v>
      </c>
      <c r="C1944" s="1" t="n">
        <v>45190</v>
      </c>
      <c r="D1944" t="inlineStr">
        <is>
          <t>KALMAR LÄN</t>
        </is>
      </c>
      <c r="E1944" t="inlineStr">
        <is>
          <t>EMMABODA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26590-2019</t>
        </is>
      </c>
      <c r="B1945" s="1" t="n">
        <v>43612</v>
      </c>
      <c r="C1945" s="1" t="n">
        <v>45190</v>
      </c>
      <c r="D1945" t="inlineStr">
        <is>
          <t>KALMAR LÄN</t>
        </is>
      </c>
      <c r="E1945" t="inlineStr">
        <is>
          <t>VÄSTERVIK</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26422-2019</t>
        </is>
      </c>
      <c r="B1946" s="1" t="n">
        <v>43612</v>
      </c>
      <c r="C1946" s="1" t="n">
        <v>45190</v>
      </c>
      <c r="D1946" t="inlineStr">
        <is>
          <t>KALMAR LÄN</t>
        </is>
      </c>
      <c r="E1946" t="inlineStr">
        <is>
          <t>TORSÅS</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26546-2019</t>
        </is>
      </c>
      <c r="B1947" s="1" t="n">
        <v>43612</v>
      </c>
      <c r="C1947" s="1" t="n">
        <v>45190</v>
      </c>
      <c r="D1947" t="inlineStr">
        <is>
          <t>KALMAR LÄN</t>
        </is>
      </c>
      <c r="E1947" t="inlineStr">
        <is>
          <t>TORSÅS</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26567-2019</t>
        </is>
      </c>
      <c r="B1948" s="1" t="n">
        <v>43612</v>
      </c>
      <c r="C1948" s="1" t="n">
        <v>45190</v>
      </c>
      <c r="D1948" t="inlineStr">
        <is>
          <t>KALMAR LÄN</t>
        </is>
      </c>
      <c r="E1948" t="inlineStr">
        <is>
          <t>VÄSTERVIK</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26578-2019</t>
        </is>
      </c>
      <c r="B1949" s="1" t="n">
        <v>43612</v>
      </c>
      <c r="C1949" s="1" t="n">
        <v>45190</v>
      </c>
      <c r="D1949" t="inlineStr">
        <is>
          <t>KALMAR LÄN</t>
        </is>
      </c>
      <c r="E1949" t="inlineStr">
        <is>
          <t>VÄSTERVIK</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26585-2019</t>
        </is>
      </c>
      <c r="B1950" s="1" t="n">
        <v>43612</v>
      </c>
      <c r="C1950" s="1" t="n">
        <v>45190</v>
      </c>
      <c r="D1950" t="inlineStr">
        <is>
          <t>KALMAR LÄN</t>
        </is>
      </c>
      <c r="E1950" t="inlineStr">
        <is>
          <t>VÄSTERVIK</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29785-2019</t>
        </is>
      </c>
      <c r="B1951" s="1" t="n">
        <v>43613</v>
      </c>
      <c r="C1951" s="1" t="n">
        <v>45190</v>
      </c>
      <c r="D1951" t="inlineStr">
        <is>
          <t>KALMAR LÄN</t>
        </is>
      </c>
      <c r="E1951" t="inlineStr">
        <is>
          <t>KALMAR</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26695-2019</t>
        </is>
      </c>
      <c r="B1952" s="1" t="n">
        <v>43613</v>
      </c>
      <c r="C1952" s="1" t="n">
        <v>45190</v>
      </c>
      <c r="D1952" t="inlineStr">
        <is>
          <t>KALMAR LÄN</t>
        </is>
      </c>
      <c r="E1952" t="inlineStr">
        <is>
          <t>EMMABODA</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26762-2019</t>
        </is>
      </c>
      <c r="B1953" s="1" t="n">
        <v>43613</v>
      </c>
      <c r="C1953" s="1" t="n">
        <v>45190</v>
      </c>
      <c r="D1953" t="inlineStr">
        <is>
          <t>KALMAR LÄN</t>
        </is>
      </c>
      <c r="E1953" t="inlineStr">
        <is>
          <t>TORSÅS</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26820-2019</t>
        </is>
      </c>
      <c r="B1954" s="1" t="n">
        <v>43613</v>
      </c>
      <c r="C1954" s="1" t="n">
        <v>45190</v>
      </c>
      <c r="D1954" t="inlineStr">
        <is>
          <t>KALMAR LÄN</t>
        </is>
      </c>
      <c r="E1954" t="inlineStr">
        <is>
          <t>EMMABODA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29781-2019</t>
        </is>
      </c>
      <c r="B1955" s="1" t="n">
        <v>43613</v>
      </c>
      <c r="C1955" s="1" t="n">
        <v>45190</v>
      </c>
      <c r="D1955" t="inlineStr">
        <is>
          <t>KALMAR LÄN</t>
        </is>
      </c>
      <c r="E1955" t="inlineStr">
        <is>
          <t>KALMAR</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26660-2019</t>
        </is>
      </c>
      <c r="B1956" s="1" t="n">
        <v>43613</v>
      </c>
      <c r="C1956" s="1" t="n">
        <v>45190</v>
      </c>
      <c r="D1956" t="inlineStr">
        <is>
          <t>KALMAR LÄN</t>
        </is>
      </c>
      <c r="E1956" t="inlineStr">
        <is>
          <t>VIMMERBY</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26714-2019</t>
        </is>
      </c>
      <c r="B1957" s="1" t="n">
        <v>43613</v>
      </c>
      <c r="C1957" s="1" t="n">
        <v>45190</v>
      </c>
      <c r="D1957" t="inlineStr">
        <is>
          <t>KALMAR LÄN</t>
        </is>
      </c>
      <c r="E1957" t="inlineStr">
        <is>
          <t>KALMAR</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28046-2019</t>
        </is>
      </c>
      <c r="B1958" s="1" t="n">
        <v>43613</v>
      </c>
      <c r="C1958" s="1" t="n">
        <v>45190</v>
      </c>
      <c r="D1958" t="inlineStr">
        <is>
          <t>KALMAR LÄN</t>
        </is>
      </c>
      <c r="E1958" t="inlineStr">
        <is>
          <t>KALMAR</t>
        </is>
      </c>
      <c r="G1958" t="n">
        <v>14.8</v>
      </c>
      <c r="H1958" t="n">
        <v>0</v>
      </c>
      <c r="I1958" t="n">
        <v>0</v>
      </c>
      <c r="J1958" t="n">
        <v>0</v>
      </c>
      <c r="K1958" t="n">
        <v>0</v>
      </c>
      <c r="L1958" t="n">
        <v>0</v>
      </c>
      <c r="M1958" t="n">
        <v>0</v>
      </c>
      <c r="N1958" t="n">
        <v>0</v>
      </c>
      <c r="O1958" t="n">
        <v>0</v>
      </c>
      <c r="P1958" t="n">
        <v>0</v>
      </c>
      <c r="Q1958" t="n">
        <v>0</v>
      </c>
      <c r="R1958" s="2" t="inlineStr"/>
    </row>
    <row r="1959" ht="15" customHeight="1">
      <c r="A1959" t="inlineStr">
        <is>
          <t>A 26669-2019</t>
        </is>
      </c>
      <c r="B1959" s="1" t="n">
        <v>43613</v>
      </c>
      <c r="C1959" s="1" t="n">
        <v>45190</v>
      </c>
      <c r="D1959" t="inlineStr">
        <is>
          <t>KALMAR LÄN</t>
        </is>
      </c>
      <c r="E1959" t="inlineStr">
        <is>
          <t>TORSÅS</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26712-2019</t>
        </is>
      </c>
      <c r="B1960" s="1" t="n">
        <v>43613</v>
      </c>
      <c r="C1960" s="1" t="n">
        <v>45190</v>
      </c>
      <c r="D1960" t="inlineStr">
        <is>
          <t>KALMAR LÄN</t>
        </is>
      </c>
      <c r="E1960" t="inlineStr">
        <is>
          <t>KALMAR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26765-2019</t>
        </is>
      </c>
      <c r="B1961" s="1" t="n">
        <v>43613</v>
      </c>
      <c r="C1961" s="1" t="n">
        <v>45190</v>
      </c>
      <c r="D1961" t="inlineStr">
        <is>
          <t>KALMAR LÄN</t>
        </is>
      </c>
      <c r="E1961" t="inlineStr">
        <is>
          <t>TORSÅS</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26936-2019</t>
        </is>
      </c>
      <c r="B1962" s="1" t="n">
        <v>43613</v>
      </c>
      <c r="C1962" s="1" t="n">
        <v>45190</v>
      </c>
      <c r="D1962" t="inlineStr">
        <is>
          <t>KALMAR LÄN</t>
        </is>
      </c>
      <c r="E1962" t="inlineStr">
        <is>
          <t>MÖNSTERÅS</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28038-2019</t>
        </is>
      </c>
      <c r="B1963" s="1" t="n">
        <v>43613</v>
      </c>
      <c r="C1963" s="1" t="n">
        <v>45190</v>
      </c>
      <c r="D1963" t="inlineStr">
        <is>
          <t>KALMAR LÄN</t>
        </is>
      </c>
      <c r="E1963" t="inlineStr">
        <is>
          <t>OSKARSHAMN</t>
        </is>
      </c>
      <c r="G1963" t="n">
        <v>5.8</v>
      </c>
      <c r="H1963" t="n">
        <v>0</v>
      </c>
      <c r="I1963" t="n">
        <v>0</v>
      </c>
      <c r="J1963" t="n">
        <v>0</v>
      </c>
      <c r="K1963" t="n">
        <v>0</v>
      </c>
      <c r="L1963" t="n">
        <v>0</v>
      </c>
      <c r="M1963" t="n">
        <v>0</v>
      </c>
      <c r="N1963" t="n">
        <v>0</v>
      </c>
      <c r="O1963" t="n">
        <v>0</v>
      </c>
      <c r="P1963" t="n">
        <v>0</v>
      </c>
      <c r="Q1963" t="n">
        <v>0</v>
      </c>
      <c r="R1963" s="2" t="inlineStr"/>
    </row>
    <row r="1964" ht="15" customHeight="1">
      <c r="A1964" t="inlineStr">
        <is>
          <t>A 26793-2019</t>
        </is>
      </c>
      <c r="B1964" s="1" t="n">
        <v>43613</v>
      </c>
      <c r="C1964" s="1" t="n">
        <v>45190</v>
      </c>
      <c r="D1964" t="inlineStr">
        <is>
          <t>KALMAR LÄN</t>
        </is>
      </c>
      <c r="E1964" t="inlineStr">
        <is>
          <t>NYBRO</t>
        </is>
      </c>
      <c r="G1964" t="n">
        <v>9.9</v>
      </c>
      <c r="H1964" t="n">
        <v>0</v>
      </c>
      <c r="I1964" t="n">
        <v>0</v>
      </c>
      <c r="J1964" t="n">
        <v>0</v>
      </c>
      <c r="K1964" t="n">
        <v>0</v>
      </c>
      <c r="L1964" t="n">
        <v>0</v>
      </c>
      <c r="M1964" t="n">
        <v>0</v>
      </c>
      <c r="N1964" t="n">
        <v>0</v>
      </c>
      <c r="O1964" t="n">
        <v>0</v>
      </c>
      <c r="P1964" t="n">
        <v>0</v>
      </c>
      <c r="Q1964" t="n">
        <v>0</v>
      </c>
      <c r="R1964" s="2" t="inlineStr"/>
    </row>
    <row r="1965" ht="15" customHeight="1">
      <c r="A1965" t="inlineStr">
        <is>
          <t>A 26934-2019</t>
        </is>
      </c>
      <c r="B1965" s="1" t="n">
        <v>43613</v>
      </c>
      <c r="C1965" s="1" t="n">
        <v>45190</v>
      </c>
      <c r="D1965" t="inlineStr">
        <is>
          <t>KALMAR LÄN</t>
        </is>
      </c>
      <c r="E1965" t="inlineStr">
        <is>
          <t>MÖNSTERÅS</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27047-2019</t>
        </is>
      </c>
      <c r="B1966" s="1" t="n">
        <v>43614</v>
      </c>
      <c r="C1966" s="1" t="n">
        <v>45190</v>
      </c>
      <c r="D1966" t="inlineStr">
        <is>
          <t>KALMAR LÄN</t>
        </is>
      </c>
      <c r="E1966" t="inlineStr">
        <is>
          <t>TORSÅS</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27057-2019</t>
        </is>
      </c>
      <c r="B1967" s="1" t="n">
        <v>43614</v>
      </c>
      <c r="C1967" s="1" t="n">
        <v>45190</v>
      </c>
      <c r="D1967" t="inlineStr">
        <is>
          <t>KALMAR LÄN</t>
        </is>
      </c>
      <c r="E1967" t="inlineStr">
        <is>
          <t>TORSÅS</t>
        </is>
      </c>
      <c r="G1967" t="n">
        <v>21.6</v>
      </c>
      <c r="H1967" t="n">
        <v>0</v>
      </c>
      <c r="I1967" t="n">
        <v>0</v>
      </c>
      <c r="J1967" t="n">
        <v>0</v>
      </c>
      <c r="K1967" t="n">
        <v>0</v>
      </c>
      <c r="L1967" t="n">
        <v>0</v>
      </c>
      <c r="M1967" t="n">
        <v>0</v>
      </c>
      <c r="N1967" t="n">
        <v>0</v>
      </c>
      <c r="O1967" t="n">
        <v>0</v>
      </c>
      <c r="P1967" t="n">
        <v>0</v>
      </c>
      <c r="Q1967" t="n">
        <v>0</v>
      </c>
      <c r="R1967" s="2" t="inlineStr"/>
    </row>
    <row r="1968" ht="15" customHeight="1">
      <c r="A1968" t="inlineStr">
        <is>
          <t>A 27129-2019</t>
        </is>
      </c>
      <c r="B1968" s="1" t="n">
        <v>43614</v>
      </c>
      <c r="C1968" s="1" t="n">
        <v>45190</v>
      </c>
      <c r="D1968" t="inlineStr">
        <is>
          <t>KALMAR LÄN</t>
        </is>
      </c>
      <c r="E1968" t="inlineStr">
        <is>
          <t>MÖNSTERÅS</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27206-2019</t>
        </is>
      </c>
      <c r="B1969" s="1" t="n">
        <v>43614</v>
      </c>
      <c r="C1969" s="1" t="n">
        <v>45190</v>
      </c>
      <c r="D1969" t="inlineStr">
        <is>
          <t>KALMAR LÄN</t>
        </is>
      </c>
      <c r="E1969" t="inlineStr">
        <is>
          <t>VÄSTERVIK</t>
        </is>
      </c>
      <c r="F1969" t="inlineStr">
        <is>
          <t>Sveaskog</t>
        </is>
      </c>
      <c r="G1969" t="n">
        <v>7.9</v>
      </c>
      <c r="H1969" t="n">
        <v>0</v>
      </c>
      <c r="I1969" t="n">
        <v>0</v>
      </c>
      <c r="J1969" t="n">
        <v>0</v>
      </c>
      <c r="K1969" t="n">
        <v>0</v>
      </c>
      <c r="L1969" t="n">
        <v>0</v>
      </c>
      <c r="M1969" t="n">
        <v>0</v>
      </c>
      <c r="N1969" t="n">
        <v>0</v>
      </c>
      <c r="O1969" t="n">
        <v>0</v>
      </c>
      <c r="P1969" t="n">
        <v>0</v>
      </c>
      <c r="Q1969" t="n">
        <v>0</v>
      </c>
      <c r="R1969" s="2" t="inlineStr"/>
    </row>
    <row r="1970" ht="15" customHeight="1">
      <c r="A1970" t="inlineStr">
        <is>
          <t>A 27394-2019</t>
        </is>
      </c>
      <c r="B1970" s="1" t="n">
        <v>43616</v>
      </c>
      <c r="C1970" s="1" t="n">
        <v>45190</v>
      </c>
      <c r="D1970" t="inlineStr">
        <is>
          <t>KALMAR LÄN</t>
        </is>
      </c>
      <c r="E1970" t="inlineStr">
        <is>
          <t>TORSÅS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27459-2019</t>
        </is>
      </c>
      <c r="B1971" s="1" t="n">
        <v>43618</v>
      </c>
      <c r="C1971" s="1" t="n">
        <v>45190</v>
      </c>
      <c r="D1971" t="inlineStr">
        <is>
          <t>KALMAR LÄN</t>
        </is>
      </c>
      <c r="E1971" t="inlineStr">
        <is>
          <t>EMMABODA</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27460-2019</t>
        </is>
      </c>
      <c r="B1972" s="1" t="n">
        <v>43618</v>
      </c>
      <c r="C1972" s="1" t="n">
        <v>45190</v>
      </c>
      <c r="D1972" t="inlineStr">
        <is>
          <t>KALMAR LÄN</t>
        </is>
      </c>
      <c r="E1972" t="inlineStr">
        <is>
          <t>EMMABODA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28970-2019</t>
        </is>
      </c>
      <c r="B1973" s="1" t="n">
        <v>43619</v>
      </c>
      <c r="C1973" s="1" t="n">
        <v>45190</v>
      </c>
      <c r="D1973" t="inlineStr">
        <is>
          <t>KALMAR LÄN</t>
        </is>
      </c>
      <c r="E1973" t="inlineStr">
        <is>
          <t>VÄSTERVIK</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27526-2019</t>
        </is>
      </c>
      <c r="B1974" s="1" t="n">
        <v>43619</v>
      </c>
      <c r="C1974" s="1" t="n">
        <v>45190</v>
      </c>
      <c r="D1974" t="inlineStr">
        <is>
          <t>KALMAR LÄN</t>
        </is>
      </c>
      <c r="E1974" t="inlineStr">
        <is>
          <t>MÖNSTERÅS</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27556-2019</t>
        </is>
      </c>
      <c r="B1975" s="1" t="n">
        <v>43619</v>
      </c>
      <c r="C1975" s="1" t="n">
        <v>45190</v>
      </c>
      <c r="D1975" t="inlineStr">
        <is>
          <t>KALMAR LÄN</t>
        </is>
      </c>
      <c r="E1975" t="inlineStr">
        <is>
          <t>MÖNSTERÅS</t>
        </is>
      </c>
      <c r="G1975" t="n">
        <v>6.4</v>
      </c>
      <c r="H1975" t="n">
        <v>0</v>
      </c>
      <c r="I1975" t="n">
        <v>0</v>
      </c>
      <c r="J1975" t="n">
        <v>0</v>
      </c>
      <c r="K1975" t="n">
        <v>0</v>
      </c>
      <c r="L1975" t="n">
        <v>0</v>
      </c>
      <c r="M1975" t="n">
        <v>0</v>
      </c>
      <c r="N1975" t="n">
        <v>0</v>
      </c>
      <c r="O1975" t="n">
        <v>0</v>
      </c>
      <c r="P1975" t="n">
        <v>0</v>
      </c>
      <c r="Q1975" t="n">
        <v>0</v>
      </c>
      <c r="R1975" s="2" t="inlineStr"/>
    </row>
    <row r="1976" ht="15" customHeight="1">
      <c r="A1976" t="inlineStr">
        <is>
          <t>A 27630-2019</t>
        </is>
      </c>
      <c r="B1976" s="1" t="n">
        <v>43619</v>
      </c>
      <c r="C1976" s="1" t="n">
        <v>45190</v>
      </c>
      <c r="D1976" t="inlineStr">
        <is>
          <t>KALMAR LÄN</t>
        </is>
      </c>
      <c r="E1976" t="inlineStr">
        <is>
          <t>NYBRO</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27732-2019</t>
        </is>
      </c>
      <c r="B1977" s="1" t="n">
        <v>43619</v>
      </c>
      <c r="C1977" s="1" t="n">
        <v>45190</v>
      </c>
      <c r="D1977" t="inlineStr">
        <is>
          <t>KALMAR LÄN</t>
        </is>
      </c>
      <c r="E1977" t="inlineStr">
        <is>
          <t>HÖGSBY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27584-2019</t>
        </is>
      </c>
      <c r="B1978" s="1" t="n">
        <v>43619</v>
      </c>
      <c r="C1978" s="1" t="n">
        <v>45190</v>
      </c>
      <c r="D1978" t="inlineStr">
        <is>
          <t>KALMAR LÄN</t>
        </is>
      </c>
      <c r="E1978" t="inlineStr">
        <is>
          <t>OSKARSHAMN</t>
        </is>
      </c>
      <c r="F1978" t="inlineStr">
        <is>
          <t>Sveaskog</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27654-2019</t>
        </is>
      </c>
      <c r="B1979" s="1" t="n">
        <v>43619</v>
      </c>
      <c r="C1979" s="1" t="n">
        <v>45190</v>
      </c>
      <c r="D1979" t="inlineStr">
        <is>
          <t>KALMAR LÄN</t>
        </is>
      </c>
      <c r="E1979" t="inlineStr">
        <is>
          <t>VÄSTERVIK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27741-2019</t>
        </is>
      </c>
      <c r="B1980" s="1" t="n">
        <v>43619</v>
      </c>
      <c r="C1980" s="1" t="n">
        <v>45190</v>
      </c>
      <c r="D1980" t="inlineStr">
        <is>
          <t>KALMAR LÄN</t>
        </is>
      </c>
      <c r="E1980" t="inlineStr">
        <is>
          <t>NYBRO</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27534-2019</t>
        </is>
      </c>
      <c r="B1981" s="1" t="n">
        <v>43619</v>
      </c>
      <c r="C1981" s="1" t="n">
        <v>45190</v>
      </c>
      <c r="D1981" t="inlineStr">
        <is>
          <t>KALMAR LÄN</t>
        </is>
      </c>
      <c r="E1981" t="inlineStr">
        <is>
          <t>OSKARSHAMN</t>
        </is>
      </c>
      <c r="F1981" t="inlineStr">
        <is>
          <t>Sveaskog</t>
        </is>
      </c>
      <c r="G1981" t="n">
        <v>9.699999999999999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27581-2019</t>
        </is>
      </c>
      <c r="B1982" s="1" t="n">
        <v>43619</v>
      </c>
      <c r="C1982" s="1" t="n">
        <v>45190</v>
      </c>
      <c r="D1982" t="inlineStr">
        <is>
          <t>KALMAR LÄN</t>
        </is>
      </c>
      <c r="E1982" t="inlineStr">
        <is>
          <t>OSKARSHAMN</t>
        </is>
      </c>
      <c r="F1982" t="inlineStr">
        <is>
          <t>Sveaskog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27863-2019</t>
        </is>
      </c>
      <c r="B1983" s="1" t="n">
        <v>43620</v>
      </c>
      <c r="C1983" s="1" t="n">
        <v>45190</v>
      </c>
      <c r="D1983" t="inlineStr">
        <is>
          <t>KALMAR LÄN</t>
        </is>
      </c>
      <c r="E1983" t="inlineStr">
        <is>
          <t>EMMABODA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27910-2019</t>
        </is>
      </c>
      <c r="B1984" s="1" t="n">
        <v>43620</v>
      </c>
      <c r="C1984" s="1" t="n">
        <v>45190</v>
      </c>
      <c r="D1984" t="inlineStr">
        <is>
          <t>KALMAR LÄN</t>
        </is>
      </c>
      <c r="E1984" t="inlineStr">
        <is>
          <t>NYBRO</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27941-2019</t>
        </is>
      </c>
      <c r="B1985" s="1" t="n">
        <v>43620</v>
      </c>
      <c r="C1985" s="1" t="n">
        <v>45190</v>
      </c>
      <c r="D1985" t="inlineStr">
        <is>
          <t>KALMAR LÄN</t>
        </is>
      </c>
      <c r="E1985" t="inlineStr">
        <is>
          <t>KALMAR</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29026-2019</t>
        </is>
      </c>
      <c r="B1986" s="1" t="n">
        <v>43620</v>
      </c>
      <c r="C1986" s="1" t="n">
        <v>45190</v>
      </c>
      <c r="D1986" t="inlineStr">
        <is>
          <t>KALMAR LÄN</t>
        </is>
      </c>
      <c r="E1986" t="inlineStr">
        <is>
          <t>NYBRO</t>
        </is>
      </c>
      <c r="G1986" t="n">
        <v>6</v>
      </c>
      <c r="H1986" t="n">
        <v>0</v>
      </c>
      <c r="I1986" t="n">
        <v>0</v>
      </c>
      <c r="J1986" t="n">
        <v>0</v>
      </c>
      <c r="K1986" t="n">
        <v>0</v>
      </c>
      <c r="L1986" t="n">
        <v>0</v>
      </c>
      <c r="M1986" t="n">
        <v>0</v>
      </c>
      <c r="N1986" t="n">
        <v>0</v>
      </c>
      <c r="O1986" t="n">
        <v>0</v>
      </c>
      <c r="P1986" t="n">
        <v>0</v>
      </c>
      <c r="Q1986" t="n">
        <v>0</v>
      </c>
      <c r="R1986" s="2" t="inlineStr"/>
    </row>
    <row r="1987" ht="15" customHeight="1">
      <c r="A1987" t="inlineStr">
        <is>
          <t>A 27904-2019</t>
        </is>
      </c>
      <c r="B1987" s="1" t="n">
        <v>43620</v>
      </c>
      <c r="C1987" s="1" t="n">
        <v>45190</v>
      </c>
      <c r="D1987" t="inlineStr">
        <is>
          <t>KALMAR LÄN</t>
        </is>
      </c>
      <c r="E1987" t="inlineStr">
        <is>
          <t>MÖNSTERÅS</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28013-2019</t>
        </is>
      </c>
      <c r="B1988" s="1" t="n">
        <v>43621</v>
      </c>
      <c r="C1988" s="1" t="n">
        <v>45190</v>
      </c>
      <c r="D1988" t="inlineStr">
        <is>
          <t>KALMAR LÄN</t>
        </is>
      </c>
      <c r="E1988" t="inlineStr">
        <is>
          <t>VIMMERBY</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28070-2019</t>
        </is>
      </c>
      <c r="B1989" s="1" t="n">
        <v>43621</v>
      </c>
      <c r="C1989" s="1" t="n">
        <v>45190</v>
      </c>
      <c r="D1989" t="inlineStr">
        <is>
          <t>KALMAR LÄN</t>
        </is>
      </c>
      <c r="E1989" t="inlineStr">
        <is>
          <t>NYBRO</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27989-2019</t>
        </is>
      </c>
      <c r="B1990" s="1" t="n">
        <v>43621</v>
      </c>
      <c r="C1990" s="1" t="n">
        <v>45190</v>
      </c>
      <c r="D1990" t="inlineStr">
        <is>
          <t>KALMAR LÄN</t>
        </is>
      </c>
      <c r="E1990" t="inlineStr">
        <is>
          <t>NYBRO</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28347-2019</t>
        </is>
      </c>
      <c r="B1991" s="1" t="n">
        <v>43624</v>
      </c>
      <c r="C1991" s="1" t="n">
        <v>45190</v>
      </c>
      <c r="D1991" t="inlineStr">
        <is>
          <t>KALMAR LÄN</t>
        </is>
      </c>
      <c r="E1991" t="inlineStr">
        <is>
          <t>VÄSTERVIK</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28348-2019</t>
        </is>
      </c>
      <c r="B1992" s="1" t="n">
        <v>43624</v>
      </c>
      <c r="C1992" s="1" t="n">
        <v>45190</v>
      </c>
      <c r="D1992" t="inlineStr">
        <is>
          <t>KALMAR LÄN</t>
        </is>
      </c>
      <c r="E1992" t="inlineStr">
        <is>
          <t>VIMMERBY</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28363-2019</t>
        </is>
      </c>
      <c r="B1993" s="1" t="n">
        <v>43625</v>
      </c>
      <c r="C1993" s="1" t="n">
        <v>45190</v>
      </c>
      <c r="D1993" t="inlineStr">
        <is>
          <t>KALMAR LÄN</t>
        </is>
      </c>
      <c r="E1993" t="inlineStr">
        <is>
          <t>KALMAR</t>
        </is>
      </c>
      <c r="G1993" t="n">
        <v>3.4</v>
      </c>
      <c r="H1993" t="n">
        <v>0</v>
      </c>
      <c r="I1993" t="n">
        <v>0</v>
      </c>
      <c r="J1993" t="n">
        <v>0</v>
      </c>
      <c r="K1993" t="n">
        <v>0</v>
      </c>
      <c r="L1993" t="n">
        <v>0</v>
      </c>
      <c r="M1993" t="n">
        <v>0</v>
      </c>
      <c r="N1993" t="n">
        <v>0</v>
      </c>
      <c r="O1993" t="n">
        <v>0</v>
      </c>
      <c r="P1993" t="n">
        <v>0</v>
      </c>
      <c r="Q1993" t="n">
        <v>0</v>
      </c>
      <c r="R1993" s="2" t="inlineStr"/>
    </row>
    <row r="1994" ht="15" customHeight="1">
      <c r="A1994" t="inlineStr">
        <is>
          <t>A 28414-2019</t>
        </is>
      </c>
      <c r="B1994" s="1" t="n">
        <v>43626</v>
      </c>
      <c r="C1994" s="1" t="n">
        <v>45190</v>
      </c>
      <c r="D1994" t="inlineStr">
        <is>
          <t>KALMAR LÄN</t>
        </is>
      </c>
      <c r="E1994" t="inlineStr">
        <is>
          <t>VIMMERBY</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28593-2019</t>
        </is>
      </c>
      <c r="B1995" s="1" t="n">
        <v>43626</v>
      </c>
      <c r="C1995" s="1" t="n">
        <v>45190</v>
      </c>
      <c r="D1995" t="inlineStr">
        <is>
          <t>KALMAR LÄN</t>
        </is>
      </c>
      <c r="E1995" t="inlineStr">
        <is>
          <t>TORSÅS</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28540-2019</t>
        </is>
      </c>
      <c r="B1996" s="1" t="n">
        <v>43626</v>
      </c>
      <c r="C1996" s="1" t="n">
        <v>45190</v>
      </c>
      <c r="D1996" t="inlineStr">
        <is>
          <t>KALMAR LÄN</t>
        </is>
      </c>
      <c r="E1996" t="inlineStr">
        <is>
          <t>EMMABODA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28438-2019</t>
        </is>
      </c>
      <c r="B1997" s="1" t="n">
        <v>43626</v>
      </c>
      <c r="C1997" s="1" t="n">
        <v>45190</v>
      </c>
      <c r="D1997" t="inlineStr">
        <is>
          <t>KALMAR LÄN</t>
        </is>
      </c>
      <c r="E1997" t="inlineStr">
        <is>
          <t>NYBRO</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28539-2019</t>
        </is>
      </c>
      <c r="B1998" s="1" t="n">
        <v>43626</v>
      </c>
      <c r="C1998" s="1" t="n">
        <v>45190</v>
      </c>
      <c r="D1998" t="inlineStr">
        <is>
          <t>KALMAR LÄN</t>
        </is>
      </c>
      <c r="E1998" t="inlineStr">
        <is>
          <t>EMMABODA</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28594-2019</t>
        </is>
      </c>
      <c r="B1999" s="1" t="n">
        <v>43626</v>
      </c>
      <c r="C1999" s="1" t="n">
        <v>45190</v>
      </c>
      <c r="D1999" t="inlineStr">
        <is>
          <t>KALMAR LÄN</t>
        </is>
      </c>
      <c r="E1999" t="inlineStr">
        <is>
          <t>VÄSTERVIK</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28590-2019</t>
        </is>
      </c>
      <c r="B2000" s="1" t="n">
        <v>43626</v>
      </c>
      <c r="C2000" s="1" t="n">
        <v>45190</v>
      </c>
      <c r="D2000" t="inlineStr">
        <is>
          <t>KALMAR LÄN</t>
        </is>
      </c>
      <c r="E2000" t="inlineStr">
        <is>
          <t>VÄSTERVIK</t>
        </is>
      </c>
      <c r="G2000" t="n">
        <v>2.9</v>
      </c>
      <c r="H2000" t="n">
        <v>0</v>
      </c>
      <c r="I2000" t="n">
        <v>0</v>
      </c>
      <c r="J2000" t="n">
        <v>0</v>
      </c>
      <c r="K2000" t="n">
        <v>0</v>
      </c>
      <c r="L2000" t="n">
        <v>0</v>
      </c>
      <c r="M2000" t="n">
        <v>0</v>
      </c>
      <c r="N2000" t="n">
        <v>0</v>
      </c>
      <c r="O2000" t="n">
        <v>0</v>
      </c>
      <c r="P2000" t="n">
        <v>0</v>
      </c>
      <c r="Q2000" t="n">
        <v>0</v>
      </c>
      <c r="R2000" s="2" t="inlineStr"/>
    </row>
    <row r="2001" ht="15" customHeight="1">
      <c r="A2001" t="inlineStr">
        <is>
          <t>A 28797-2019</t>
        </is>
      </c>
      <c r="B2001" s="1" t="n">
        <v>43627</v>
      </c>
      <c r="C2001" s="1" t="n">
        <v>45190</v>
      </c>
      <c r="D2001" t="inlineStr">
        <is>
          <t>KALMAR LÄN</t>
        </is>
      </c>
      <c r="E2001" t="inlineStr">
        <is>
          <t>EMMABODA</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28820-2019</t>
        </is>
      </c>
      <c r="B2002" s="1" t="n">
        <v>43627</v>
      </c>
      <c r="C2002" s="1" t="n">
        <v>45190</v>
      </c>
      <c r="D2002" t="inlineStr">
        <is>
          <t>KALMAR LÄN</t>
        </is>
      </c>
      <c r="E2002" t="inlineStr">
        <is>
          <t>MÖNSTERÅS</t>
        </is>
      </c>
      <c r="G2002" t="n">
        <v>7.7</v>
      </c>
      <c r="H2002" t="n">
        <v>0</v>
      </c>
      <c r="I2002" t="n">
        <v>0</v>
      </c>
      <c r="J2002" t="n">
        <v>0</v>
      </c>
      <c r="K2002" t="n">
        <v>0</v>
      </c>
      <c r="L2002" t="n">
        <v>0</v>
      </c>
      <c r="M2002" t="n">
        <v>0</v>
      </c>
      <c r="N2002" t="n">
        <v>0</v>
      </c>
      <c r="O2002" t="n">
        <v>0</v>
      </c>
      <c r="P2002" t="n">
        <v>0</v>
      </c>
      <c r="Q2002" t="n">
        <v>0</v>
      </c>
      <c r="R2002" s="2" t="inlineStr"/>
    </row>
    <row r="2003" ht="15" customHeight="1">
      <c r="A2003" t="inlineStr">
        <is>
          <t>A 28771-2019</t>
        </is>
      </c>
      <c r="B2003" s="1" t="n">
        <v>43627</v>
      </c>
      <c r="C2003" s="1" t="n">
        <v>45190</v>
      </c>
      <c r="D2003" t="inlineStr">
        <is>
          <t>KALMAR LÄN</t>
        </is>
      </c>
      <c r="E2003" t="inlineStr">
        <is>
          <t>MÖNSTERÅS</t>
        </is>
      </c>
      <c r="G2003" t="n">
        <v>6.3</v>
      </c>
      <c r="H2003" t="n">
        <v>0</v>
      </c>
      <c r="I2003" t="n">
        <v>0</v>
      </c>
      <c r="J2003" t="n">
        <v>0</v>
      </c>
      <c r="K2003" t="n">
        <v>0</v>
      </c>
      <c r="L2003" t="n">
        <v>0</v>
      </c>
      <c r="M2003" t="n">
        <v>0</v>
      </c>
      <c r="N2003" t="n">
        <v>0</v>
      </c>
      <c r="O2003" t="n">
        <v>0</v>
      </c>
      <c r="P2003" t="n">
        <v>0</v>
      </c>
      <c r="Q2003" t="n">
        <v>0</v>
      </c>
      <c r="R2003" s="2" t="inlineStr"/>
    </row>
    <row r="2004" ht="15" customHeight="1">
      <c r="A2004" t="inlineStr">
        <is>
          <t>A 28745-2019</t>
        </is>
      </c>
      <c r="B2004" s="1" t="n">
        <v>43627</v>
      </c>
      <c r="C2004" s="1" t="n">
        <v>45190</v>
      </c>
      <c r="D2004" t="inlineStr">
        <is>
          <t>KALMAR LÄN</t>
        </is>
      </c>
      <c r="E2004" t="inlineStr">
        <is>
          <t>TORSÅS</t>
        </is>
      </c>
      <c r="G2004" t="n">
        <v>4.6</v>
      </c>
      <c r="H2004" t="n">
        <v>0</v>
      </c>
      <c r="I2004" t="n">
        <v>0</v>
      </c>
      <c r="J2004" t="n">
        <v>0</v>
      </c>
      <c r="K2004" t="n">
        <v>0</v>
      </c>
      <c r="L2004" t="n">
        <v>0</v>
      </c>
      <c r="M2004" t="n">
        <v>0</v>
      </c>
      <c r="N2004" t="n">
        <v>0</v>
      </c>
      <c r="O2004" t="n">
        <v>0</v>
      </c>
      <c r="P2004" t="n">
        <v>0</v>
      </c>
      <c r="Q2004" t="n">
        <v>0</v>
      </c>
      <c r="R2004" s="2" t="inlineStr"/>
    </row>
    <row r="2005" ht="15" customHeight="1">
      <c r="A2005" t="inlineStr">
        <is>
          <t>A 28764-2019</t>
        </is>
      </c>
      <c r="B2005" s="1" t="n">
        <v>43627</v>
      </c>
      <c r="C2005" s="1" t="n">
        <v>45190</v>
      </c>
      <c r="D2005" t="inlineStr">
        <is>
          <t>KALMAR LÄN</t>
        </is>
      </c>
      <c r="E2005" t="inlineStr">
        <is>
          <t>TORSÅS</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28816-2019</t>
        </is>
      </c>
      <c r="B2006" s="1" t="n">
        <v>43627</v>
      </c>
      <c r="C2006" s="1" t="n">
        <v>45190</v>
      </c>
      <c r="D2006" t="inlineStr">
        <is>
          <t>KALMAR LÄN</t>
        </is>
      </c>
      <c r="E2006" t="inlineStr">
        <is>
          <t>HULTSFRED</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29519-2019</t>
        </is>
      </c>
      <c r="B2007" s="1" t="n">
        <v>43627</v>
      </c>
      <c r="C2007" s="1" t="n">
        <v>45190</v>
      </c>
      <c r="D2007" t="inlineStr">
        <is>
          <t>KALMAR LÄN</t>
        </is>
      </c>
      <c r="E2007" t="inlineStr">
        <is>
          <t>VÄSTERVIK</t>
        </is>
      </c>
      <c r="F2007" t="inlineStr">
        <is>
          <t>Kommuner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29068-2019</t>
        </is>
      </c>
      <c r="B2008" s="1" t="n">
        <v>43628</v>
      </c>
      <c r="C2008" s="1" t="n">
        <v>45190</v>
      </c>
      <c r="D2008" t="inlineStr">
        <is>
          <t>KALMAR LÄN</t>
        </is>
      </c>
      <c r="E2008" t="inlineStr">
        <is>
          <t>HULTSFRED</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29056-2019</t>
        </is>
      </c>
      <c r="B2009" s="1" t="n">
        <v>43628</v>
      </c>
      <c r="C2009" s="1" t="n">
        <v>45190</v>
      </c>
      <c r="D2009" t="inlineStr">
        <is>
          <t>KALMAR LÄN</t>
        </is>
      </c>
      <c r="E2009" t="inlineStr">
        <is>
          <t>NYBRO</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29067-2019</t>
        </is>
      </c>
      <c r="B2010" s="1" t="n">
        <v>43628</v>
      </c>
      <c r="C2010" s="1" t="n">
        <v>45190</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29004-2019</t>
        </is>
      </c>
      <c r="B2011" s="1" t="n">
        <v>43628</v>
      </c>
      <c r="C2011" s="1" t="n">
        <v>45190</v>
      </c>
      <c r="D2011" t="inlineStr">
        <is>
          <t>KALMAR LÄN</t>
        </is>
      </c>
      <c r="E2011" t="inlineStr">
        <is>
          <t>VIMMERBY</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29070-2019</t>
        </is>
      </c>
      <c r="B2012" s="1" t="n">
        <v>43628</v>
      </c>
      <c r="C2012" s="1" t="n">
        <v>45190</v>
      </c>
      <c r="D2012" t="inlineStr">
        <is>
          <t>KALMAR LÄN</t>
        </is>
      </c>
      <c r="E2012" t="inlineStr">
        <is>
          <t>HULTSFRED</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29408-2019</t>
        </is>
      </c>
      <c r="B2013" s="1" t="n">
        <v>43629</v>
      </c>
      <c r="C2013" s="1" t="n">
        <v>45190</v>
      </c>
      <c r="D2013" t="inlineStr">
        <is>
          <t>KALMAR LÄN</t>
        </is>
      </c>
      <c r="E2013" t="inlineStr">
        <is>
          <t>VIMMERBY</t>
        </is>
      </c>
      <c r="G2013" t="n">
        <v>10.2</v>
      </c>
      <c r="H2013" t="n">
        <v>0</v>
      </c>
      <c r="I2013" t="n">
        <v>0</v>
      </c>
      <c r="J2013" t="n">
        <v>0</v>
      </c>
      <c r="K2013" t="n">
        <v>0</v>
      </c>
      <c r="L2013" t="n">
        <v>0</v>
      </c>
      <c r="M2013" t="n">
        <v>0</v>
      </c>
      <c r="N2013" t="n">
        <v>0</v>
      </c>
      <c r="O2013" t="n">
        <v>0</v>
      </c>
      <c r="P2013" t="n">
        <v>0</v>
      </c>
      <c r="Q2013" t="n">
        <v>0</v>
      </c>
      <c r="R2013" s="2" t="inlineStr"/>
    </row>
    <row r="2014" ht="15" customHeight="1">
      <c r="A2014" t="inlineStr">
        <is>
          <t>A 29262-2019</t>
        </is>
      </c>
      <c r="B2014" s="1" t="n">
        <v>43629</v>
      </c>
      <c r="C2014" s="1" t="n">
        <v>45190</v>
      </c>
      <c r="D2014" t="inlineStr">
        <is>
          <t>KALMAR LÄN</t>
        </is>
      </c>
      <c r="E2014" t="inlineStr">
        <is>
          <t>TORSÅS</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29463-2019</t>
        </is>
      </c>
      <c r="B2015" s="1" t="n">
        <v>43629</v>
      </c>
      <c r="C2015" s="1" t="n">
        <v>45190</v>
      </c>
      <c r="D2015" t="inlineStr">
        <is>
          <t>KALMAR LÄN</t>
        </is>
      </c>
      <c r="E2015" t="inlineStr">
        <is>
          <t>EMMABODA</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29317-2019</t>
        </is>
      </c>
      <c r="B2016" s="1" t="n">
        <v>43629</v>
      </c>
      <c r="C2016" s="1" t="n">
        <v>45190</v>
      </c>
      <c r="D2016" t="inlineStr">
        <is>
          <t>KALMAR LÄN</t>
        </is>
      </c>
      <c r="E2016" t="inlineStr">
        <is>
          <t>KALMAR</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29465-2019</t>
        </is>
      </c>
      <c r="B2017" s="1" t="n">
        <v>43629</v>
      </c>
      <c r="C2017" s="1" t="n">
        <v>45190</v>
      </c>
      <c r="D2017" t="inlineStr">
        <is>
          <t>KALMAR LÄN</t>
        </is>
      </c>
      <c r="E2017" t="inlineStr">
        <is>
          <t>EMMABODA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29296-2019</t>
        </is>
      </c>
      <c r="B2018" s="1" t="n">
        <v>43629</v>
      </c>
      <c r="C2018" s="1" t="n">
        <v>45190</v>
      </c>
      <c r="D2018" t="inlineStr">
        <is>
          <t>KALMAR LÄN</t>
        </is>
      </c>
      <c r="E2018" t="inlineStr">
        <is>
          <t>TORSÅS</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29349-2019</t>
        </is>
      </c>
      <c r="B2019" s="1" t="n">
        <v>43629</v>
      </c>
      <c r="C2019" s="1" t="n">
        <v>45190</v>
      </c>
      <c r="D2019" t="inlineStr">
        <is>
          <t>KALMAR LÄN</t>
        </is>
      </c>
      <c r="E2019" t="inlineStr">
        <is>
          <t>TORSÅS</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29380-2019</t>
        </is>
      </c>
      <c r="B2020" s="1" t="n">
        <v>43629</v>
      </c>
      <c r="C2020" s="1" t="n">
        <v>45190</v>
      </c>
      <c r="D2020" t="inlineStr">
        <is>
          <t>KALMAR LÄN</t>
        </is>
      </c>
      <c r="E2020" t="inlineStr">
        <is>
          <t>TORSÅS</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29464-2019</t>
        </is>
      </c>
      <c r="B2021" s="1" t="n">
        <v>43629</v>
      </c>
      <c r="C2021" s="1" t="n">
        <v>45190</v>
      </c>
      <c r="D2021" t="inlineStr">
        <is>
          <t>KALMAR LÄN</t>
        </is>
      </c>
      <c r="E2021" t="inlineStr">
        <is>
          <t>EMMABODA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29499-2019</t>
        </is>
      </c>
      <c r="B2022" s="1" t="n">
        <v>43630</v>
      </c>
      <c r="C2022" s="1" t="n">
        <v>45190</v>
      </c>
      <c r="D2022" t="inlineStr">
        <is>
          <t>KALMAR LÄN</t>
        </is>
      </c>
      <c r="E2022" t="inlineStr">
        <is>
          <t>TORSÅS</t>
        </is>
      </c>
      <c r="G2022" t="n">
        <v>10.7</v>
      </c>
      <c r="H2022" t="n">
        <v>0</v>
      </c>
      <c r="I2022" t="n">
        <v>0</v>
      </c>
      <c r="J2022" t="n">
        <v>0</v>
      </c>
      <c r="K2022" t="n">
        <v>0</v>
      </c>
      <c r="L2022" t="n">
        <v>0</v>
      </c>
      <c r="M2022" t="n">
        <v>0</v>
      </c>
      <c r="N2022" t="n">
        <v>0</v>
      </c>
      <c r="O2022" t="n">
        <v>0</v>
      </c>
      <c r="P2022" t="n">
        <v>0</v>
      </c>
      <c r="Q2022" t="n">
        <v>0</v>
      </c>
      <c r="R2022" s="2" t="inlineStr"/>
    </row>
    <row r="2023" ht="15" customHeight="1">
      <c r="A2023" t="inlineStr">
        <is>
          <t>A 29597-2019</t>
        </is>
      </c>
      <c r="B2023" s="1" t="n">
        <v>43630</v>
      </c>
      <c r="C2023" s="1" t="n">
        <v>45190</v>
      </c>
      <c r="D2023" t="inlineStr">
        <is>
          <t>KALMAR LÄN</t>
        </is>
      </c>
      <c r="E2023" t="inlineStr">
        <is>
          <t>EMMABODA</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29605-2019</t>
        </is>
      </c>
      <c r="B2024" s="1" t="n">
        <v>43630</v>
      </c>
      <c r="C2024" s="1" t="n">
        <v>45190</v>
      </c>
      <c r="D2024" t="inlineStr">
        <is>
          <t>KALMAR LÄN</t>
        </is>
      </c>
      <c r="E2024" t="inlineStr">
        <is>
          <t>OSKARSHAMN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29618-2019</t>
        </is>
      </c>
      <c r="B2025" s="1" t="n">
        <v>43630</v>
      </c>
      <c r="C2025" s="1" t="n">
        <v>45190</v>
      </c>
      <c r="D2025" t="inlineStr">
        <is>
          <t>KALMAR LÄN</t>
        </is>
      </c>
      <c r="E2025" t="inlineStr">
        <is>
          <t>EMMABODA</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29675-2019</t>
        </is>
      </c>
      <c r="B2026" s="1" t="n">
        <v>43630</v>
      </c>
      <c r="C2026" s="1" t="n">
        <v>45190</v>
      </c>
      <c r="D2026" t="inlineStr">
        <is>
          <t>KALMAR LÄN</t>
        </is>
      </c>
      <c r="E2026" t="inlineStr">
        <is>
          <t>VIMMERBY</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29717-2019</t>
        </is>
      </c>
      <c r="B2027" s="1" t="n">
        <v>43630</v>
      </c>
      <c r="C2027" s="1" t="n">
        <v>45190</v>
      </c>
      <c r="D2027" t="inlineStr">
        <is>
          <t>KALMAR LÄN</t>
        </is>
      </c>
      <c r="E2027" t="inlineStr">
        <is>
          <t>HÖGSBY</t>
        </is>
      </c>
      <c r="F2027" t="inlineStr">
        <is>
          <t>Sveaskog</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29599-2019</t>
        </is>
      </c>
      <c r="B2028" s="1" t="n">
        <v>43630</v>
      </c>
      <c r="C2028" s="1" t="n">
        <v>45190</v>
      </c>
      <c r="D2028" t="inlineStr">
        <is>
          <t>KALMAR LÄN</t>
        </is>
      </c>
      <c r="E2028" t="inlineStr">
        <is>
          <t>EMMABODA</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29627-2019</t>
        </is>
      </c>
      <c r="B2029" s="1" t="n">
        <v>43630</v>
      </c>
      <c r="C2029" s="1" t="n">
        <v>45190</v>
      </c>
      <c r="D2029" t="inlineStr">
        <is>
          <t>KALMAR LÄN</t>
        </is>
      </c>
      <c r="E2029" t="inlineStr">
        <is>
          <t>TORSÅS</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29602-2019</t>
        </is>
      </c>
      <c r="B2030" s="1" t="n">
        <v>43630</v>
      </c>
      <c r="C2030" s="1" t="n">
        <v>45190</v>
      </c>
      <c r="D2030" t="inlineStr">
        <is>
          <t>KALMAR LÄN</t>
        </is>
      </c>
      <c r="E2030" t="inlineStr">
        <is>
          <t>EMMABODA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29693-2019</t>
        </is>
      </c>
      <c r="B2031" s="1" t="n">
        <v>43630</v>
      </c>
      <c r="C2031" s="1" t="n">
        <v>45190</v>
      </c>
      <c r="D2031" t="inlineStr">
        <is>
          <t>KALMAR LÄN</t>
        </is>
      </c>
      <c r="E2031" t="inlineStr">
        <is>
          <t>VIMMERBY</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29775-2019</t>
        </is>
      </c>
      <c r="B2032" s="1" t="n">
        <v>43632</v>
      </c>
      <c r="C2032" s="1" t="n">
        <v>45190</v>
      </c>
      <c r="D2032" t="inlineStr">
        <is>
          <t>KALMAR LÄN</t>
        </is>
      </c>
      <c r="E2032" t="inlineStr">
        <is>
          <t>VIMMERBY</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29763-2019</t>
        </is>
      </c>
      <c r="B2033" s="1" t="n">
        <v>43632</v>
      </c>
      <c r="C2033" s="1" t="n">
        <v>45190</v>
      </c>
      <c r="D2033" t="inlineStr">
        <is>
          <t>KALMAR LÄN</t>
        </is>
      </c>
      <c r="E2033" t="inlineStr">
        <is>
          <t>EMMABODA</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29773-2019</t>
        </is>
      </c>
      <c r="B2034" s="1" t="n">
        <v>43632</v>
      </c>
      <c r="C2034" s="1" t="n">
        <v>45190</v>
      </c>
      <c r="D2034" t="inlineStr">
        <is>
          <t>KALMAR LÄN</t>
        </is>
      </c>
      <c r="E2034" t="inlineStr">
        <is>
          <t>VIMMERBY</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29818-2019</t>
        </is>
      </c>
      <c r="B2035" s="1" t="n">
        <v>43633</v>
      </c>
      <c r="C2035" s="1" t="n">
        <v>45190</v>
      </c>
      <c r="D2035" t="inlineStr">
        <is>
          <t>KALMAR LÄN</t>
        </is>
      </c>
      <c r="E2035" t="inlineStr">
        <is>
          <t>OSKARSHAMN</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29922-2019</t>
        </is>
      </c>
      <c r="B2036" s="1" t="n">
        <v>43633</v>
      </c>
      <c r="C2036" s="1" t="n">
        <v>45190</v>
      </c>
      <c r="D2036" t="inlineStr">
        <is>
          <t>KALMAR LÄN</t>
        </is>
      </c>
      <c r="E2036" t="inlineStr">
        <is>
          <t>VÄSTERVIK</t>
        </is>
      </c>
      <c r="G2036" t="n">
        <v>3.8</v>
      </c>
      <c r="H2036" t="n">
        <v>0</v>
      </c>
      <c r="I2036" t="n">
        <v>0</v>
      </c>
      <c r="J2036" t="n">
        <v>0</v>
      </c>
      <c r="K2036" t="n">
        <v>0</v>
      </c>
      <c r="L2036" t="n">
        <v>0</v>
      </c>
      <c r="M2036" t="n">
        <v>0</v>
      </c>
      <c r="N2036" t="n">
        <v>0</v>
      </c>
      <c r="O2036" t="n">
        <v>0</v>
      </c>
      <c r="P2036" t="n">
        <v>0</v>
      </c>
      <c r="Q2036" t="n">
        <v>0</v>
      </c>
      <c r="R2036" s="2" t="inlineStr"/>
    </row>
    <row r="2037" ht="15" customHeight="1">
      <c r="A2037" t="inlineStr">
        <is>
          <t>A 30058-2019</t>
        </is>
      </c>
      <c r="B2037" s="1" t="n">
        <v>43633</v>
      </c>
      <c r="C2037" s="1" t="n">
        <v>45190</v>
      </c>
      <c r="D2037" t="inlineStr">
        <is>
          <t>KALMAR LÄN</t>
        </is>
      </c>
      <c r="E2037" t="inlineStr">
        <is>
          <t>VÄSTERVIK</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30057-2019</t>
        </is>
      </c>
      <c r="B2038" s="1" t="n">
        <v>43633</v>
      </c>
      <c r="C2038" s="1" t="n">
        <v>45190</v>
      </c>
      <c r="D2038" t="inlineStr">
        <is>
          <t>KALMAR LÄN</t>
        </is>
      </c>
      <c r="E2038" t="inlineStr">
        <is>
          <t>VÄSTERVIK</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30114-2019</t>
        </is>
      </c>
      <c r="B2039" s="1" t="n">
        <v>43633</v>
      </c>
      <c r="C2039" s="1" t="n">
        <v>45190</v>
      </c>
      <c r="D2039" t="inlineStr">
        <is>
          <t>KALMAR LÄN</t>
        </is>
      </c>
      <c r="E2039" t="inlineStr">
        <is>
          <t>HULTSFRED</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30340-2019</t>
        </is>
      </c>
      <c r="B2040" s="1" t="n">
        <v>43634</v>
      </c>
      <c r="C2040" s="1" t="n">
        <v>45190</v>
      </c>
      <c r="D2040" t="inlineStr">
        <is>
          <t>KALMAR LÄN</t>
        </is>
      </c>
      <c r="E2040" t="inlineStr">
        <is>
          <t>MÖNSTERÅS</t>
        </is>
      </c>
      <c r="G2040" t="n">
        <v>8.6</v>
      </c>
      <c r="H2040" t="n">
        <v>0</v>
      </c>
      <c r="I2040" t="n">
        <v>0</v>
      </c>
      <c r="J2040" t="n">
        <v>0</v>
      </c>
      <c r="K2040" t="n">
        <v>0</v>
      </c>
      <c r="L2040" t="n">
        <v>0</v>
      </c>
      <c r="M2040" t="n">
        <v>0</v>
      </c>
      <c r="N2040" t="n">
        <v>0</v>
      </c>
      <c r="O2040" t="n">
        <v>0</v>
      </c>
      <c r="P2040" t="n">
        <v>0</v>
      </c>
      <c r="Q2040" t="n">
        <v>0</v>
      </c>
      <c r="R2040" s="2" t="inlineStr"/>
    </row>
    <row r="2041" ht="15" customHeight="1">
      <c r="A2041" t="inlineStr">
        <is>
          <t>A 30362-2019</t>
        </is>
      </c>
      <c r="B2041" s="1" t="n">
        <v>43634</v>
      </c>
      <c r="C2041" s="1" t="n">
        <v>45190</v>
      </c>
      <c r="D2041" t="inlineStr">
        <is>
          <t>KALMAR LÄN</t>
        </is>
      </c>
      <c r="E2041" t="inlineStr">
        <is>
          <t>HULTSFRED</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30195-2019</t>
        </is>
      </c>
      <c r="B2042" s="1" t="n">
        <v>43634</v>
      </c>
      <c r="C2042" s="1" t="n">
        <v>45190</v>
      </c>
      <c r="D2042" t="inlineStr">
        <is>
          <t>KALMAR LÄN</t>
        </is>
      </c>
      <c r="E2042" t="inlineStr">
        <is>
          <t>NYBRO</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30276-2019</t>
        </is>
      </c>
      <c r="B2043" s="1" t="n">
        <v>43634</v>
      </c>
      <c r="C2043" s="1" t="n">
        <v>45190</v>
      </c>
      <c r="D2043" t="inlineStr">
        <is>
          <t>KALMAR LÄN</t>
        </is>
      </c>
      <c r="E2043" t="inlineStr">
        <is>
          <t>HÖGSBY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30360-2019</t>
        </is>
      </c>
      <c r="B2044" s="1" t="n">
        <v>43634</v>
      </c>
      <c r="C2044" s="1" t="n">
        <v>45190</v>
      </c>
      <c r="D2044" t="inlineStr">
        <is>
          <t>KALMAR LÄN</t>
        </is>
      </c>
      <c r="E2044" t="inlineStr">
        <is>
          <t>KALMAR</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30366-2019</t>
        </is>
      </c>
      <c r="B2045" s="1" t="n">
        <v>43634</v>
      </c>
      <c r="C2045" s="1" t="n">
        <v>45190</v>
      </c>
      <c r="D2045" t="inlineStr">
        <is>
          <t>KALMAR LÄN</t>
        </is>
      </c>
      <c r="E2045" t="inlineStr">
        <is>
          <t>HULTSFRED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30475-2019</t>
        </is>
      </c>
      <c r="B2046" s="1" t="n">
        <v>43634</v>
      </c>
      <c r="C2046" s="1" t="n">
        <v>45190</v>
      </c>
      <c r="D2046" t="inlineStr">
        <is>
          <t>KALMAR LÄN</t>
        </is>
      </c>
      <c r="E2046" t="inlineStr">
        <is>
          <t>KALMAR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30364-2019</t>
        </is>
      </c>
      <c r="B2047" s="1" t="n">
        <v>43634</v>
      </c>
      <c r="C2047" s="1" t="n">
        <v>45190</v>
      </c>
      <c r="D2047" t="inlineStr">
        <is>
          <t>KALMAR LÄN</t>
        </is>
      </c>
      <c r="E2047" t="inlineStr">
        <is>
          <t>HULTSFRED</t>
        </is>
      </c>
      <c r="G2047" t="n">
        <v>4.9</v>
      </c>
      <c r="H2047" t="n">
        <v>0</v>
      </c>
      <c r="I2047" t="n">
        <v>0</v>
      </c>
      <c r="J2047" t="n">
        <v>0</v>
      </c>
      <c r="K2047" t="n">
        <v>0</v>
      </c>
      <c r="L2047" t="n">
        <v>0</v>
      </c>
      <c r="M2047" t="n">
        <v>0</v>
      </c>
      <c r="N2047" t="n">
        <v>0</v>
      </c>
      <c r="O2047" t="n">
        <v>0</v>
      </c>
      <c r="P2047" t="n">
        <v>0</v>
      </c>
      <c r="Q2047" t="n">
        <v>0</v>
      </c>
      <c r="R2047" s="2" t="inlineStr"/>
    </row>
    <row r="2048" ht="15" customHeight="1">
      <c r="A2048" t="inlineStr">
        <is>
          <t>A 30513-2019</t>
        </is>
      </c>
      <c r="B2048" s="1" t="n">
        <v>43635</v>
      </c>
      <c r="C2048" s="1" t="n">
        <v>45190</v>
      </c>
      <c r="D2048" t="inlineStr">
        <is>
          <t>KALMAR LÄN</t>
        </is>
      </c>
      <c r="E2048" t="inlineStr">
        <is>
          <t>HULTSFRED</t>
        </is>
      </c>
      <c r="G2048" t="n">
        <v>8.800000000000001</v>
      </c>
      <c r="H2048" t="n">
        <v>0</v>
      </c>
      <c r="I2048" t="n">
        <v>0</v>
      </c>
      <c r="J2048" t="n">
        <v>0</v>
      </c>
      <c r="K2048" t="n">
        <v>0</v>
      </c>
      <c r="L2048" t="n">
        <v>0</v>
      </c>
      <c r="M2048" t="n">
        <v>0</v>
      </c>
      <c r="N2048" t="n">
        <v>0</v>
      </c>
      <c r="O2048" t="n">
        <v>0</v>
      </c>
      <c r="P2048" t="n">
        <v>0</v>
      </c>
      <c r="Q2048" t="n">
        <v>0</v>
      </c>
      <c r="R2048" s="2" t="inlineStr"/>
    </row>
    <row r="2049" ht="15" customHeight="1">
      <c r="A2049" t="inlineStr">
        <is>
          <t>A 30517-2019</t>
        </is>
      </c>
      <c r="B2049" s="1" t="n">
        <v>43635</v>
      </c>
      <c r="C2049" s="1" t="n">
        <v>45190</v>
      </c>
      <c r="D2049" t="inlineStr">
        <is>
          <t>KALMAR LÄN</t>
        </is>
      </c>
      <c r="E2049" t="inlineStr">
        <is>
          <t>HULTSFRED</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30589-2019</t>
        </is>
      </c>
      <c r="B2050" s="1" t="n">
        <v>43635</v>
      </c>
      <c r="C2050" s="1" t="n">
        <v>45190</v>
      </c>
      <c r="D2050" t="inlineStr">
        <is>
          <t>KALMAR LÄN</t>
        </is>
      </c>
      <c r="E2050" t="inlineStr">
        <is>
          <t>BORGHOLM</t>
        </is>
      </c>
      <c r="G2050" t="n">
        <v>3.6</v>
      </c>
      <c r="H2050" t="n">
        <v>0</v>
      </c>
      <c r="I2050" t="n">
        <v>0</v>
      </c>
      <c r="J2050" t="n">
        <v>0</v>
      </c>
      <c r="K2050" t="n">
        <v>0</v>
      </c>
      <c r="L2050" t="n">
        <v>0</v>
      </c>
      <c r="M2050" t="n">
        <v>0</v>
      </c>
      <c r="N2050" t="n">
        <v>0</v>
      </c>
      <c r="O2050" t="n">
        <v>0</v>
      </c>
      <c r="P2050" t="n">
        <v>0</v>
      </c>
      <c r="Q2050" t="n">
        <v>0</v>
      </c>
      <c r="R2050" s="2" t="inlineStr"/>
    </row>
    <row r="2051" ht="15" customHeight="1">
      <c r="A2051" t="inlineStr">
        <is>
          <t>A 30466-2019</t>
        </is>
      </c>
      <c r="B2051" s="1" t="n">
        <v>43635</v>
      </c>
      <c r="C2051" s="1" t="n">
        <v>45190</v>
      </c>
      <c r="D2051" t="inlineStr">
        <is>
          <t>KALMAR LÄN</t>
        </is>
      </c>
      <c r="E2051" t="inlineStr">
        <is>
          <t>NYBRO</t>
        </is>
      </c>
      <c r="G2051" t="n">
        <v>4.7</v>
      </c>
      <c r="H2051" t="n">
        <v>0</v>
      </c>
      <c r="I2051" t="n">
        <v>0</v>
      </c>
      <c r="J2051" t="n">
        <v>0</v>
      </c>
      <c r="K2051" t="n">
        <v>0</v>
      </c>
      <c r="L2051" t="n">
        <v>0</v>
      </c>
      <c r="M2051" t="n">
        <v>0</v>
      </c>
      <c r="N2051" t="n">
        <v>0</v>
      </c>
      <c r="O2051" t="n">
        <v>0</v>
      </c>
      <c r="P2051" t="n">
        <v>0</v>
      </c>
      <c r="Q2051" t="n">
        <v>0</v>
      </c>
      <c r="R2051" s="2" t="inlineStr"/>
    </row>
    <row r="2052" ht="15" customHeight="1">
      <c r="A2052" t="inlineStr">
        <is>
          <t>A 30906-2019</t>
        </is>
      </c>
      <c r="B2052" s="1" t="n">
        <v>43636</v>
      </c>
      <c r="C2052" s="1" t="n">
        <v>45190</v>
      </c>
      <c r="D2052" t="inlineStr">
        <is>
          <t>KALMAR LÄN</t>
        </is>
      </c>
      <c r="E2052" t="inlineStr">
        <is>
          <t>EMMABODA</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31027-2019</t>
        </is>
      </c>
      <c r="B2053" s="1" t="n">
        <v>43636</v>
      </c>
      <c r="C2053" s="1" t="n">
        <v>45190</v>
      </c>
      <c r="D2053" t="inlineStr">
        <is>
          <t>KALMAR LÄN</t>
        </is>
      </c>
      <c r="E2053" t="inlineStr">
        <is>
          <t>VIMMERBY</t>
        </is>
      </c>
      <c r="F2053" t="inlineStr">
        <is>
          <t>Övriga statliga verk och myndigheter</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31020-2019</t>
        </is>
      </c>
      <c r="B2054" s="1" t="n">
        <v>43640</v>
      </c>
      <c r="C2054" s="1" t="n">
        <v>45190</v>
      </c>
      <c r="D2054" t="inlineStr">
        <is>
          <t>KALMAR LÄN</t>
        </is>
      </c>
      <c r="E2054" t="inlineStr">
        <is>
          <t>HULTSFRED</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31041-2019</t>
        </is>
      </c>
      <c r="B2055" s="1" t="n">
        <v>43640</v>
      </c>
      <c r="C2055" s="1" t="n">
        <v>45190</v>
      </c>
      <c r="D2055" t="inlineStr">
        <is>
          <t>KALMAR LÄN</t>
        </is>
      </c>
      <c r="E2055" t="inlineStr">
        <is>
          <t>OSKARSHAMN</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31072-2019</t>
        </is>
      </c>
      <c r="B2056" s="1" t="n">
        <v>43640</v>
      </c>
      <c r="C2056" s="1" t="n">
        <v>45190</v>
      </c>
      <c r="D2056" t="inlineStr">
        <is>
          <t>KALMAR LÄN</t>
        </is>
      </c>
      <c r="E2056" t="inlineStr">
        <is>
          <t>VÄSTERVIK</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31136-2019</t>
        </is>
      </c>
      <c r="B2057" s="1" t="n">
        <v>43640</v>
      </c>
      <c r="C2057" s="1" t="n">
        <v>45190</v>
      </c>
      <c r="D2057" t="inlineStr">
        <is>
          <t>KALMAR LÄN</t>
        </is>
      </c>
      <c r="E2057" t="inlineStr">
        <is>
          <t>HÖGSBY</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31269-2019</t>
        </is>
      </c>
      <c r="B2058" s="1" t="n">
        <v>43640</v>
      </c>
      <c r="C2058" s="1" t="n">
        <v>45190</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31602-2019</t>
        </is>
      </c>
      <c r="B2059" s="1" t="n">
        <v>43640</v>
      </c>
      <c r="C2059" s="1" t="n">
        <v>45190</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30994-2019</t>
        </is>
      </c>
      <c r="B2060" s="1" t="n">
        <v>43640</v>
      </c>
      <c r="C2060" s="1" t="n">
        <v>45190</v>
      </c>
      <c r="D2060" t="inlineStr">
        <is>
          <t>KALMAR LÄN</t>
        </is>
      </c>
      <c r="E2060" t="inlineStr">
        <is>
          <t>VIMMERBY</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30979-2019</t>
        </is>
      </c>
      <c r="B2061" s="1" t="n">
        <v>43640</v>
      </c>
      <c r="C2061" s="1" t="n">
        <v>45190</v>
      </c>
      <c r="D2061" t="inlineStr">
        <is>
          <t>KALMAR LÄN</t>
        </is>
      </c>
      <c r="E2061" t="inlineStr">
        <is>
          <t>KALMAR</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31021-2019</t>
        </is>
      </c>
      <c r="B2062" s="1" t="n">
        <v>43640</v>
      </c>
      <c r="C2062" s="1" t="n">
        <v>45190</v>
      </c>
      <c r="D2062" t="inlineStr">
        <is>
          <t>KALMAR LÄN</t>
        </is>
      </c>
      <c r="E2062" t="inlineStr">
        <is>
          <t>OSKARSHAMN</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31118-2019</t>
        </is>
      </c>
      <c r="B2063" s="1" t="n">
        <v>43640</v>
      </c>
      <c r="C2063" s="1" t="n">
        <v>45190</v>
      </c>
      <c r="D2063" t="inlineStr">
        <is>
          <t>KALMAR LÄN</t>
        </is>
      </c>
      <c r="E2063" t="inlineStr">
        <is>
          <t>NYBRO</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31272-2019</t>
        </is>
      </c>
      <c r="B2064" s="1" t="n">
        <v>43640</v>
      </c>
      <c r="C2064" s="1" t="n">
        <v>45190</v>
      </c>
      <c r="D2064" t="inlineStr">
        <is>
          <t>KALMAR LÄN</t>
        </is>
      </c>
      <c r="E2064" t="inlineStr">
        <is>
          <t>TORSÅS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31604-2019</t>
        </is>
      </c>
      <c r="B2065" s="1" t="n">
        <v>43640</v>
      </c>
      <c r="C2065" s="1" t="n">
        <v>45190</v>
      </c>
      <c r="D2065" t="inlineStr">
        <is>
          <t>KALMAR LÄN</t>
        </is>
      </c>
      <c r="E2065" t="inlineStr">
        <is>
          <t>KALMAR</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31023-2019</t>
        </is>
      </c>
      <c r="B2066" s="1" t="n">
        <v>43640</v>
      </c>
      <c r="C2066" s="1" t="n">
        <v>45190</v>
      </c>
      <c r="D2066" t="inlineStr">
        <is>
          <t>KALMAR LÄN</t>
        </is>
      </c>
      <c r="E2066" t="inlineStr">
        <is>
          <t>HULTSFRED</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31104-2019</t>
        </is>
      </c>
      <c r="B2067" s="1" t="n">
        <v>43640</v>
      </c>
      <c r="C2067" s="1" t="n">
        <v>45190</v>
      </c>
      <c r="D2067" t="inlineStr">
        <is>
          <t>KALMAR LÄN</t>
        </is>
      </c>
      <c r="E2067" t="inlineStr">
        <is>
          <t>NYBRO</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31128-2019</t>
        </is>
      </c>
      <c r="B2068" s="1" t="n">
        <v>43640</v>
      </c>
      <c r="C2068" s="1" t="n">
        <v>45190</v>
      </c>
      <c r="D2068" t="inlineStr">
        <is>
          <t>KALMAR LÄN</t>
        </is>
      </c>
      <c r="E2068" t="inlineStr">
        <is>
          <t>OSKARSHAMN</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31141-2019</t>
        </is>
      </c>
      <c r="B2069" s="1" t="n">
        <v>43640</v>
      </c>
      <c r="C2069" s="1" t="n">
        <v>45190</v>
      </c>
      <c r="D2069" t="inlineStr">
        <is>
          <t>KALMAR LÄN</t>
        </is>
      </c>
      <c r="E2069" t="inlineStr">
        <is>
          <t>MÖNSTERÅS</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31274-2019</t>
        </is>
      </c>
      <c r="B2070" s="1" t="n">
        <v>43640</v>
      </c>
      <c r="C2070" s="1" t="n">
        <v>45190</v>
      </c>
      <c r="D2070" t="inlineStr">
        <is>
          <t>KALMAR LÄN</t>
        </is>
      </c>
      <c r="E2070" t="inlineStr">
        <is>
          <t>TORSÅS</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31401-2019</t>
        </is>
      </c>
      <c r="B2071" s="1" t="n">
        <v>43641</v>
      </c>
      <c r="C2071" s="1" t="n">
        <v>45190</v>
      </c>
      <c r="D2071" t="inlineStr">
        <is>
          <t>KALMAR LÄN</t>
        </is>
      </c>
      <c r="E2071" t="inlineStr">
        <is>
          <t>NYBRO</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31509-2019</t>
        </is>
      </c>
      <c r="B2072" s="1" t="n">
        <v>43641</v>
      </c>
      <c r="C2072" s="1" t="n">
        <v>45190</v>
      </c>
      <c r="D2072" t="inlineStr">
        <is>
          <t>KALMAR LÄN</t>
        </is>
      </c>
      <c r="E2072" t="inlineStr">
        <is>
          <t>OSKARSHAMN</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31802-2019</t>
        </is>
      </c>
      <c r="B2073" s="1" t="n">
        <v>43641</v>
      </c>
      <c r="C2073" s="1" t="n">
        <v>45190</v>
      </c>
      <c r="D2073" t="inlineStr">
        <is>
          <t>KALMAR LÄN</t>
        </is>
      </c>
      <c r="E2073" t="inlineStr">
        <is>
          <t>NYBRO</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31863-2019</t>
        </is>
      </c>
      <c r="B2074" s="1" t="n">
        <v>43641</v>
      </c>
      <c r="C2074" s="1" t="n">
        <v>45190</v>
      </c>
      <c r="D2074" t="inlineStr">
        <is>
          <t>KALMAR LÄN</t>
        </is>
      </c>
      <c r="E2074" t="inlineStr">
        <is>
          <t>HULTSFRED</t>
        </is>
      </c>
      <c r="G2074" t="n">
        <v>6.2</v>
      </c>
      <c r="H2074" t="n">
        <v>0</v>
      </c>
      <c r="I2074" t="n">
        <v>0</v>
      </c>
      <c r="J2074" t="n">
        <v>0</v>
      </c>
      <c r="K2074" t="n">
        <v>0</v>
      </c>
      <c r="L2074" t="n">
        <v>0</v>
      </c>
      <c r="M2074" t="n">
        <v>0</v>
      </c>
      <c r="N2074" t="n">
        <v>0</v>
      </c>
      <c r="O2074" t="n">
        <v>0</v>
      </c>
      <c r="P2074" t="n">
        <v>0</v>
      </c>
      <c r="Q2074" t="n">
        <v>0</v>
      </c>
      <c r="R2074" s="2" t="inlineStr"/>
    </row>
    <row r="2075" ht="15" customHeight="1">
      <c r="A2075" t="inlineStr">
        <is>
          <t>A 31541-2019</t>
        </is>
      </c>
      <c r="B2075" s="1" t="n">
        <v>43641</v>
      </c>
      <c r="C2075" s="1" t="n">
        <v>45190</v>
      </c>
      <c r="D2075" t="inlineStr">
        <is>
          <t>KALMAR LÄN</t>
        </is>
      </c>
      <c r="E2075" t="inlineStr">
        <is>
          <t>EMMABODA</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31820-2019</t>
        </is>
      </c>
      <c r="B2076" s="1" t="n">
        <v>43641</v>
      </c>
      <c r="C2076" s="1" t="n">
        <v>45190</v>
      </c>
      <c r="D2076" t="inlineStr">
        <is>
          <t>KALMAR LÄN</t>
        </is>
      </c>
      <c r="E2076" t="inlineStr">
        <is>
          <t>EMMABODA</t>
        </is>
      </c>
      <c r="F2076" t="inlineStr">
        <is>
          <t>Kommuner</t>
        </is>
      </c>
      <c r="G2076" t="n">
        <v>2.6</v>
      </c>
      <c r="H2076" t="n">
        <v>0</v>
      </c>
      <c r="I2076" t="n">
        <v>0</v>
      </c>
      <c r="J2076" t="n">
        <v>0</v>
      </c>
      <c r="K2076" t="n">
        <v>0</v>
      </c>
      <c r="L2076" t="n">
        <v>0</v>
      </c>
      <c r="M2076" t="n">
        <v>0</v>
      </c>
      <c r="N2076" t="n">
        <v>0</v>
      </c>
      <c r="O2076" t="n">
        <v>0</v>
      </c>
      <c r="P2076" t="n">
        <v>0</v>
      </c>
      <c r="Q2076" t="n">
        <v>0</v>
      </c>
      <c r="R2076" s="2" t="inlineStr"/>
    </row>
    <row r="2077" ht="15" customHeight="1">
      <c r="A2077" t="inlineStr">
        <is>
          <t>A 31856-2019</t>
        </is>
      </c>
      <c r="B2077" s="1" t="n">
        <v>43642</v>
      </c>
      <c r="C2077" s="1" t="n">
        <v>45190</v>
      </c>
      <c r="D2077" t="inlineStr">
        <is>
          <t>KALMAR LÄN</t>
        </is>
      </c>
      <c r="E2077" t="inlineStr">
        <is>
          <t>EMMABODA</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31646-2019</t>
        </is>
      </c>
      <c r="B2078" s="1" t="n">
        <v>43642</v>
      </c>
      <c r="C2078" s="1" t="n">
        <v>45190</v>
      </c>
      <c r="D2078" t="inlineStr">
        <is>
          <t>KALMAR LÄN</t>
        </is>
      </c>
      <c r="E2078" t="inlineStr">
        <is>
          <t>EMMABODA</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31735-2019</t>
        </is>
      </c>
      <c r="B2079" s="1" t="n">
        <v>43642</v>
      </c>
      <c r="C2079" s="1" t="n">
        <v>45190</v>
      </c>
      <c r="D2079" t="inlineStr">
        <is>
          <t>KALMAR LÄN</t>
        </is>
      </c>
      <c r="E2079" t="inlineStr">
        <is>
          <t>TORSÅS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31665-2019</t>
        </is>
      </c>
      <c r="B2080" s="1" t="n">
        <v>43642</v>
      </c>
      <c r="C2080" s="1" t="n">
        <v>45190</v>
      </c>
      <c r="D2080" t="inlineStr">
        <is>
          <t>KALMAR LÄN</t>
        </is>
      </c>
      <c r="E2080" t="inlineStr">
        <is>
          <t>HULTSFRED</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31859-2019</t>
        </is>
      </c>
      <c r="B2081" s="1" t="n">
        <v>43642</v>
      </c>
      <c r="C2081" s="1" t="n">
        <v>45190</v>
      </c>
      <c r="D2081" t="inlineStr">
        <is>
          <t>KALMAR LÄN</t>
        </is>
      </c>
      <c r="E2081" t="inlineStr">
        <is>
          <t>VIMMERBY</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32001-2019</t>
        </is>
      </c>
      <c r="B2082" s="1" t="n">
        <v>43643</v>
      </c>
      <c r="C2082" s="1" t="n">
        <v>45190</v>
      </c>
      <c r="D2082" t="inlineStr">
        <is>
          <t>KALMAR LÄN</t>
        </is>
      </c>
      <c r="E2082" t="inlineStr">
        <is>
          <t>HULTSFRED</t>
        </is>
      </c>
      <c r="G2082" t="n">
        <v>9.1</v>
      </c>
      <c r="H2082" t="n">
        <v>0</v>
      </c>
      <c r="I2082" t="n">
        <v>0</v>
      </c>
      <c r="J2082" t="n">
        <v>0</v>
      </c>
      <c r="K2082" t="n">
        <v>0</v>
      </c>
      <c r="L2082" t="n">
        <v>0</v>
      </c>
      <c r="M2082" t="n">
        <v>0</v>
      </c>
      <c r="N2082" t="n">
        <v>0</v>
      </c>
      <c r="O2082" t="n">
        <v>0</v>
      </c>
      <c r="P2082" t="n">
        <v>0</v>
      </c>
      <c r="Q2082" t="n">
        <v>0</v>
      </c>
      <c r="R2082" s="2" t="inlineStr"/>
    </row>
    <row r="2083" ht="15" customHeight="1">
      <c r="A2083" t="inlineStr">
        <is>
          <t>A 32010-2019</t>
        </is>
      </c>
      <c r="B2083" s="1" t="n">
        <v>43643</v>
      </c>
      <c r="C2083" s="1" t="n">
        <v>45190</v>
      </c>
      <c r="D2083" t="inlineStr">
        <is>
          <t>KALMAR LÄN</t>
        </is>
      </c>
      <c r="E2083" t="inlineStr">
        <is>
          <t>HULTSFRED</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32045-2019</t>
        </is>
      </c>
      <c r="B2084" s="1" t="n">
        <v>43643</v>
      </c>
      <c r="C2084" s="1" t="n">
        <v>45190</v>
      </c>
      <c r="D2084" t="inlineStr">
        <is>
          <t>KALMAR LÄN</t>
        </is>
      </c>
      <c r="E2084" t="inlineStr">
        <is>
          <t>VÄSTERVIK</t>
        </is>
      </c>
      <c r="G2084" t="n">
        <v>6.5</v>
      </c>
      <c r="H2084" t="n">
        <v>0</v>
      </c>
      <c r="I2084" t="n">
        <v>0</v>
      </c>
      <c r="J2084" t="n">
        <v>0</v>
      </c>
      <c r="K2084" t="n">
        <v>0</v>
      </c>
      <c r="L2084" t="n">
        <v>0</v>
      </c>
      <c r="M2084" t="n">
        <v>0</v>
      </c>
      <c r="N2084" t="n">
        <v>0</v>
      </c>
      <c r="O2084" t="n">
        <v>0</v>
      </c>
      <c r="P2084" t="n">
        <v>0</v>
      </c>
      <c r="Q2084" t="n">
        <v>0</v>
      </c>
      <c r="R2084" s="2" t="inlineStr"/>
    </row>
    <row r="2085" ht="15" customHeight="1">
      <c r="A2085" t="inlineStr">
        <is>
          <t>A 32052-2019</t>
        </is>
      </c>
      <c r="B2085" s="1" t="n">
        <v>43643</v>
      </c>
      <c r="C2085" s="1" t="n">
        <v>45190</v>
      </c>
      <c r="D2085" t="inlineStr">
        <is>
          <t>KALMAR LÄN</t>
        </is>
      </c>
      <c r="E2085" t="inlineStr">
        <is>
          <t>VÄSTERVIK</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32152-2019</t>
        </is>
      </c>
      <c r="B2086" s="1" t="n">
        <v>43643</v>
      </c>
      <c r="C2086" s="1" t="n">
        <v>45190</v>
      </c>
      <c r="D2086" t="inlineStr">
        <is>
          <t>KALMAR LÄN</t>
        </is>
      </c>
      <c r="E2086" t="inlineStr">
        <is>
          <t>NYBRO</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31935-2019</t>
        </is>
      </c>
      <c r="B2087" s="1" t="n">
        <v>43643</v>
      </c>
      <c r="C2087" s="1" t="n">
        <v>45190</v>
      </c>
      <c r="D2087" t="inlineStr">
        <is>
          <t>KALMAR LÄN</t>
        </is>
      </c>
      <c r="E2087" t="inlineStr">
        <is>
          <t>TORSÅS</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32015-2019</t>
        </is>
      </c>
      <c r="B2088" s="1" t="n">
        <v>43643</v>
      </c>
      <c r="C2088" s="1" t="n">
        <v>45190</v>
      </c>
      <c r="D2088" t="inlineStr">
        <is>
          <t>KALMAR LÄN</t>
        </is>
      </c>
      <c r="E2088" t="inlineStr">
        <is>
          <t>HULTSFRED</t>
        </is>
      </c>
      <c r="G2088" t="n">
        <v>6.7</v>
      </c>
      <c r="H2088" t="n">
        <v>0</v>
      </c>
      <c r="I2088" t="n">
        <v>0</v>
      </c>
      <c r="J2088" t="n">
        <v>0</v>
      </c>
      <c r="K2088" t="n">
        <v>0</v>
      </c>
      <c r="L2088" t="n">
        <v>0</v>
      </c>
      <c r="M2088" t="n">
        <v>0</v>
      </c>
      <c r="N2088" t="n">
        <v>0</v>
      </c>
      <c r="O2088" t="n">
        <v>0</v>
      </c>
      <c r="P2088" t="n">
        <v>0</v>
      </c>
      <c r="Q2088" t="n">
        <v>0</v>
      </c>
      <c r="R2088" s="2" t="inlineStr"/>
    </row>
    <row r="2089" ht="15" customHeight="1">
      <c r="A2089" t="inlineStr">
        <is>
          <t>A 32048-2019</t>
        </is>
      </c>
      <c r="B2089" s="1" t="n">
        <v>43643</v>
      </c>
      <c r="C2089" s="1" t="n">
        <v>45190</v>
      </c>
      <c r="D2089" t="inlineStr">
        <is>
          <t>KALMAR LÄN</t>
        </is>
      </c>
      <c r="E2089" t="inlineStr">
        <is>
          <t>VÄSTERVIK</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32043-2019</t>
        </is>
      </c>
      <c r="B2090" s="1" t="n">
        <v>43643</v>
      </c>
      <c r="C2090" s="1" t="n">
        <v>45190</v>
      </c>
      <c r="D2090" t="inlineStr">
        <is>
          <t>KALMAR LÄN</t>
        </is>
      </c>
      <c r="E2090" t="inlineStr">
        <is>
          <t>KALMAR</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32086-2019</t>
        </is>
      </c>
      <c r="B2091" s="1" t="n">
        <v>43643</v>
      </c>
      <c r="C2091" s="1" t="n">
        <v>45190</v>
      </c>
      <c r="D2091" t="inlineStr">
        <is>
          <t>KALMAR LÄN</t>
        </is>
      </c>
      <c r="E2091" t="inlineStr">
        <is>
          <t>TORSÅS</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32122-2019</t>
        </is>
      </c>
      <c r="B2092" s="1" t="n">
        <v>43643</v>
      </c>
      <c r="C2092" s="1" t="n">
        <v>45190</v>
      </c>
      <c r="D2092" t="inlineStr">
        <is>
          <t>KALMAR LÄN</t>
        </is>
      </c>
      <c r="E2092" t="inlineStr">
        <is>
          <t>NYBRO</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32323-2019</t>
        </is>
      </c>
      <c r="B2093" s="1" t="n">
        <v>43644</v>
      </c>
      <c r="C2093" s="1" t="n">
        <v>45190</v>
      </c>
      <c r="D2093" t="inlineStr">
        <is>
          <t>KALMAR LÄN</t>
        </is>
      </c>
      <c r="E2093" t="inlineStr">
        <is>
          <t>OSKARSHAMN</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32329-2019</t>
        </is>
      </c>
      <c r="B2094" s="1" t="n">
        <v>43644</v>
      </c>
      <c r="C2094" s="1" t="n">
        <v>45190</v>
      </c>
      <c r="D2094" t="inlineStr">
        <is>
          <t>KALMAR LÄN</t>
        </is>
      </c>
      <c r="E2094" t="inlineStr">
        <is>
          <t>OSKARSHAMN</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32384-2019</t>
        </is>
      </c>
      <c r="B2095" s="1" t="n">
        <v>43644</v>
      </c>
      <c r="C2095" s="1" t="n">
        <v>45190</v>
      </c>
      <c r="D2095" t="inlineStr">
        <is>
          <t>KALMAR LÄN</t>
        </is>
      </c>
      <c r="E2095" t="inlineStr">
        <is>
          <t>HULTSFRED</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33750-2019</t>
        </is>
      </c>
      <c r="B2096" s="1" t="n">
        <v>43644</v>
      </c>
      <c r="C2096" s="1" t="n">
        <v>45190</v>
      </c>
      <c r="D2096" t="inlineStr">
        <is>
          <t>KALMAR LÄN</t>
        </is>
      </c>
      <c r="E2096" t="inlineStr">
        <is>
          <t>MÖRBYLÅNGA</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32509-2019</t>
        </is>
      </c>
      <c r="B2097" s="1" t="n">
        <v>43645</v>
      </c>
      <c r="C2097" s="1" t="n">
        <v>45190</v>
      </c>
      <c r="D2097" t="inlineStr">
        <is>
          <t>KALMAR LÄN</t>
        </is>
      </c>
      <c r="E2097" t="inlineStr">
        <is>
          <t>TORSÅS</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32523-2019</t>
        </is>
      </c>
      <c r="B2098" s="1" t="n">
        <v>43646</v>
      </c>
      <c r="C2098" s="1" t="n">
        <v>45190</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32522-2019</t>
        </is>
      </c>
      <c r="B2099" s="1" t="n">
        <v>43646</v>
      </c>
      <c r="C2099" s="1" t="n">
        <v>45190</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32521-2019</t>
        </is>
      </c>
      <c r="B2100" s="1" t="n">
        <v>43646</v>
      </c>
      <c r="C2100" s="1" t="n">
        <v>45190</v>
      </c>
      <c r="D2100" t="inlineStr">
        <is>
          <t>KALMAR LÄN</t>
        </is>
      </c>
      <c r="E2100" t="inlineStr">
        <is>
          <t>VÄSTERVIK</t>
        </is>
      </c>
      <c r="G2100" t="n">
        <v>0.4</v>
      </c>
      <c r="H2100" t="n">
        <v>0</v>
      </c>
      <c r="I2100" t="n">
        <v>0</v>
      </c>
      <c r="J2100" t="n">
        <v>0</v>
      </c>
      <c r="K2100" t="n">
        <v>0</v>
      </c>
      <c r="L2100" t="n">
        <v>0</v>
      </c>
      <c r="M2100" t="n">
        <v>0</v>
      </c>
      <c r="N2100" t="n">
        <v>0</v>
      </c>
      <c r="O2100" t="n">
        <v>0</v>
      </c>
      <c r="P2100" t="n">
        <v>0</v>
      </c>
      <c r="Q2100" t="n">
        <v>0</v>
      </c>
      <c r="R2100" s="2" t="inlineStr"/>
    </row>
    <row r="2101" ht="15" customHeight="1">
      <c r="A2101" t="inlineStr">
        <is>
          <t>A 32524-2019</t>
        </is>
      </c>
      <c r="B2101" s="1" t="n">
        <v>43646</v>
      </c>
      <c r="C2101" s="1" t="n">
        <v>45190</v>
      </c>
      <c r="D2101" t="inlineStr">
        <is>
          <t>KALMAR LÄN</t>
        </is>
      </c>
      <c r="E2101" t="inlineStr">
        <is>
          <t>VÄSTERVIK</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32556-2019</t>
        </is>
      </c>
      <c r="B2102" s="1" t="n">
        <v>43647</v>
      </c>
      <c r="C2102" s="1" t="n">
        <v>45190</v>
      </c>
      <c r="D2102" t="inlineStr">
        <is>
          <t>KALMAR LÄN</t>
        </is>
      </c>
      <c r="E2102" t="inlineStr">
        <is>
          <t>HÖGSBY</t>
        </is>
      </c>
      <c r="F2102" t="inlineStr">
        <is>
          <t>Sveaskog</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32595-2019</t>
        </is>
      </c>
      <c r="B2103" s="1" t="n">
        <v>43647</v>
      </c>
      <c r="C2103" s="1" t="n">
        <v>45190</v>
      </c>
      <c r="D2103" t="inlineStr">
        <is>
          <t>KALMAR LÄN</t>
        </is>
      </c>
      <c r="E2103" t="inlineStr">
        <is>
          <t>OSKARSHAMN</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32715-2019</t>
        </is>
      </c>
      <c r="B2104" s="1" t="n">
        <v>43647</v>
      </c>
      <c r="C2104" s="1" t="n">
        <v>45190</v>
      </c>
      <c r="D2104" t="inlineStr">
        <is>
          <t>KALMAR LÄN</t>
        </is>
      </c>
      <c r="E2104" t="inlineStr">
        <is>
          <t>HULTSFRED</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32727-2019</t>
        </is>
      </c>
      <c r="B2105" s="1" t="n">
        <v>43647</v>
      </c>
      <c r="C2105" s="1" t="n">
        <v>45190</v>
      </c>
      <c r="D2105" t="inlineStr">
        <is>
          <t>KALMAR LÄN</t>
        </is>
      </c>
      <c r="E2105" t="inlineStr">
        <is>
          <t>EMMABODA</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32837-2019</t>
        </is>
      </c>
      <c r="B2106" s="1" t="n">
        <v>43648</v>
      </c>
      <c r="C2106" s="1" t="n">
        <v>45190</v>
      </c>
      <c r="D2106" t="inlineStr">
        <is>
          <t>KALMAR LÄN</t>
        </is>
      </c>
      <c r="E2106" t="inlineStr">
        <is>
          <t>TORSÅS</t>
        </is>
      </c>
      <c r="G2106" t="n">
        <v>11.9</v>
      </c>
      <c r="H2106" t="n">
        <v>0</v>
      </c>
      <c r="I2106" t="n">
        <v>0</v>
      </c>
      <c r="J2106" t="n">
        <v>0</v>
      </c>
      <c r="K2106" t="n">
        <v>0</v>
      </c>
      <c r="L2106" t="n">
        <v>0</v>
      </c>
      <c r="M2106" t="n">
        <v>0</v>
      </c>
      <c r="N2106" t="n">
        <v>0</v>
      </c>
      <c r="O2106" t="n">
        <v>0</v>
      </c>
      <c r="P2106" t="n">
        <v>0</v>
      </c>
      <c r="Q2106" t="n">
        <v>0</v>
      </c>
      <c r="R2106" s="2" t="inlineStr"/>
    </row>
    <row r="2107" ht="15" customHeight="1">
      <c r="A2107" t="inlineStr">
        <is>
          <t>A 32911-2019</t>
        </is>
      </c>
      <c r="B2107" s="1" t="n">
        <v>43648</v>
      </c>
      <c r="C2107" s="1" t="n">
        <v>45190</v>
      </c>
      <c r="D2107" t="inlineStr">
        <is>
          <t>KALMAR LÄN</t>
        </is>
      </c>
      <c r="E2107" t="inlineStr">
        <is>
          <t>VIMMERBY</t>
        </is>
      </c>
      <c r="G2107" t="n">
        <v>5</v>
      </c>
      <c r="H2107" t="n">
        <v>0</v>
      </c>
      <c r="I2107" t="n">
        <v>0</v>
      </c>
      <c r="J2107" t="n">
        <v>0</v>
      </c>
      <c r="K2107" t="n">
        <v>0</v>
      </c>
      <c r="L2107" t="n">
        <v>0</v>
      </c>
      <c r="M2107" t="n">
        <v>0</v>
      </c>
      <c r="N2107" t="n">
        <v>0</v>
      </c>
      <c r="O2107" t="n">
        <v>0</v>
      </c>
      <c r="P2107" t="n">
        <v>0</v>
      </c>
      <c r="Q2107" t="n">
        <v>0</v>
      </c>
      <c r="R2107" s="2" t="inlineStr"/>
    </row>
    <row r="2108" ht="15" customHeight="1">
      <c r="A2108" t="inlineStr">
        <is>
          <t>A 32906-2019</t>
        </is>
      </c>
      <c r="B2108" s="1" t="n">
        <v>43648</v>
      </c>
      <c r="C2108" s="1" t="n">
        <v>45190</v>
      </c>
      <c r="D2108" t="inlineStr">
        <is>
          <t>KALMAR LÄN</t>
        </is>
      </c>
      <c r="E2108" t="inlineStr">
        <is>
          <t>OSKARSHAMN</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32913-2019</t>
        </is>
      </c>
      <c r="B2109" s="1" t="n">
        <v>43648</v>
      </c>
      <c r="C2109" s="1" t="n">
        <v>45190</v>
      </c>
      <c r="D2109" t="inlineStr">
        <is>
          <t>KALMAR LÄN</t>
        </is>
      </c>
      <c r="E2109" t="inlineStr">
        <is>
          <t>OSKARSHAMN</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32836-2019</t>
        </is>
      </c>
      <c r="B2110" s="1" t="n">
        <v>43648</v>
      </c>
      <c r="C2110" s="1" t="n">
        <v>45190</v>
      </c>
      <c r="D2110" t="inlineStr">
        <is>
          <t>KALMAR LÄN</t>
        </is>
      </c>
      <c r="E2110" t="inlineStr">
        <is>
          <t>TORSÅS</t>
        </is>
      </c>
      <c r="G2110" t="n">
        <v>8.6</v>
      </c>
      <c r="H2110" t="n">
        <v>0</v>
      </c>
      <c r="I2110" t="n">
        <v>0</v>
      </c>
      <c r="J2110" t="n">
        <v>0</v>
      </c>
      <c r="K2110" t="n">
        <v>0</v>
      </c>
      <c r="L2110" t="n">
        <v>0</v>
      </c>
      <c r="M2110" t="n">
        <v>0</v>
      </c>
      <c r="N2110" t="n">
        <v>0</v>
      </c>
      <c r="O2110" t="n">
        <v>0</v>
      </c>
      <c r="P2110" t="n">
        <v>0</v>
      </c>
      <c r="Q2110" t="n">
        <v>0</v>
      </c>
      <c r="R2110" s="2" t="inlineStr"/>
    </row>
    <row r="2111" ht="15" customHeight="1">
      <c r="A2111" t="inlineStr">
        <is>
          <t>A 32840-2019</t>
        </is>
      </c>
      <c r="B2111" s="1" t="n">
        <v>43648</v>
      </c>
      <c r="C2111" s="1" t="n">
        <v>45190</v>
      </c>
      <c r="D2111" t="inlineStr">
        <is>
          <t>KALMAR LÄN</t>
        </is>
      </c>
      <c r="E2111" t="inlineStr">
        <is>
          <t>TORSÅS</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32910-2019</t>
        </is>
      </c>
      <c r="B2112" s="1" t="n">
        <v>43648</v>
      </c>
      <c r="C2112" s="1" t="n">
        <v>45190</v>
      </c>
      <c r="D2112" t="inlineStr">
        <is>
          <t>KALMAR LÄN</t>
        </is>
      </c>
      <c r="E2112" t="inlineStr">
        <is>
          <t>VIMMERBY</t>
        </is>
      </c>
      <c r="G2112" t="n">
        <v>6</v>
      </c>
      <c r="H2112" t="n">
        <v>0</v>
      </c>
      <c r="I2112" t="n">
        <v>0</v>
      </c>
      <c r="J2112" t="n">
        <v>0</v>
      </c>
      <c r="K2112" t="n">
        <v>0</v>
      </c>
      <c r="L2112" t="n">
        <v>0</v>
      </c>
      <c r="M2112" t="n">
        <v>0</v>
      </c>
      <c r="N2112" t="n">
        <v>0</v>
      </c>
      <c r="O2112" t="n">
        <v>0</v>
      </c>
      <c r="P2112" t="n">
        <v>0</v>
      </c>
      <c r="Q2112" t="n">
        <v>0</v>
      </c>
      <c r="R2112" s="2" t="inlineStr"/>
    </row>
    <row r="2113" ht="15" customHeight="1">
      <c r="A2113" t="inlineStr">
        <is>
          <t>A 32918-2019</t>
        </is>
      </c>
      <c r="B2113" s="1" t="n">
        <v>43648</v>
      </c>
      <c r="C2113" s="1" t="n">
        <v>45190</v>
      </c>
      <c r="D2113" t="inlineStr">
        <is>
          <t>KALMAR LÄN</t>
        </is>
      </c>
      <c r="E2113" t="inlineStr">
        <is>
          <t>VIMMERBY</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32958-2019</t>
        </is>
      </c>
      <c r="B2114" s="1" t="n">
        <v>43648</v>
      </c>
      <c r="C2114" s="1" t="n">
        <v>45190</v>
      </c>
      <c r="D2114" t="inlineStr">
        <is>
          <t>KALMAR LÄN</t>
        </is>
      </c>
      <c r="E2114" t="inlineStr">
        <is>
          <t>TORSÅS</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32756-2019</t>
        </is>
      </c>
      <c r="B2115" s="1" t="n">
        <v>43648</v>
      </c>
      <c r="C2115" s="1" t="n">
        <v>45190</v>
      </c>
      <c r="D2115" t="inlineStr">
        <is>
          <t>KALMAR LÄN</t>
        </is>
      </c>
      <c r="E2115" t="inlineStr">
        <is>
          <t>KALMAR</t>
        </is>
      </c>
      <c r="G2115" t="n">
        <v>2.8</v>
      </c>
      <c r="H2115" t="n">
        <v>0</v>
      </c>
      <c r="I2115" t="n">
        <v>0</v>
      </c>
      <c r="J2115" t="n">
        <v>0</v>
      </c>
      <c r="K2115" t="n">
        <v>0</v>
      </c>
      <c r="L2115" t="n">
        <v>0</v>
      </c>
      <c r="M2115" t="n">
        <v>0</v>
      </c>
      <c r="N2115" t="n">
        <v>0</v>
      </c>
      <c r="O2115" t="n">
        <v>0</v>
      </c>
      <c r="P2115" t="n">
        <v>0</v>
      </c>
      <c r="Q2115" t="n">
        <v>0</v>
      </c>
      <c r="R2115" s="2" t="inlineStr"/>
    </row>
    <row r="2116" ht="15" customHeight="1">
      <c r="A2116" t="inlineStr">
        <is>
          <t>A 32771-2019</t>
        </is>
      </c>
      <c r="B2116" s="1" t="n">
        <v>43648</v>
      </c>
      <c r="C2116" s="1" t="n">
        <v>45190</v>
      </c>
      <c r="D2116" t="inlineStr">
        <is>
          <t>KALMAR LÄN</t>
        </is>
      </c>
      <c r="E2116" t="inlineStr">
        <is>
          <t>NYBRO</t>
        </is>
      </c>
      <c r="F2116" t="inlineStr">
        <is>
          <t>Sveaskog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32838-2019</t>
        </is>
      </c>
      <c r="B2117" s="1" t="n">
        <v>43648</v>
      </c>
      <c r="C2117" s="1" t="n">
        <v>45190</v>
      </c>
      <c r="D2117" t="inlineStr">
        <is>
          <t>KALMAR LÄN</t>
        </is>
      </c>
      <c r="E2117" t="inlineStr">
        <is>
          <t>TORSÅS</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32924-2019</t>
        </is>
      </c>
      <c r="B2118" s="1" t="n">
        <v>43648</v>
      </c>
      <c r="C2118" s="1" t="n">
        <v>45190</v>
      </c>
      <c r="D2118" t="inlineStr">
        <is>
          <t>KALMAR LÄN</t>
        </is>
      </c>
      <c r="E2118" t="inlineStr">
        <is>
          <t>VIMMERBY</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34727-2019</t>
        </is>
      </c>
      <c r="B2119" s="1" t="n">
        <v>43648</v>
      </c>
      <c r="C2119" s="1" t="n">
        <v>45190</v>
      </c>
      <c r="D2119" t="inlineStr">
        <is>
          <t>KALMAR LÄN</t>
        </is>
      </c>
      <c r="E2119" t="inlineStr">
        <is>
          <t>MÖNSTERÅS</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32991-2019</t>
        </is>
      </c>
      <c r="B2120" s="1" t="n">
        <v>43649</v>
      </c>
      <c r="C2120" s="1" t="n">
        <v>45190</v>
      </c>
      <c r="D2120" t="inlineStr">
        <is>
          <t>KALMAR LÄN</t>
        </is>
      </c>
      <c r="E2120" t="inlineStr">
        <is>
          <t>HÖGSBY</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33145-2019</t>
        </is>
      </c>
      <c r="B2121" s="1" t="n">
        <v>43649</v>
      </c>
      <c r="C2121" s="1" t="n">
        <v>45190</v>
      </c>
      <c r="D2121" t="inlineStr">
        <is>
          <t>KALMAR LÄN</t>
        </is>
      </c>
      <c r="E2121" t="inlineStr">
        <is>
          <t>NYBRO</t>
        </is>
      </c>
      <c r="F2121" t="inlineStr">
        <is>
          <t>Kyrkan</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34765-2019</t>
        </is>
      </c>
      <c r="B2122" s="1" t="n">
        <v>43649</v>
      </c>
      <c r="C2122" s="1" t="n">
        <v>45190</v>
      </c>
      <c r="D2122" t="inlineStr">
        <is>
          <t>KALMAR LÄN</t>
        </is>
      </c>
      <c r="E2122" t="inlineStr">
        <is>
          <t>VIMMERBY</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32989-2019</t>
        </is>
      </c>
      <c r="B2123" s="1" t="n">
        <v>43649</v>
      </c>
      <c r="C2123" s="1" t="n">
        <v>45190</v>
      </c>
      <c r="D2123" t="inlineStr">
        <is>
          <t>KALMAR LÄN</t>
        </is>
      </c>
      <c r="E2123" t="inlineStr">
        <is>
          <t>HÖGSBY</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33076-2019</t>
        </is>
      </c>
      <c r="B2124" s="1" t="n">
        <v>43649</v>
      </c>
      <c r="C2124" s="1" t="n">
        <v>45190</v>
      </c>
      <c r="D2124" t="inlineStr">
        <is>
          <t>KALMAR LÄN</t>
        </is>
      </c>
      <c r="E2124" t="inlineStr">
        <is>
          <t>OSKARSHAMN</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33035-2019</t>
        </is>
      </c>
      <c r="B2125" s="1" t="n">
        <v>43649</v>
      </c>
      <c r="C2125" s="1" t="n">
        <v>45190</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33086-2019</t>
        </is>
      </c>
      <c r="B2126" s="1" t="n">
        <v>43649</v>
      </c>
      <c r="C2126" s="1" t="n">
        <v>45190</v>
      </c>
      <c r="D2126" t="inlineStr">
        <is>
          <t>KALMAR LÄN</t>
        </is>
      </c>
      <c r="E2126" t="inlineStr">
        <is>
          <t>OSKARSHAMN</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33126-2019</t>
        </is>
      </c>
      <c r="B2127" s="1" t="n">
        <v>43649</v>
      </c>
      <c r="C2127" s="1" t="n">
        <v>45190</v>
      </c>
      <c r="D2127" t="inlineStr">
        <is>
          <t>KALMAR LÄN</t>
        </is>
      </c>
      <c r="E2127" t="inlineStr">
        <is>
          <t>NYBRO</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33162-2019</t>
        </is>
      </c>
      <c r="B2128" s="1" t="n">
        <v>43649</v>
      </c>
      <c r="C2128" s="1" t="n">
        <v>45190</v>
      </c>
      <c r="D2128" t="inlineStr">
        <is>
          <t>KALMAR LÄN</t>
        </is>
      </c>
      <c r="E2128" t="inlineStr">
        <is>
          <t>NYBRO</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33435-2019</t>
        </is>
      </c>
      <c r="B2129" s="1" t="n">
        <v>43650</v>
      </c>
      <c r="C2129" s="1" t="n">
        <v>45190</v>
      </c>
      <c r="D2129" t="inlineStr">
        <is>
          <t>KALMAR LÄN</t>
        </is>
      </c>
      <c r="E2129" t="inlineStr">
        <is>
          <t>NYBRO</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33410-2019</t>
        </is>
      </c>
      <c r="B2130" s="1" t="n">
        <v>43650</v>
      </c>
      <c r="C2130" s="1" t="n">
        <v>45190</v>
      </c>
      <c r="D2130" t="inlineStr">
        <is>
          <t>KALMAR LÄN</t>
        </is>
      </c>
      <c r="E2130" t="inlineStr">
        <is>
          <t>VIMMERBY</t>
        </is>
      </c>
      <c r="G2130" t="n">
        <v>4.4</v>
      </c>
      <c r="H2130" t="n">
        <v>0</v>
      </c>
      <c r="I2130" t="n">
        <v>0</v>
      </c>
      <c r="J2130" t="n">
        <v>0</v>
      </c>
      <c r="K2130" t="n">
        <v>0</v>
      </c>
      <c r="L2130" t="n">
        <v>0</v>
      </c>
      <c r="M2130" t="n">
        <v>0</v>
      </c>
      <c r="N2130" t="n">
        <v>0</v>
      </c>
      <c r="O2130" t="n">
        <v>0</v>
      </c>
      <c r="P2130" t="n">
        <v>0</v>
      </c>
      <c r="Q2130" t="n">
        <v>0</v>
      </c>
      <c r="R2130" s="2" t="inlineStr"/>
    </row>
    <row r="2131" ht="15" customHeight="1">
      <c r="A2131" t="inlineStr">
        <is>
          <t>A 33479-2019</t>
        </is>
      </c>
      <c r="B2131" s="1" t="n">
        <v>43650</v>
      </c>
      <c r="C2131" s="1" t="n">
        <v>45190</v>
      </c>
      <c r="D2131" t="inlineStr">
        <is>
          <t>KALMAR LÄN</t>
        </is>
      </c>
      <c r="E2131" t="inlineStr">
        <is>
          <t>TORSÅS</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33457-2019</t>
        </is>
      </c>
      <c r="B2132" s="1" t="n">
        <v>43650</v>
      </c>
      <c r="C2132" s="1" t="n">
        <v>45190</v>
      </c>
      <c r="D2132" t="inlineStr">
        <is>
          <t>KALMAR LÄN</t>
        </is>
      </c>
      <c r="E2132" t="inlineStr">
        <is>
          <t>TORSÅS</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33411-2019</t>
        </is>
      </c>
      <c r="B2133" s="1" t="n">
        <v>43650</v>
      </c>
      <c r="C2133" s="1" t="n">
        <v>45190</v>
      </c>
      <c r="D2133" t="inlineStr">
        <is>
          <t>KALMAR LÄN</t>
        </is>
      </c>
      <c r="E2133" t="inlineStr">
        <is>
          <t>VIMMERBY</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33741-2019</t>
        </is>
      </c>
      <c r="B2134" s="1" t="n">
        <v>43651</v>
      </c>
      <c r="C2134" s="1" t="n">
        <v>45190</v>
      </c>
      <c r="D2134" t="inlineStr">
        <is>
          <t>KALMAR LÄN</t>
        </is>
      </c>
      <c r="E2134" t="inlineStr">
        <is>
          <t>VÄSTERVIK</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33752-2019</t>
        </is>
      </c>
      <c r="B2135" s="1" t="n">
        <v>43651</v>
      </c>
      <c r="C2135" s="1" t="n">
        <v>45190</v>
      </c>
      <c r="D2135" t="inlineStr">
        <is>
          <t>KALMAR LÄN</t>
        </is>
      </c>
      <c r="E2135" t="inlineStr">
        <is>
          <t>VÄSTERVIK</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35253-2019</t>
        </is>
      </c>
      <c r="B2136" s="1" t="n">
        <v>43651</v>
      </c>
      <c r="C2136" s="1" t="n">
        <v>45190</v>
      </c>
      <c r="D2136" t="inlineStr">
        <is>
          <t>KALMAR LÄN</t>
        </is>
      </c>
      <c r="E2136" t="inlineStr">
        <is>
          <t>TORSÅS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33738-2019</t>
        </is>
      </c>
      <c r="B2137" s="1" t="n">
        <v>43651</v>
      </c>
      <c r="C2137" s="1" t="n">
        <v>45190</v>
      </c>
      <c r="D2137" t="inlineStr">
        <is>
          <t>KALMAR LÄN</t>
        </is>
      </c>
      <c r="E2137" t="inlineStr">
        <is>
          <t>VÄSTERVIK</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35259-2019</t>
        </is>
      </c>
      <c r="B2138" s="1" t="n">
        <v>43651</v>
      </c>
      <c r="C2138" s="1" t="n">
        <v>45190</v>
      </c>
      <c r="D2138" t="inlineStr">
        <is>
          <t>KALMAR LÄN</t>
        </is>
      </c>
      <c r="E2138" t="inlineStr">
        <is>
          <t>VIMMERBY</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35384-2019</t>
        </is>
      </c>
      <c r="B2139" s="1" t="n">
        <v>43651</v>
      </c>
      <c r="C2139" s="1" t="n">
        <v>45190</v>
      </c>
      <c r="D2139" t="inlineStr">
        <is>
          <t>KALMAR LÄN</t>
        </is>
      </c>
      <c r="E2139" t="inlineStr">
        <is>
          <t>HÖGSBY</t>
        </is>
      </c>
      <c r="F2139" t="inlineStr">
        <is>
          <t>Kommuner</t>
        </is>
      </c>
      <c r="G2139" t="n">
        <v>5.4</v>
      </c>
      <c r="H2139" t="n">
        <v>0</v>
      </c>
      <c r="I2139" t="n">
        <v>0</v>
      </c>
      <c r="J2139" t="n">
        <v>0</v>
      </c>
      <c r="K2139" t="n">
        <v>0</v>
      </c>
      <c r="L2139" t="n">
        <v>0</v>
      </c>
      <c r="M2139" t="n">
        <v>0</v>
      </c>
      <c r="N2139" t="n">
        <v>0</v>
      </c>
      <c r="O2139" t="n">
        <v>0</v>
      </c>
      <c r="P2139" t="n">
        <v>0</v>
      </c>
      <c r="Q2139" t="n">
        <v>0</v>
      </c>
      <c r="R2139" s="2" t="inlineStr"/>
    </row>
    <row r="2140" ht="15" customHeight="1">
      <c r="A2140" t="inlineStr">
        <is>
          <t>A 33869-2019</t>
        </is>
      </c>
      <c r="B2140" s="1" t="n">
        <v>43652</v>
      </c>
      <c r="C2140" s="1" t="n">
        <v>45190</v>
      </c>
      <c r="D2140" t="inlineStr">
        <is>
          <t>KALMAR LÄN</t>
        </is>
      </c>
      <c r="E2140" t="inlineStr">
        <is>
          <t>VIMMERBY</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35407-2019</t>
        </is>
      </c>
      <c r="B2141" s="1" t="n">
        <v>43654</v>
      </c>
      <c r="C2141" s="1" t="n">
        <v>45190</v>
      </c>
      <c r="D2141" t="inlineStr">
        <is>
          <t>KALMAR LÄN</t>
        </is>
      </c>
      <c r="E2141" t="inlineStr">
        <is>
          <t>EMMABODA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33929-2019</t>
        </is>
      </c>
      <c r="B2142" s="1" t="n">
        <v>43654</v>
      </c>
      <c r="C2142" s="1" t="n">
        <v>45190</v>
      </c>
      <c r="D2142" t="inlineStr">
        <is>
          <t>KALMAR LÄN</t>
        </is>
      </c>
      <c r="E2142" t="inlineStr">
        <is>
          <t>OSKARSHAMN</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33927-2019</t>
        </is>
      </c>
      <c r="B2143" s="1" t="n">
        <v>43654</v>
      </c>
      <c r="C2143" s="1" t="n">
        <v>45190</v>
      </c>
      <c r="D2143" t="inlineStr">
        <is>
          <t>KALMAR LÄN</t>
        </is>
      </c>
      <c r="E2143" t="inlineStr">
        <is>
          <t>OSKARSHAMN</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33989-2019</t>
        </is>
      </c>
      <c r="B2144" s="1" t="n">
        <v>43654</v>
      </c>
      <c r="C2144" s="1" t="n">
        <v>45190</v>
      </c>
      <c r="D2144" t="inlineStr">
        <is>
          <t>KALMAR LÄN</t>
        </is>
      </c>
      <c r="E2144" t="inlineStr">
        <is>
          <t>HULTSFRED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34244-2019</t>
        </is>
      </c>
      <c r="B2145" s="1" t="n">
        <v>43655</v>
      </c>
      <c r="C2145" s="1" t="n">
        <v>45190</v>
      </c>
      <c r="D2145" t="inlineStr">
        <is>
          <t>KALMAR LÄN</t>
        </is>
      </c>
      <c r="E2145" t="inlineStr">
        <is>
          <t>VIMMERBY</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34273-2019</t>
        </is>
      </c>
      <c r="B2146" s="1" t="n">
        <v>43655</v>
      </c>
      <c r="C2146" s="1" t="n">
        <v>45190</v>
      </c>
      <c r="D2146" t="inlineStr">
        <is>
          <t>KALMAR LÄN</t>
        </is>
      </c>
      <c r="E2146" t="inlineStr">
        <is>
          <t>VIMMERBY</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35596-2019</t>
        </is>
      </c>
      <c r="B2147" s="1" t="n">
        <v>43655</v>
      </c>
      <c r="C2147" s="1" t="n">
        <v>45190</v>
      </c>
      <c r="D2147" t="inlineStr">
        <is>
          <t>KALMAR LÄN</t>
        </is>
      </c>
      <c r="E2147" t="inlineStr">
        <is>
          <t>MÖNSTERÅS</t>
        </is>
      </c>
      <c r="F2147" t="inlineStr">
        <is>
          <t>Övriga Aktiebolag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35627-2019</t>
        </is>
      </c>
      <c r="B2148" s="1" t="n">
        <v>43655</v>
      </c>
      <c r="C2148" s="1" t="n">
        <v>45190</v>
      </c>
      <c r="D2148" t="inlineStr">
        <is>
          <t>KALMAR LÄN</t>
        </is>
      </c>
      <c r="E2148" t="inlineStr">
        <is>
          <t>MÖNSTERÅS</t>
        </is>
      </c>
      <c r="F2148" t="inlineStr">
        <is>
          <t>Övriga Aktiebolag</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34241-2019</t>
        </is>
      </c>
      <c r="B2149" s="1" t="n">
        <v>43655</v>
      </c>
      <c r="C2149" s="1" t="n">
        <v>45190</v>
      </c>
      <c r="D2149" t="inlineStr">
        <is>
          <t>KALMAR LÄN</t>
        </is>
      </c>
      <c r="E2149" t="inlineStr">
        <is>
          <t>VIMMERBY</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35602-2019</t>
        </is>
      </c>
      <c r="B2150" s="1" t="n">
        <v>43655</v>
      </c>
      <c r="C2150" s="1" t="n">
        <v>45190</v>
      </c>
      <c r="D2150" t="inlineStr">
        <is>
          <t>KALMAR LÄN</t>
        </is>
      </c>
      <c r="E2150" t="inlineStr">
        <is>
          <t>MÖNSTERÅS</t>
        </is>
      </c>
      <c r="F2150" t="inlineStr">
        <is>
          <t>Övriga Aktiebolag</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35645-2019</t>
        </is>
      </c>
      <c r="B2151" s="1" t="n">
        <v>43655</v>
      </c>
      <c r="C2151" s="1" t="n">
        <v>45190</v>
      </c>
      <c r="D2151" t="inlineStr">
        <is>
          <t>KALMAR LÄN</t>
        </is>
      </c>
      <c r="E2151" t="inlineStr">
        <is>
          <t>MÖNSTERÅS</t>
        </is>
      </c>
      <c r="F2151" t="inlineStr">
        <is>
          <t>Övriga Aktiebolag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34245-2019</t>
        </is>
      </c>
      <c r="B2152" s="1" t="n">
        <v>43655</v>
      </c>
      <c r="C2152" s="1" t="n">
        <v>45190</v>
      </c>
      <c r="D2152" t="inlineStr">
        <is>
          <t>KALMAR LÄN</t>
        </is>
      </c>
      <c r="E2152" t="inlineStr">
        <is>
          <t>OSKARSHAMN</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35637-2019</t>
        </is>
      </c>
      <c r="B2153" s="1" t="n">
        <v>43655</v>
      </c>
      <c r="C2153" s="1" t="n">
        <v>45190</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35701-2019</t>
        </is>
      </c>
      <c r="B2154" s="1" t="n">
        <v>43655</v>
      </c>
      <c r="C2154" s="1" t="n">
        <v>45190</v>
      </c>
      <c r="D2154" t="inlineStr">
        <is>
          <t>KALMAR LÄN</t>
        </is>
      </c>
      <c r="E2154" t="inlineStr">
        <is>
          <t>VIMMERBY</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34416-2019</t>
        </is>
      </c>
      <c r="B2155" s="1" t="n">
        <v>43656</v>
      </c>
      <c r="C2155" s="1" t="n">
        <v>45190</v>
      </c>
      <c r="D2155" t="inlineStr">
        <is>
          <t>KALMAR LÄN</t>
        </is>
      </c>
      <c r="E2155" t="inlineStr">
        <is>
          <t>HULTSFRED</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35285-2019</t>
        </is>
      </c>
      <c r="B2156" s="1" t="n">
        <v>43656</v>
      </c>
      <c r="C2156" s="1" t="n">
        <v>45190</v>
      </c>
      <c r="D2156" t="inlineStr">
        <is>
          <t>KALMAR LÄN</t>
        </is>
      </c>
      <c r="E2156" t="inlineStr">
        <is>
          <t>VÄSTERVIK</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35284-2019</t>
        </is>
      </c>
      <c r="B2157" s="1" t="n">
        <v>43656</v>
      </c>
      <c r="C2157" s="1" t="n">
        <v>45190</v>
      </c>
      <c r="D2157" t="inlineStr">
        <is>
          <t>KALMAR LÄN</t>
        </is>
      </c>
      <c r="E2157" t="inlineStr">
        <is>
          <t>VÄSTERVIK</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34350-2019</t>
        </is>
      </c>
      <c r="B2158" s="1" t="n">
        <v>43656</v>
      </c>
      <c r="C2158" s="1" t="n">
        <v>45190</v>
      </c>
      <c r="D2158" t="inlineStr">
        <is>
          <t>KALMAR LÄN</t>
        </is>
      </c>
      <c r="E2158" t="inlineStr">
        <is>
          <t>KALMAR</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35283-2019</t>
        </is>
      </c>
      <c r="B2159" s="1" t="n">
        <v>43656</v>
      </c>
      <c r="C2159" s="1" t="n">
        <v>45190</v>
      </c>
      <c r="D2159" t="inlineStr">
        <is>
          <t>KALMAR LÄN</t>
        </is>
      </c>
      <c r="E2159" t="inlineStr">
        <is>
          <t>VÄSTERVIK</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34532-2019</t>
        </is>
      </c>
      <c r="B2160" s="1" t="n">
        <v>43657</v>
      </c>
      <c r="C2160" s="1" t="n">
        <v>45190</v>
      </c>
      <c r="D2160" t="inlineStr">
        <is>
          <t>KALMAR LÄN</t>
        </is>
      </c>
      <c r="E2160" t="inlineStr">
        <is>
          <t>OSKARSHAMN</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34672-2019</t>
        </is>
      </c>
      <c r="B2161" s="1" t="n">
        <v>43657</v>
      </c>
      <c r="C2161" s="1" t="n">
        <v>45190</v>
      </c>
      <c r="D2161" t="inlineStr">
        <is>
          <t>KALMAR LÄN</t>
        </is>
      </c>
      <c r="E2161" t="inlineStr">
        <is>
          <t>VIMMERBY</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34595-2019</t>
        </is>
      </c>
      <c r="B2162" s="1" t="n">
        <v>43657</v>
      </c>
      <c r="C2162" s="1" t="n">
        <v>45190</v>
      </c>
      <c r="D2162" t="inlineStr">
        <is>
          <t>KALMAR LÄN</t>
        </is>
      </c>
      <c r="E2162" t="inlineStr">
        <is>
          <t>OSKARSHAMN</t>
        </is>
      </c>
      <c r="G2162" t="n">
        <v>6.3</v>
      </c>
      <c r="H2162" t="n">
        <v>0</v>
      </c>
      <c r="I2162" t="n">
        <v>0</v>
      </c>
      <c r="J2162" t="n">
        <v>0</v>
      </c>
      <c r="K2162" t="n">
        <v>0</v>
      </c>
      <c r="L2162" t="n">
        <v>0</v>
      </c>
      <c r="M2162" t="n">
        <v>0</v>
      </c>
      <c r="N2162" t="n">
        <v>0</v>
      </c>
      <c r="O2162" t="n">
        <v>0</v>
      </c>
      <c r="P2162" t="n">
        <v>0</v>
      </c>
      <c r="Q2162" t="n">
        <v>0</v>
      </c>
      <c r="R2162" s="2" t="inlineStr"/>
    </row>
    <row r="2163" ht="15" customHeight="1">
      <c r="A2163" t="inlineStr">
        <is>
          <t>A 34587-2019</t>
        </is>
      </c>
      <c r="B2163" s="1" t="n">
        <v>43657</v>
      </c>
      <c r="C2163" s="1" t="n">
        <v>45190</v>
      </c>
      <c r="D2163" t="inlineStr">
        <is>
          <t>KALMAR LÄN</t>
        </is>
      </c>
      <c r="E2163" t="inlineStr">
        <is>
          <t>OSKARSHAMN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34515-2019</t>
        </is>
      </c>
      <c r="B2164" s="1" t="n">
        <v>43657</v>
      </c>
      <c r="C2164" s="1" t="n">
        <v>45190</v>
      </c>
      <c r="D2164" t="inlineStr">
        <is>
          <t>KALMAR LÄN</t>
        </is>
      </c>
      <c r="E2164" t="inlineStr">
        <is>
          <t>OSKARSHAMN</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34678-2019</t>
        </is>
      </c>
      <c r="B2165" s="1" t="n">
        <v>43657</v>
      </c>
      <c r="C2165" s="1" t="n">
        <v>45190</v>
      </c>
      <c r="D2165" t="inlineStr">
        <is>
          <t>KALMAR LÄN</t>
        </is>
      </c>
      <c r="E2165" t="inlineStr">
        <is>
          <t>OSKARSHAMN</t>
        </is>
      </c>
      <c r="G2165" t="n">
        <v>4.1</v>
      </c>
      <c r="H2165" t="n">
        <v>0</v>
      </c>
      <c r="I2165" t="n">
        <v>0</v>
      </c>
      <c r="J2165" t="n">
        <v>0</v>
      </c>
      <c r="K2165" t="n">
        <v>0</v>
      </c>
      <c r="L2165" t="n">
        <v>0</v>
      </c>
      <c r="M2165" t="n">
        <v>0</v>
      </c>
      <c r="N2165" t="n">
        <v>0</v>
      </c>
      <c r="O2165" t="n">
        <v>0</v>
      </c>
      <c r="P2165" t="n">
        <v>0</v>
      </c>
      <c r="Q2165" t="n">
        <v>0</v>
      </c>
      <c r="R2165" s="2" t="inlineStr"/>
    </row>
    <row r="2166" ht="15" customHeight="1">
      <c r="A2166" t="inlineStr">
        <is>
          <t>A 34813-2019</t>
        </is>
      </c>
      <c r="B2166" s="1" t="n">
        <v>43658</v>
      </c>
      <c r="C2166" s="1" t="n">
        <v>45190</v>
      </c>
      <c r="D2166" t="inlineStr">
        <is>
          <t>KALMAR LÄN</t>
        </is>
      </c>
      <c r="E2166" t="inlineStr">
        <is>
          <t>EMMABODA</t>
        </is>
      </c>
      <c r="G2166" t="n">
        <v>5.9</v>
      </c>
      <c r="H2166" t="n">
        <v>0</v>
      </c>
      <c r="I2166" t="n">
        <v>0</v>
      </c>
      <c r="J2166" t="n">
        <v>0</v>
      </c>
      <c r="K2166" t="n">
        <v>0</v>
      </c>
      <c r="L2166" t="n">
        <v>0</v>
      </c>
      <c r="M2166" t="n">
        <v>0</v>
      </c>
      <c r="N2166" t="n">
        <v>0</v>
      </c>
      <c r="O2166" t="n">
        <v>0</v>
      </c>
      <c r="P2166" t="n">
        <v>0</v>
      </c>
      <c r="Q2166" t="n">
        <v>0</v>
      </c>
      <c r="R2166" s="2" t="inlineStr"/>
    </row>
    <row r="2167" ht="15" customHeight="1">
      <c r="A2167" t="inlineStr">
        <is>
          <t>A 35055-2019</t>
        </is>
      </c>
      <c r="B2167" s="1" t="n">
        <v>43658</v>
      </c>
      <c r="C2167" s="1" t="n">
        <v>45190</v>
      </c>
      <c r="D2167" t="inlineStr">
        <is>
          <t>KALMAR LÄN</t>
        </is>
      </c>
      <c r="E2167" t="inlineStr">
        <is>
          <t>HÖGSBY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35050-2019</t>
        </is>
      </c>
      <c r="B2168" s="1" t="n">
        <v>43658</v>
      </c>
      <c r="C2168" s="1" t="n">
        <v>45190</v>
      </c>
      <c r="D2168" t="inlineStr">
        <is>
          <t>KALMAR LÄN</t>
        </is>
      </c>
      <c r="E2168" t="inlineStr">
        <is>
          <t>HÖGSBY</t>
        </is>
      </c>
      <c r="G2168" t="n">
        <v>29.4</v>
      </c>
      <c r="H2168" t="n">
        <v>0</v>
      </c>
      <c r="I2168" t="n">
        <v>0</v>
      </c>
      <c r="J2168" t="n">
        <v>0</v>
      </c>
      <c r="K2168" t="n">
        <v>0</v>
      </c>
      <c r="L2168" t="n">
        <v>0</v>
      </c>
      <c r="M2168" t="n">
        <v>0</v>
      </c>
      <c r="N2168" t="n">
        <v>0</v>
      </c>
      <c r="O2168" t="n">
        <v>0</v>
      </c>
      <c r="P2168" t="n">
        <v>0</v>
      </c>
      <c r="Q2168" t="n">
        <v>0</v>
      </c>
      <c r="R2168" s="2" t="inlineStr"/>
    </row>
    <row r="2169" ht="15" customHeight="1">
      <c r="A2169" t="inlineStr">
        <is>
          <t>A 34868-2019</t>
        </is>
      </c>
      <c r="B2169" s="1" t="n">
        <v>43658</v>
      </c>
      <c r="C2169" s="1" t="n">
        <v>45190</v>
      </c>
      <c r="D2169" t="inlineStr">
        <is>
          <t>KALMAR LÄN</t>
        </is>
      </c>
      <c r="E2169" t="inlineStr">
        <is>
          <t>HULTSFRED</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34815-2019</t>
        </is>
      </c>
      <c r="B2170" s="1" t="n">
        <v>43658</v>
      </c>
      <c r="C2170" s="1" t="n">
        <v>45190</v>
      </c>
      <c r="D2170" t="inlineStr">
        <is>
          <t>KALMAR LÄN</t>
        </is>
      </c>
      <c r="E2170" t="inlineStr">
        <is>
          <t>EMMABODA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36367-2019</t>
        </is>
      </c>
      <c r="B2171" s="1" t="n">
        <v>43661</v>
      </c>
      <c r="C2171" s="1" t="n">
        <v>45190</v>
      </c>
      <c r="D2171" t="inlineStr">
        <is>
          <t>KALMAR LÄN</t>
        </is>
      </c>
      <c r="E2171" t="inlineStr">
        <is>
          <t>EMMABODA</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35123-2019</t>
        </is>
      </c>
      <c r="B2172" s="1" t="n">
        <v>43661</v>
      </c>
      <c r="C2172" s="1" t="n">
        <v>45190</v>
      </c>
      <c r="D2172" t="inlineStr">
        <is>
          <t>KALMAR LÄN</t>
        </is>
      </c>
      <c r="E2172" t="inlineStr">
        <is>
          <t>HULTSFRED</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36340-2019</t>
        </is>
      </c>
      <c r="B2173" s="1" t="n">
        <v>43662</v>
      </c>
      <c r="C2173" s="1" t="n">
        <v>45190</v>
      </c>
      <c r="D2173" t="inlineStr">
        <is>
          <t>KALMAR LÄN</t>
        </is>
      </c>
      <c r="E2173" t="inlineStr">
        <is>
          <t>KALMAR</t>
        </is>
      </c>
      <c r="G2173" t="n">
        <v>1.6</v>
      </c>
      <c r="H2173" t="n">
        <v>0</v>
      </c>
      <c r="I2173" t="n">
        <v>0</v>
      </c>
      <c r="J2173" t="n">
        <v>0</v>
      </c>
      <c r="K2173" t="n">
        <v>0</v>
      </c>
      <c r="L2173" t="n">
        <v>0</v>
      </c>
      <c r="M2173" t="n">
        <v>0</v>
      </c>
      <c r="N2173" t="n">
        <v>0</v>
      </c>
      <c r="O2173" t="n">
        <v>0</v>
      </c>
      <c r="P2173" t="n">
        <v>0</v>
      </c>
      <c r="Q2173" t="n">
        <v>0</v>
      </c>
      <c r="R2173" s="2" t="inlineStr"/>
    </row>
    <row r="2174" ht="15" customHeight="1">
      <c r="A2174" t="inlineStr">
        <is>
          <t>A 35231-2019</t>
        </is>
      </c>
      <c r="B2174" s="1" t="n">
        <v>43662</v>
      </c>
      <c r="C2174" s="1" t="n">
        <v>45190</v>
      </c>
      <c r="D2174" t="inlineStr">
        <is>
          <t>KALMAR LÄN</t>
        </is>
      </c>
      <c r="E2174" t="inlineStr">
        <is>
          <t>NYBRO</t>
        </is>
      </c>
      <c r="F2174" t="inlineStr">
        <is>
          <t>Sveaskog</t>
        </is>
      </c>
      <c r="G2174" t="n">
        <v>8.199999999999999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35334-2019</t>
        </is>
      </c>
      <c r="B2175" s="1" t="n">
        <v>43662</v>
      </c>
      <c r="C2175" s="1" t="n">
        <v>45190</v>
      </c>
      <c r="D2175" t="inlineStr">
        <is>
          <t>KALMAR LÄN</t>
        </is>
      </c>
      <c r="E2175" t="inlineStr">
        <is>
          <t>HÖGSBY</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35214-2019</t>
        </is>
      </c>
      <c r="B2176" s="1" t="n">
        <v>43662</v>
      </c>
      <c r="C2176" s="1" t="n">
        <v>45190</v>
      </c>
      <c r="D2176" t="inlineStr">
        <is>
          <t>KALMAR LÄN</t>
        </is>
      </c>
      <c r="E2176" t="inlineStr">
        <is>
          <t>NYBRO</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35333-2019</t>
        </is>
      </c>
      <c r="B2177" s="1" t="n">
        <v>43662</v>
      </c>
      <c r="C2177" s="1" t="n">
        <v>45190</v>
      </c>
      <c r="D2177" t="inlineStr">
        <is>
          <t>KALMAR LÄN</t>
        </is>
      </c>
      <c r="E2177" t="inlineStr">
        <is>
          <t>HÖGSBY</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36527-2019</t>
        </is>
      </c>
      <c r="B2178" s="1" t="n">
        <v>43663</v>
      </c>
      <c r="C2178" s="1" t="n">
        <v>45190</v>
      </c>
      <c r="D2178" t="inlineStr">
        <is>
          <t>KALMAR LÄN</t>
        </is>
      </c>
      <c r="E2178" t="inlineStr">
        <is>
          <t>HÖGSBY</t>
        </is>
      </c>
      <c r="G2178" t="n">
        <v>8.4</v>
      </c>
      <c r="H2178" t="n">
        <v>0</v>
      </c>
      <c r="I2178" t="n">
        <v>0</v>
      </c>
      <c r="J2178" t="n">
        <v>0</v>
      </c>
      <c r="K2178" t="n">
        <v>0</v>
      </c>
      <c r="L2178" t="n">
        <v>0</v>
      </c>
      <c r="M2178" t="n">
        <v>0</v>
      </c>
      <c r="N2178" t="n">
        <v>0</v>
      </c>
      <c r="O2178" t="n">
        <v>0</v>
      </c>
      <c r="P2178" t="n">
        <v>0</v>
      </c>
      <c r="Q2178" t="n">
        <v>0</v>
      </c>
      <c r="R2178" s="2" t="inlineStr"/>
    </row>
    <row r="2179" ht="15" customHeight="1">
      <c r="A2179" t="inlineStr">
        <is>
          <t>A 35501-2019</t>
        </is>
      </c>
      <c r="B2179" s="1" t="n">
        <v>43663</v>
      </c>
      <c r="C2179" s="1" t="n">
        <v>45190</v>
      </c>
      <c r="D2179" t="inlineStr">
        <is>
          <t>KALMAR LÄN</t>
        </is>
      </c>
      <c r="E2179" t="inlineStr">
        <is>
          <t>HÖGSBY</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35498-2019</t>
        </is>
      </c>
      <c r="B2180" s="1" t="n">
        <v>43663</v>
      </c>
      <c r="C2180" s="1" t="n">
        <v>45190</v>
      </c>
      <c r="D2180" t="inlineStr">
        <is>
          <t>KALMAR LÄN</t>
        </is>
      </c>
      <c r="E2180" t="inlineStr">
        <is>
          <t>HÖGSBY</t>
        </is>
      </c>
      <c r="G2180" t="n">
        <v>2.5</v>
      </c>
      <c r="H2180" t="n">
        <v>0</v>
      </c>
      <c r="I2180" t="n">
        <v>0</v>
      </c>
      <c r="J2180" t="n">
        <v>0</v>
      </c>
      <c r="K2180" t="n">
        <v>0</v>
      </c>
      <c r="L2180" t="n">
        <v>0</v>
      </c>
      <c r="M2180" t="n">
        <v>0</v>
      </c>
      <c r="N2180" t="n">
        <v>0</v>
      </c>
      <c r="O2180" t="n">
        <v>0</v>
      </c>
      <c r="P2180" t="n">
        <v>0</v>
      </c>
      <c r="Q2180" t="n">
        <v>0</v>
      </c>
      <c r="R2180" s="2" t="inlineStr"/>
    </row>
    <row r="2181" ht="15" customHeight="1">
      <c r="A2181" t="inlineStr">
        <is>
          <t>A 36529-2019</t>
        </is>
      </c>
      <c r="B2181" s="1" t="n">
        <v>43663</v>
      </c>
      <c r="C2181" s="1" t="n">
        <v>45190</v>
      </c>
      <c r="D2181" t="inlineStr">
        <is>
          <t>KALMAR LÄN</t>
        </is>
      </c>
      <c r="E2181" t="inlineStr">
        <is>
          <t>HÖGSBY</t>
        </is>
      </c>
      <c r="G2181" t="n">
        <v>17.5</v>
      </c>
      <c r="H2181" t="n">
        <v>0</v>
      </c>
      <c r="I2181" t="n">
        <v>0</v>
      </c>
      <c r="J2181" t="n">
        <v>0</v>
      </c>
      <c r="K2181" t="n">
        <v>0</v>
      </c>
      <c r="L2181" t="n">
        <v>0</v>
      </c>
      <c r="M2181" t="n">
        <v>0</v>
      </c>
      <c r="N2181" t="n">
        <v>0</v>
      </c>
      <c r="O2181" t="n">
        <v>0</v>
      </c>
      <c r="P2181" t="n">
        <v>0</v>
      </c>
      <c r="Q2181" t="n">
        <v>0</v>
      </c>
      <c r="R2181" s="2" t="inlineStr"/>
    </row>
    <row r="2182" ht="15" customHeight="1">
      <c r="A2182" t="inlineStr">
        <is>
          <t>A 35705-2019</t>
        </is>
      </c>
      <c r="B2182" s="1" t="n">
        <v>43664</v>
      </c>
      <c r="C2182" s="1" t="n">
        <v>45190</v>
      </c>
      <c r="D2182" t="inlineStr">
        <is>
          <t>KALMAR LÄN</t>
        </is>
      </c>
      <c r="E2182" t="inlineStr">
        <is>
          <t>TORSÅS</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35764-2019</t>
        </is>
      </c>
      <c r="B2183" s="1" t="n">
        <v>43665</v>
      </c>
      <c r="C2183" s="1" t="n">
        <v>45190</v>
      </c>
      <c r="D2183" t="inlineStr">
        <is>
          <t>KALMAR LÄN</t>
        </is>
      </c>
      <c r="E2183" t="inlineStr">
        <is>
          <t>OSKARSHAMN</t>
        </is>
      </c>
      <c r="F2183" t="inlineStr">
        <is>
          <t>Sveaskog</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35829-2019</t>
        </is>
      </c>
      <c r="B2184" s="1" t="n">
        <v>43665</v>
      </c>
      <c r="C2184" s="1" t="n">
        <v>45190</v>
      </c>
      <c r="D2184" t="inlineStr">
        <is>
          <t>KALMAR LÄN</t>
        </is>
      </c>
      <c r="E2184" t="inlineStr">
        <is>
          <t>VIMMERBY</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35890-2019</t>
        </is>
      </c>
      <c r="B2185" s="1" t="n">
        <v>43665</v>
      </c>
      <c r="C2185" s="1" t="n">
        <v>45190</v>
      </c>
      <c r="D2185" t="inlineStr">
        <is>
          <t>KALMAR LÄN</t>
        </is>
      </c>
      <c r="E2185" t="inlineStr">
        <is>
          <t>HULTSFRED</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35765-2019</t>
        </is>
      </c>
      <c r="B2186" s="1" t="n">
        <v>43665</v>
      </c>
      <c r="C2186" s="1" t="n">
        <v>45190</v>
      </c>
      <c r="D2186" t="inlineStr">
        <is>
          <t>KALMAR LÄN</t>
        </is>
      </c>
      <c r="E2186" t="inlineStr">
        <is>
          <t>OSKARSHAMN</t>
        </is>
      </c>
      <c r="F2186" t="inlineStr">
        <is>
          <t>Sveaskog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35834-2019</t>
        </is>
      </c>
      <c r="B2187" s="1" t="n">
        <v>43665</v>
      </c>
      <c r="C2187" s="1" t="n">
        <v>45190</v>
      </c>
      <c r="D2187" t="inlineStr">
        <is>
          <t>KALMAR LÄN</t>
        </is>
      </c>
      <c r="E2187" t="inlineStr">
        <is>
          <t>VIMMERBY</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35884-2019</t>
        </is>
      </c>
      <c r="B2188" s="1" t="n">
        <v>43665</v>
      </c>
      <c r="C2188" s="1" t="n">
        <v>45190</v>
      </c>
      <c r="D2188" t="inlineStr">
        <is>
          <t>KALMAR LÄN</t>
        </is>
      </c>
      <c r="E2188" t="inlineStr">
        <is>
          <t>HULTSFRED</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35919-2019</t>
        </is>
      </c>
      <c r="B2189" s="1" t="n">
        <v>43665</v>
      </c>
      <c r="C2189" s="1" t="n">
        <v>45190</v>
      </c>
      <c r="D2189" t="inlineStr">
        <is>
          <t>KALMAR LÄN</t>
        </is>
      </c>
      <c r="E2189" t="inlineStr">
        <is>
          <t>VIMMERBY</t>
        </is>
      </c>
      <c r="G2189" t="n">
        <v>7.1</v>
      </c>
      <c r="H2189" t="n">
        <v>0</v>
      </c>
      <c r="I2189" t="n">
        <v>0</v>
      </c>
      <c r="J2189" t="n">
        <v>0</v>
      </c>
      <c r="K2189" t="n">
        <v>0</v>
      </c>
      <c r="L2189" t="n">
        <v>0</v>
      </c>
      <c r="M2189" t="n">
        <v>0</v>
      </c>
      <c r="N2189" t="n">
        <v>0</v>
      </c>
      <c r="O2189" t="n">
        <v>0</v>
      </c>
      <c r="P2189" t="n">
        <v>0</v>
      </c>
      <c r="Q2189" t="n">
        <v>0</v>
      </c>
      <c r="R2189" s="2" t="inlineStr"/>
    </row>
    <row r="2190" ht="15" customHeight="1">
      <c r="A2190" t="inlineStr">
        <is>
          <t>A 35762-2019</t>
        </is>
      </c>
      <c r="B2190" s="1" t="n">
        <v>43665</v>
      </c>
      <c r="C2190" s="1" t="n">
        <v>45190</v>
      </c>
      <c r="D2190" t="inlineStr">
        <is>
          <t>KALMAR LÄN</t>
        </is>
      </c>
      <c r="E2190" t="inlineStr">
        <is>
          <t>OSKARSHAMN</t>
        </is>
      </c>
      <c r="F2190" t="inlineStr">
        <is>
          <t>Sveaskog</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35977-2019</t>
        </is>
      </c>
      <c r="B2191" s="1" t="n">
        <v>43667</v>
      </c>
      <c r="C2191" s="1" t="n">
        <v>45190</v>
      </c>
      <c r="D2191" t="inlineStr">
        <is>
          <t>KALMAR LÄN</t>
        </is>
      </c>
      <c r="E2191" t="inlineStr">
        <is>
          <t>HULTSFRED</t>
        </is>
      </c>
      <c r="G2191" t="n">
        <v>0.2</v>
      </c>
      <c r="H2191" t="n">
        <v>0</v>
      </c>
      <c r="I2191" t="n">
        <v>0</v>
      </c>
      <c r="J2191" t="n">
        <v>0</v>
      </c>
      <c r="K2191" t="n">
        <v>0</v>
      </c>
      <c r="L2191" t="n">
        <v>0</v>
      </c>
      <c r="M2191" t="n">
        <v>0</v>
      </c>
      <c r="N2191" t="n">
        <v>0</v>
      </c>
      <c r="O2191" t="n">
        <v>0</v>
      </c>
      <c r="P2191" t="n">
        <v>0</v>
      </c>
      <c r="Q2191" t="n">
        <v>0</v>
      </c>
      <c r="R2191" s="2" t="inlineStr"/>
    </row>
    <row r="2192" ht="15" customHeight="1">
      <c r="A2192" t="inlineStr">
        <is>
          <t>A 36053-2019</t>
        </is>
      </c>
      <c r="B2192" s="1" t="n">
        <v>43668</v>
      </c>
      <c r="C2192" s="1" t="n">
        <v>45190</v>
      </c>
      <c r="D2192" t="inlineStr">
        <is>
          <t>KALMAR LÄN</t>
        </is>
      </c>
      <c r="E2192" t="inlineStr">
        <is>
          <t>NYBRO</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36024-2019</t>
        </is>
      </c>
      <c r="B2193" s="1" t="n">
        <v>43668</v>
      </c>
      <c r="C2193" s="1" t="n">
        <v>45190</v>
      </c>
      <c r="D2193" t="inlineStr">
        <is>
          <t>KALMAR LÄN</t>
        </is>
      </c>
      <c r="E2193" t="inlineStr">
        <is>
          <t>VIMMERBY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36029-2019</t>
        </is>
      </c>
      <c r="B2194" s="1" t="n">
        <v>43668</v>
      </c>
      <c r="C2194" s="1" t="n">
        <v>45190</v>
      </c>
      <c r="D2194" t="inlineStr">
        <is>
          <t>KALMAR LÄN</t>
        </is>
      </c>
      <c r="E2194" t="inlineStr">
        <is>
          <t>HULTSFRED</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36047-2019</t>
        </is>
      </c>
      <c r="B2195" s="1" t="n">
        <v>43668</v>
      </c>
      <c r="C2195" s="1" t="n">
        <v>45190</v>
      </c>
      <c r="D2195" t="inlineStr">
        <is>
          <t>KALMAR LÄN</t>
        </is>
      </c>
      <c r="E2195" t="inlineStr">
        <is>
          <t>KALMAR</t>
        </is>
      </c>
      <c r="G2195" t="n">
        <v>6.3</v>
      </c>
      <c r="H2195" t="n">
        <v>0</v>
      </c>
      <c r="I2195" t="n">
        <v>0</v>
      </c>
      <c r="J2195" t="n">
        <v>0</v>
      </c>
      <c r="K2195" t="n">
        <v>0</v>
      </c>
      <c r="L2195" t="n">
        <v>0</v>
      </c>
      <c r="M2195" t="n">
        <v>0</v>
      </c>
      <c r="N2195" t="n">
        <v>0</v>
      </c>
      <c r="O2195" t="n">
        <v>0</v>
      </c>
      <c r="P2195" t="n">
        <v>0</v>
      </c>
      <c r="Q2195" t="n">
        <v>0</v>
      </c>
      <c r="R2195" s="2" t="inlineStr"/>
    </row>
    <row r="2196" ht="15" customHeight="1">
      <c r="A2196" t="inlineStr">
        <is>
          <t>A 36060-2019</t>
        </is>
      </c>
      <c r="B2196" s="1" t="n">
        <v>43668</v>
      </c>
      <c r="C2196" s="1" t="n">
        <v>45190</v>
      </c>
      <c r="D2196" t="inlineStr">
        <is>
          <t>KALMAR LÄN</t>
        </is>
      </c>
      <c r="E2196" t="inlineStr">
        <is>
          <t>KALMAR</t>
        </is>
      </c>
      <c r="G2196" t="n">
        <v>5.8</v>
      </c>
      <c r="H2196" t="n">
        <v>0</v>
      </c>
      <c r="I2196" t="n">
        <v>0</v>
      </c>
      <c r="J2196" t="n">
        <v>0</v>
      </c>
      <c r="K2196" t="n">
        <v>0</v>
      </c>
      <c r="L2196" t="n">
        <v>0</v>
      </c>
      <c r="M2196" t="n">
        <v>0</v>
      </c>
      <c r="N2196" t="n">
        <v>0</v>
      </c>
      <c r="O2196" t="n">
        <v>0</v>
      </c>
      <c r="P2196" t="n">
        <v>0</v>
      </c>
      <c r="Q2196" t="n">
        <v>0</v>
      </c>
      <c r="R2196" s="2" t="inlineStr"/>
    </row>
    <row r="2197" ht="15" customHeight="1">
      <c r="A2197" t="inlineStr">
        <is>
          <t>A 36048-2019</t>
        </is>
      </c>
      <c r="B2197" s="1" t="n">
        <v>43668</v>
      </c>
      <c r="C2197" s="1" t="n">
        <v>45190</v>
      </c>
      <c r="D2197" t="inlineStr">
        <is>
          <t>KALMAR LÄN</t>
        </is>
      </c>
      <c r="E2197" t="inlineStr">
        <is>
          <t>KALMAR</t>
        </is>
      </c>
      <c r="G2197" t="n">
        <v>14.3</v>
      </c>
      <c r="H2197" t="n">
        <v>0</v>
      </c>
      <c r="I2197" t="n">
        <v>0</v>
      </c>
      <c r="J2197" t="n">
        <v>0</v>
      </c>
      <c r="K2197" t="n">
        <v>0</v>
      </c>
      <c r="L2197" t="n">
        <v>0</v>
      </c>
      <c r="M2197" t="n">
        <v>0</v>
      </c>
      <c r="N2197" t="n">
        <v>0</v>
      </c>
      <c r="O2197" t="n">
        <v>0</v>
      </c>
      <c r="P2197" t="n">
        <v>0</v>
      </c>
      <c r="Q2197" t="n">
        <v>0</v>
      </c>
      <c r="R2197" s="2" t="inlineStr"/>
    </row>
    <row r="2198" ht="15" customHeight="1">
      <c r="A2198" t="inlineStr">
        <is>
          <t>A 36144-2019</t>
        </is>
      </c>
      <c r="B2198" s="1" t="n">
        <v>43668</v>
      </c>
      <c r="C2198" s="1" t="n">
        <v>45190</v>
      </c>
      <c r="D2198" t="inlineStr">
        <is>
          <t>KALMAR LÄN</t>
        </is>
      </c>
      <c r="E2198" t="inlineStr">
        <is>
          <t>HÖGSBY</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36027-2019</t>
        </is>
      </c>
      <c r="B2199" s="1" t="n">
        <v>43668</v>
      </c>
      <c r="C2199" s="1" t="n">
        <v>45190</v>
      </c>
      <c r="D2199" t="inlineStr">
        <is>
          <t>KALMAR LÄN</t>
        </is>
      </c>
      <c r="E2199" t="inlineStr">
        <is>
          <t>VIMMERBY</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36593-2019</t>
        </is>
      </c>
      <c r="B2200" s="1" t="n">
        <v>43669</v>
      </c>
      <c r="C2200" s="1" t="n">
        <v>45190</v>
      </c>
      <c r="D2200" t="inlineStr">
        <is>
          <t>KALMAR LÄN</t>
        </is>
      </c>
      <c r="E2200" t="inlineStr">
        <is>
          <t>NYBRO</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36260-2019</t>
        </is>
      </c>
      <c r="B2201" s="1" t="n">
        <v>43669</v>
      </c>
      <c r="C2201" s="1" t="n">
        <v>45190</v>
      </c>
      <c r="D2201" t="inlineStr">
        <is>
          <t>KALMAR LÄN</t>
        </is>
      </c>
      <c r="E2201" t="inlineStr">
        <is>
          <t>NYBRO</t>
        </is>
      </c>
      <c r="G2201" t="n">
        <v>4.3</v>
      </c>
      <c r="H2201" t="n">
        <v>0</v>
      </c>
      <c r="I2201" t="n">
        <v>0</v>
      </c>
      <c r="J2201" t="n">
        <v>0</v>
      </c>
      <c r="K2201" t="n">
        <v>0</v>
      </c>
      <c r="L2201" t="n">
        <v>0</v>
      </c>
      <c r="M2201" t="n">
        <v>0</v>
      </c>
      <c r="N2201" t="n">
        <v>0</v>
      </c>
      <c r="O2201" t="n">
        <v>0</v>
      </c>
      <c r="P2201" t="n">
        <v>0</v>
      </c>
      <c r="Q2201" t="n">
        <v>0</v>
      </c>
      <c r="R2201" s="2" t="inlineStr"/>
    </row>
    <row r="2202" ht="15" customHeight="1">
      <c r="A2202" t="inlineStr">
        <is>
          <t>A 36221-2019</t>
        </is>
      </c>
      <c r="B2202" s="1" t="n">
        <v>43669</v>
      </c>
      <c r="C2202" s="1" t="n">
        <v>45190</v>
      </c>
      <c r="D2202" t="inlineStr">
        <is>
          <t>KALMAR LÄN</t>
        </is>
      </c>
      <c r="E2202" t="inlineStr">
        <is>
          <t>HÖGSBY</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36249-2019</t>
        </is>
      </c>
      <c r="B2203" s="1" t="n">
        <v>43669</v>
      </c>
      <c r="C2203" s="1" t="n">
        <v>45190</v>
      </c>
      <c r="D2203" t="inlineStr">
        <is>
          <t>KALMAR LÄN</t>
        </is>
      </c>
      <c r="E2203" t="inlineStr">
        <is>
          <t>EMMABODA</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36281-2019</t>
        </is>
      </c>
      <c r="B2204" s="1" t="n">
        <v>43669</v>
      </c>
      <c r="C2204" s="1" t="n">
        <v>45190</v>
      </c>
      <c r="D2204" t="inlineStr">
        <is>
          <t>KALMAR LÄN</t>
        </is>
      </c>
      <c r="E2204" t="inlineStr">
        <is>
          <t>HULTSFRED</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36212-2019</t>
        </is>
      </c>
      <c r="B2205" s="1" t="n">
        <v>43669</v>
      </c>
      <c r="C2205" s="1" t="n">
        <v>45190</v>
      </c>
      <c r="D2205" t="inlineStr">
        <is>
          <t>KALMAR LÄN</t>
        </is>
      </c>
      <c r="E2205" t="inlineStr">
        <is>
          <t>HÖGSBY</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36254-2019</t>
        </is>
      </c>
      <c r="B2206" s="1" t="n">
        <v>43669</v>
      </c>
      <c r="C2206" s="1" t="n">
        <v>45190</v>
      </c>
      <c r="D2206" t="inlineStr">
        <is>
          <t>KALMAR LÄN</t>
        </is>
      </c>
      <c r="E2206" t="inlineStr">
        <is>
          <t>OSKARSHAMN</t>
        </is>
      </c>
      <c r="G2206" t="n">
        <v>7</v>
      </c>
      <c r="H2206" t="n">
        <v>0</v>
      </c>
      <c r="I2206" t="n">
        <v>0</v>
      </c>
      <c r="J2206" t="n">
        <v>0</v>
      </c>
      <c r="K2206" t="n">
        <v>0</v>
      </c>
      <c r="L2206" t="n">
        <v>0</v>
      </c>
      <c r="M2206" t="n">
        <v>0</v>
      </c>
      <c r="N2206" t="n">
        <v>0</v>
      </c>
      <c r="O2206" t="n">
        <v>0</v>
      </c>
      <c r="P2206" t="n">
        <v>0</v>
      </c>
      <c r="Q2206" t="n">
        <v>0</v>
      </c>
      <c r="R2206" s="2" t="inlineStr"/>
    </row>
    <row r="2207" ht="15" customHeight="1">
      <c r="A2207" t="inlineStr">
        <is>
          <t>A 36716-2019</t>
        </is>
      </c>
      <c r="B2207" s="1" t="n">
        <v>43669</v>
      </c>
      <c r="C2207" s="1" t="n">
        <v>45190</v>
      </c>
      <c r="D2207" t="inlineStr">
        <is>
          <t>KALMAR LÄN</t>
        </is>
      </c>
      <c r="E2207" t="inlineStr">
        <is>
          <t>VIMMERBY</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36326-2019</t>
        </is>
      </c>
      <c r="B2208" s="1" t="n">
        <v>43670</v>
      </c>
      <c r="C2208" s="1" t="n">
        <v>45190</v>
      </c>
      <c r="D2208" t="inlineStr">
        <is>
          <t>KALMAR LÄN</t>
        </is>
      </c>
      <c r="E2208" t="inlineStr">
        <is>
          <t>TORSÅS</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36454-2019</t>
        </is>
      </c>
      <c r="B2209" s="1" t="n">
        <v>43670</v>
      </c>
      <c r="C2209" s="1" t="n">
        <v>45190</v>
      </c>
      <c r="D2209" t="inlineStr">
        <is>
          <t>KALMAR LÄN</t>
        </is>
      </c>
      <c r="E2209" t="inlineStr">
        <is>
          <t>VIMMERBY</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36327-2019</t>
        </is>
      </c>
      <c r="B2210" s="1" t="n">
        <v>43670</v>
      </c>
      <c r="C2210" s="1" t="n">
        <v>45190</v>
      </c>
      <c r="D2210" t="inlineStr">
        <is>
          <t>KALMAR LÄN</t>
        </is>
      </c>
      <c r="E2210" t="inlineStr">
        <is>
          <t>TORSÅS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36329-2019</t>
        </is>
      </c>
      <c r="B2211" s="1" t="n">
        <v>43670</v>
      </c>
      <c r="C2211" s="1" t="n">
        <v>45190</v>
      </c>
      <c r="D2211" t="inlineStr">
        <is>
          <t>KALMAR LÄN</t>
        </is>
      </c>
      <c r="E2211" t="inlineStr">
        <is>
          <t>TORSÅS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36688-2019</t>
        </is>
      </c>
      <c r="B2212" s="1" t="n">
        <v>43670</v>
      </c>
      <c r="C2212" s="1" t="n">
        <v>45190</v>
      </c>
      <c r="D2212" t="inlineStr">
        <is>
          <t>KALMAR LÄN</t>
        </is>
      </c>
      <c r="E2212" t="inlineStr">
        <is>
          <t>HULTSFRED</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36581-2019</t>
        </is>
      </c>
      <c r="B2213" s="1" t="n">
        <v>43671</v>
      </c>
      <c r="C2213" s="1" t="n">
        <v>45190</v>
      </c>
      <c r="D2213" t="inlineStr">
        <is>
          <t>KALMAR LÄN</t>
        </is>
      </c>
      <c r="E2213" t="inlineStr">
        <is>
          <t>HÖGSBY</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36759-2019</t>
        </is>
      </c>
      <c r="B2214" s="1" t="n">
        <v>43672</v>
      </c>
      <c r="C2214" s="1" t="n">
        <v>45190</v>
      </c>
      <c r="D2214" t="inlineStr">
        <is>
          <t>KALMAR LÄN</t>
        </is>
      </c>
      <c r="E2214" t="inlineStr">
        <is>
          <t>EMMABODA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36791-2019</t>
        </is>
      </c>
      <c r="B2215" s="1" t="n">
        <v>43672</v>
      </c>
      <c r="C2215" s="1" t="n">
        <v>45190</v>
      </c>
      <c r="D2215" t="inlineStr">
        <is>
          <t>KALMAR LÄN</t>
        </is>
      </c>
      <c r="E2215" t="inlineStr">
        <is>
          <t>NYBRO</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36751-2019</t>
        </is>
      </c>
      <c r="B2216" s="1" t="n">
        <v>43672</v>
      </c>
      <c r="C2216" s="1" t="n">
        <v>45190</v>
      </c>
      <c r="D2216" t="inlineStr">
        <is>
          <t>KALMAR LÄN</t>
        </is>
      </c>
      <c r="E2216" t="inlineStr">
        <is>
          <t>TORSÅS</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36756-2019</t>
        </is>
      </c>
      <c r="B2217" s="1" t="n">
        <v>43672</v>
      </c>
      <c r="C2217" s="1" t="n">
        <v>45190</v>
      </c>
      <c r="D2217" t="inlineStr">
        <is>
          <t>KALMAR LÄN</t>
        </is>
      </c>
      <c r="E2217" t="inlineStr">
        <is>
          <t>EMMABODA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36777-2019</t>
        </is>
      </c>
      <c r="B2218" s="1" t="n">
        <v>43672</v>
      </c>
      <c r="C2218" s="1" t="n">
        <v>45190</v>
      </c>
      <c r="D2218" t="inlineStr">
        <is>
          <t>KALMAR LÄN</t>
        </is>
      </c>
      <c r="E2218" t="inlineStr">
        <is>
          <t>EMMABODA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37031-2019</t>
        </is>
      </c>
      <c r="B2219" s="1" t="n">
        <v>43672</v>
      </c>
      <c r="C2219" s="1" t="n">
        <v>45190</v>
      </c>
      <c r="D2219" t="inlineStr">
        <is>
          <t>KALMAR LÄN</t>
        </is>
      </c>
      <c r="E2219" t="inlineStr">
        <is>
          <t>VIMMERBY</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36828-2019</t>
        </is>
      </c>
      <c r="B2220" s="1" t="n">
        <v>43674</v>
      </c>
      <c r="C2220" s="1" t="n">
        <v>45190</v>
      </c>
      <c r="D2220" t="inlineStr">
        <is>
          <t>KALMAR LÄN</t>
        </is>
      </c>
      <c r="E2220" t="inlineStr">
        <is>
          <t>TORSÅS</t>
        </is>
      </c>
      <c r="G2220" t="n">
        <v>23.3</v>
      </c>
      <c r="H2220" t="n">
        <v>0</v>
      </c>
      <c r="I2220" t="n">
        <v>0</v>
      </c>
      <c r="J2220" t="n">
        <v>0</v>
      </c>
      <c r="K2220" t="n">
        <v>0</v>
      </c>
      <c r="L2220" t="n">
        <v>0</v>
      </c>
      <c r="M2220" t="n">
        <v>0</v>
      </c>
      <c r="N2220" t="n">
        <v>0</v>
      </c>
      <c r="O2220" t="n">
        <v>0</v>
      </c>
      <c r="P2220" t="n">
        <v>0</v>
      </c>
      <c r="Q2220" t="n">
        <v>0</v>
      </c>
      <c r="R2220" s="2" t="inlineStr"/>
    </row>
    <row r="2221" ht="15" customHeight="1">
      <c r="A2221" t="inlineStr">
        <is>
          <t>A 36829-2019</t>
        </is>
      </c>
      <c r="B2221" s="1" t="n">
        <v>43674</v>
      </c>
      <c r="C2221" s="1" t="n">
        <v>45190</v>
      </c>
      <c r="D2221" t="inlineStr">
        <is>
          <t>KALMAR LÄN</t>
        </is>
      </c>
      <c r="E2221" t="inlineStr">
        <is>
          <t>KALMAR</t>
        </is>
      </c>
      <c r="G2221" t="n">
        <v>18.7</v>
      </c>
      <c r="H2221" t="n">
        <v>0</v>
      </c>
      <c r="I2221" t="n">
        <v>0</v>
      </c>
      <c r="J2221" t="n">
        <v>0</v>
      </c>
      <c r="K2221" t="n">
        <v>0</v>
      </c>
      <c r="L2221" t="n">
        <v>0</v>
      </c>
      <c r="M2221" t="n">
        <v>0</v>
      </c>
      <c r="N2221" t="n">
        <v>0</v>
      </c>
      <c r="O2221" t="n">
        <v>0</v>
      </c>
      <c r="P2221" t="n">
        <v>0</v>
      </c>
      <c r="Q2221" t="n">
        <v>0</v>
      </c>
      <c r="R2221" s="2" t="inlineStr"/>
    </row>
    <row r="2222" ht="15" customHeight="1">
      <c r="A2222" t="inlineStr">
        <is>
          <t>A 36830-2019</t>
        </is>
      </c>
      <c r="B2222" s="1" t="n">
        <v>43674</v>
      </c>
      <c r="C2222" s="1" t="n">
        <v>45190</v>
      </c>
      <c r="D2222" t="inlineStr">
        <is>
          <t>KALMAR LÄN</t>
        </is>
      </c>
      <c r="E2222" t="inlineStr">
        <is>
          <t>VIMMERBY</t>
        </is>
      </c>
      <c r="G2222" t="n">
        <v>7.2</v>
      </c>
      <c r="H2222" t="n">
        <v>0</v>
      </c>
      <c r="I2222" t="n">
        <v>0</v>
      </c>
      <c r="J2222" t="n">
        <v>0</v>
      </c>
      <c r="K2222" t="n">
        <v>0</v>
      </c>
      <c r="L2222" t="n">
        <v>0</v>
      </c>
      <c r="M2222" t="n">
        <v>0</v>
      </c>
      <c r="N2222" t="n">
        <v>0</v>
      </c>
      <c r="O2222" t="n">
        <v>0</v>
      </c>
      <c r="P2222" t="n">
        <v>0</v>
      </c>
      <c r="Q2222" t="n">
        <v>0</v>
      </c>
      <c r="R2222" s="2" t="inlineStr"/>
    </row>
    <row r="2223" ht="15" customHeight="1">
      <c r="A2223" t="inlineStr">
        <is>
          <t>A 36845-2019</t>
        </is>
      </c>
      <c r="B2223" s="1" t="n">
        <v>43675</v>
      </c>
      <c r="C2223" s="1" t="n">
        <v>45190</v>
      </c>
      <c r="D2223" t="inlineStr">
        <is>
          <t>KALMAR LÄN</t>
        </is>
      </c>
      <c r="E2223" t="inlineStr">
        <is>
          <t>OSKARSHAMN</t>
        </is>
      </c>
      <c r="F2223" t="inlineStr">
        <is>
          <t>Sveaskog</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36861-2019</t>
        </is>
      </c>
      <c r="B2224" s="1" t="n">
        <v>43675</v>
      </c>
      <c r="C2224" s="1" t="n">
        <v>45190</v>
      </c>
      <c r="D2224" t="inlineStr">
        <is>
          <t>KALMAR LÄN</t>
        </is>
      </c>
      <c r="E2224" t="inlineStr">
        <is>
          <t>OSKARSHAMN</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36883-2019</t>
        </is>
      </c>
      <c r="B2225" s="1" t="n">
        <v>43675</v>
      </c>
      <c r="C2225" s="1" t="n">
        <v>45190</v>
      </c>
      <c r="D2225" t="inlineStr">
        <is>
          <t>KALMAR LÄN</t>
        </is>
      </c>
      <c r="E2225" t="inlineStr">
        <is>
          <t>HULTSFRED</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36941-2019</t>
        </is>
      </c>
      <c r="B2226" s="1" t="n">
        <v>43675</v>
      </c>
      <c r="C2226" s="1" t="n">
        <v>45190</v>
      </c>
      <c r="D2226" t="inlineStr">
        <is>
          <t>KALMAR LÄN</t>
        </is>
      </c>
      <c r="E2226" t="inlineStr">
        <is>
          <t>TORSÅS</t>
        </is>
      </c>
      <c r="G2226" t="n">
        <v>6.2</v>
      </c>
      <c r="H2226" t="n">
        <v>0</v>
      </c>
      <c r="I2226" t="n">
        <v>0</v>
      </c>
      <c r="J2226" t="n">
        <v>0</v>
      </c>
      <c r="K2226" t="n">
        <v>0</v>
      </c>
      <c r="L2226" t="n">
        <v>0</v>
      </c>
      <c r="M2226" t="n">
        <v>0</v>
      </c>
      <c r="N2226" t="n">
        <v>0</v>
      </c>
      <c r="O2226" t="n">
        <v>0</v>
      </c>
      <c r="P2226" t="n">
        <v>0</v>
      </c>
      <c r="Q2226" t="n">
        <v>0</v>
      </c>
      <c r="R2226" s="2" t="inlineStr"/>
    </row>
    <row r="2227" ht="15" customHeight="1">
      <c r="A2227" t="inlineStr">
        <is>
          <t>A 36945-2019</t>
        </is>
      </c>
      <c r="B2227" s="1" t="n">
        <v>43675</v>
      </c>
      <c r="C2227" s="1" t="n">
        <v>45190</v>
      </c>
      <c r="D2227" t="inlineStr">
        <is>
          <t>KALMAR LÄN</t>
        </is>
      </c>
      <c r="E2227" t="inlineStr">
        <is>
          <t>TORSÅS</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36943-2019</t>
        </is>
      </c>
      <c r="B2228" s="1" t="n">
        <v>43675</v>
      </c>
      <c r="C2228" s="1" t="n">
        <v>45190</v>
      </c>
      <c r="D2228" t="inlineStr">
        <is>
          <t>KALMAR LÄN</t>
        </is>
      </c>
      <c r="E2228" t="inlineStr">
        <is>
          <t>TORSÅS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36948-2019</t>
        </is>
      </c>
      <c r="B2229" s="1" t="n">
        <v>43675</v>
      </c>
      <c r="C2229" s="1" t="n">
        <v>45190</v>
      </c>
      <c r="D2229" t="inlineStr">
        <is>
          <t>KALMAR LÄN</t>
        </is>
      </c>
      <c r="E2229" t="inlineStr">
        <is>
          <t>TORSÅS</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36839-2019</t>
        </is>
      </c>
      <c r="B2230" s="1" t="n">
        <v>43675</v>
      </c>
      <c r="C2230" s="1" t="n">
        <v>45190</v>
      </c>
      <c r="D2230" t="inlineStr">
        <is>
          <t>KALMAR LÄN</t>
        </is>
      </c>
      <c r="E2230" t="inlineStr">
        <is>
          <t>EMMABODA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36860-2019</t>
        </is>
      </c>
      <c r="B2231" s="1" t="n">
        <v>43675</v>
      </c>
      <c r="C2231" s="1" t="n">
        <v>45190</v>
      </c>
      <c r="D2231" t="inlineStr">
        <is>
          <t>KALMAR LÄN</t>
        </is>
      </c>
      <c r="E2231" t="inlineStr">
        <is>
          <t>OSKARSHAMN</t>
        </is>
      </c>
      <c r="F2231" t="inlineStr">
        <is>
          <t>Sveaskog</t>
        </is>
      </c>
      <c r="G2231" t="n">
        <v>4.9</v>
      </c>
      <c r="H2231" t="n">
        <v>0</v>
      </c>
      <c r="I2231" t="n">
        <v>0</v>
      </c>
      <c r="J2231" t="n">
        <v>0</v>
      </c>
      <c r="K2231" t="n">
        <v>0</v>
      </c>
      <c r="L2231" t="n">
        <v>0</v>
      </c>
      <c r="M2231" t="n">
        <v>0</v>
      </c>
      <c r="N2231" t="n">
        <v>0</v>
      </c>
      <c r="O2231" t="n">
        <v>0</v>
      </c>
      <c r="P2231" t="n">
        <v>0</v>
      </c>
      <c r="Q2231" t="n">
        <v>0</v>
      </c>
      <c r="R2231" s="2" t="inlineStr"/>
    </row>
    <row r="2232" ht="15" customHeight="1">
      <c r="A2232" t="inlineStr">
        <is>
          <t>A 36865-2019</t>
        </is>
      </c>
      <c r="B2232" s="1" t="n">
        <v>43675</v>
      </c>
      <c r="C2232" s="1" t="n">
        <v>45190</v>
      </c>
      <c r="D2232" t="inlineStr">
        <is>
          <t>KALMAR LÄN</t>
        </is>
      </c>
      <c r="E2232" t="inlineStr">
        <is>
          <t>OSKARSHAMN</t>
        </is>
      </c>
      <c r="F2232" t="inlineStr">
        <is>
          <t>Sveaskog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36896-2019</t>
        </is>
      </c>
      <c r="B2233" s="1" t="n">
        <v>43675</v>
      </c>
      <c r="C2233" s="1" t="n">
        <v>45190</v>
      </c>
      <c r="D2233" t="inlineStr">
        <is>
          <t>KALMAR LÄN</t>
        </is>
      </c>
      <c r="E2233" t="inlineStr">
        <is>
          <t>OSKARSHAMN</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36944-2019</t>
        </is>
      </c>
      <c r="B2234" s="1" t="n">
        <v>43675</v>
      </c>
      <c r="C2234" s="1" t="n">
        <v>45190</v>
      </c>
      <c r="D2234" t="inlineStr">
        <is>
          <t>KALMAR LÄN</t>
        </is>
      </c>
      <c r="E2234" t="inlineStr">
        <is>
          <t>KALMAR</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36898-2019</t>
        </is>
      </c>
      <c r="B2235" s="1" t="n">
        <v>43675</v>
      </c>
      <c r="C2235" s="1" t="n">
        <v>45190</v>
      </c>
      <c r="D2235" t="inlineStr">
        <is>
          <t>KALMAR LÄN</t>
        </is>
      </c>
      <c r="E2235" t="inlineStr">
        <is>
          <t>EMMABODA</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36936-2019</t>
        </is>
      </c>
      <c r="B2236" s="1" t="n">
        <v>43675</v>
      </c>
      <c r="C2236" s="1" t="n">
        <v>45190</v>
      </c>
      <c r="D2236" t="inlineStr">
        <is>
          <t>KALMAR LÄN</t>
        </is>
      </c>
      <c r="E2236" t="inlineStr">
        <is>
          <t>VIMMERBY</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36942-2019</t>
        </is>
      </c>
      <c r="B2237" s="1" t="n">
        <v>43675</v>
      </c>
      <c r="C2237" s="1" t="n">
        <v>45190</v>
      </c>
      <c r="D2237" t="inlineStr">
        <is>
          <t>KALMAR LÄN</t>
        </is>
      </c>
      <c r="E2237" t="inlineStr">
        <is>
          <t>TORSÅS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36946-2019</t>
        </is>
      </c>
      <c r="B2238" s="1" t="n">
        <v>43675</v>
      </c>
      <c r="C2238" s="1" t="n">
        <v>45190</v>
      </c>
      <c r="D2238" t="inlineStr">
        <is>
          <t>KALMAR LÄN</t>
        </is>
      </c>
      <c r="E2238" t="inlineStr">
        <is>
          <t>TORSÅS</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37052-2019</t>
        </is>
      </c>
      <c r="B2239" s="1" t="n">
        <v>43676</v>
      </c>
      <c r="C2239" s="1" t="n">
        <v>45190</v>
      </c>
      <c r="D2239" t="inlineStr">
        <is>
          <t>KALMAR LÄN</t>
        </is>
      </c>
      <c r="E2239" t="inlineStr">
        <is>
          <t>TORSÅS</t>
        </is>
      </c>
      <c r="G2239" t="n">
        <v>9.5</v>
      </c>
      <c r="H2239" t="n">
        <v>0</v>
      </c>
      <c r="I2239" t="n">
        <v>0</v>
      </c>
      <c r="J2239" t="n">
        <v>0</v>
      </c>
      <c r="K2239" t="n">
        <v>0</v>
      </c>
      <c r="L2239" t="n">
        <v>0</v>
      </c>
      <c r="M2239" t="n">
        <v>0</v>
      </c>
      <c r="N2239" t="n">
        <v>0</v>
      </c>
      <c r="O2239" t="n">
        <v>0</v>
      </c>
      <c r="P2239" t="n">
        <v>0</v>
      </c>
      <c r="Q2239" t="n">
        <v>0</v>
      </c>
      <c r="R2239" s="2" t="inlineStr"/>
    </row>
    <row r="2240" ht="15" customHeight="1">
      <c r="A2240" t="inlineStr">
        <is>
          <t>A 37214-2019</t>
        </is>
      </c>
      <c r="B2240" s="1" t="n">
        <v>43676</v>
      </c>
      <c r="C2240" s="1" t="n">
        <v>45190</v>
      </c>
      <c r="D2240" t="inlineStr">
        <is>
          <t>KALMAR LÄN</t>
        </is>
      </c>
      <c r="E2240" t="inlineStr">
        <is>
          <t>HÖGSBY</t>
        </is>
      </c>
      <c r="G2240" t="n">
        <v>11.9</v>
      </c>
      <c r="H2240" t="n">
        <v>0</v>
      </c>
      <c r="I2240" t="n">
        <v>0</v>
      </c>
      <c r="J2240" t="n">
        <v>0</v>
      </c>
      <c r="K2240" t="n">
        <v>0</v>
      </c>
      <c r="L2240" t="n">
        <v>0</v>
      </c>
      <c r="M2240" t="n">
        <v>0</v>
      </c>
      <c r="N2240" t="n">
        <v>0</v>
      </c>
      <c r="O2240" t="n">
        <v>0</v>
      </c>
      <c r="P2240" t="n">
        <v>0</v>
      </c>
      <c r="Q2240" t="n">
        <v>0</v>
      </c>
      <c r="R2240" s="2" t="inlineStr"/>
    </row>
    <row r="2241" ht="15" customHeight="1">
      <c r="A2241" t="inlineStr">
        <is>
          <t>A 36967-2019</t>
        </is>
      </c>
      <c r="B2241" s="1" t="n">
        <v>43676</v>
      </c>
      <c r="C2241" s="1" t="n">
        <v>45190</v>
      </c>
      <c r="D2241" t="inlineStr">
        <is>
          <t>KALMAR LÄN</t>
        </is>
      </c>
      <c r="E2241" t="inlineStr">
        <is>
          <t>NYBRO</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37097-2019</t>
        </is>
      </c>
      <c r="B2242" s="1" t="n">
        <v>43676</v>
      </c>
      <c r="C2242" s="1" t="n">
        <v>45190</v>
      </c>
      <c r="D2242" t="inlineStr">
        <is>
          <t>KALMAR LÄN</t>
        </is>
      </c>
      <c r="E2242" t="inlineStr">
        <is>
          <t>TORSÅS</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37205-2019</t>
        </is>
      </c>
      <c r="B2243" s="1" t="n">
        <v>43676</v>
      </c>
      <c r="C2243" s="1" t="n">
        <v>45190</v>
      </c>
      <c r="D2243" t="inlineStr">
        <is>
          <t>KALMAR LÄN</t>
        </is>
      </c>
      <c r="E2243" t="inlineStr">
        <is>
          <t>HÖGSBY</t>
        </is>
      </c>
      <c r="G2243" t="n">
        <v>7.3</v>
      </c>
      <c r="H2243" t="n">
        <v>0</v>
      </c>
      <c r="I2243" t="n">
        <v>0</v>
      </c>
      <c r="J2243" t="n">
        <v>0</v>
      </c>
      <c r="K2243" t="n">
        <v>0</v>
      </c>
      <c r="L2243" t="n">
        <v>0</v>
      </c>
      <c r="M2243" t="n">
        <v>0</v>
      </c>
      <c r="N2243" t="n">
        <v>0</v>
      </c>
      <c r="O2243" t="n">
        <v>0</v>
      </c>
      <c r="P2243" t="n">
        <v>0</v>
      </c>
      <c r="Q2243" t="n">
        <v>0</v>
      </c>
      <c r="R2243" s="2" t="inlineStr"/>
    </row>
    <row r="2244" ht="15" customHeight="1">
      <c r="A2244" t="inlineStr">
        <is>
          <t>A 37025-2019</t>
        </is>
      </c>
      <c r="B2244" s="1" t="n">
        <v>43676</v>
      </c>
      <c r="C2244" s="1" t="n">
        <v>45190</v>
      </c>
      <c r="D2244" t="inlineStr">
        <is>
          <t>KALMAR LÄN</t>
        </is>
      </c>
      <c r="E2244" t="inlineStr">
        <is>
          <t>OSKARSHAMN</t>
        </is>
      </c>
      <c r="G2244" t="n">
        <v>12.4</v>
      </c>
      <c r="H2244" t="n">
        <v>0</v>
      </c>
      <c r="I2244" t="n">
        <v>0</v>
      </c>
      <c r="J2244" t="n">
        <v>0</v>
      </c>
      <c r="K2244" t="n">
        <v>0</v>
      </c>
      <c r="L2244" t="n">
        <v>0</v>
      </c>
      <c r="M2244" t="n">
        <v>0</v>
      </c>
      <c r="N2244" t="n">
        <v>0</v>
      </c>
      <c r="O2244" t="n">
        <v>0</v>
      </c>
      <c r="P2244" t="n">
        <v>0</v>
      </c>
      <c r="Q2244" t="n">
        <v>0</v>
      </c>
      <c r="R2244" s="2" t="inlineStr"/>
    </row>
    <row r="2245" ht="15" customHeight="1">
      <c r="A2245" t="inlineStr">
        <is>
          <t>A 37173-2019</t>
        </is>
      </c>
      <c r="B2245" s="1" t="n">
        <v>43676</v>
      </c>
      <c r="C2245" s="1" t="n">
        <v>45190</v>
      </c>
      <c r="D2245" t="inlineStr">
        <is>
          <t>KALMAR LÄN</t>
        </is>
      </c>
      <c r="E2245" t="inlineStr">
        <is>
          <t>HÖGSBY</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37063-2019</t>
        </is>
      </c>
      <c r="B2246" s="1" t="n">
        <v>43676</v>
      </c>
      <c r="C2246" s="1" t="n">
        <v>45190</v>
      </c>
      <c r="D2246" t="inlineStr">
        <is>
          <t>KALMAR LÄN</t>
        </is>
      </c>
      <c r="E2246" t="inlineStr">
        <is>
          <t>VIMMERBY</t>
        </is>
      </c>
      <c r="G2246" t="n">
        <v>2</v>
      </c>
      <c r="H2246" t="n">
        <v>0</v>
      </c>
      <c r="I2246" t="n">
        <v>0</v>
      </c>
      <c r="J2246" t="n">
        <v>0</v>
      </c>
      <c r="K2246" t="n">
        <v>0</v>
      </c>
      <c r="L2246" t="n">
        <v>0</v>
      </c>
      <c r="M2246" t="n">
        <v>0</v>
      </c>
      <c r="N2246" t="n">
        <v>0</v>
      </c>
      <c r="O2246" t="n">
        <v>0</v>
      </c>
      <c r="P2246" t="n">
        <v>0</v>
      </c>
      <c r="Q2246" t="n">
        <v>0</v>
      </c>
      <c r="R2246" s="2" t="inlineStr"/>
    </row>
    <row r="2247" ht="15" customHeight="1">
      <c r="A2247" t="inlineStr">
        <is>
          <t>A 37096-2019</t>
        </is>
      </c>
      <c r="B2247" s="1" t="n">
        <v>43676</v>
      </c>
      <c r="C2247" s="1" t="n">
        <v>45190</v>
      </c>
      <c r="D2247" t="inlineStr">
        <is>
          <t>KALMAR LÄN</t>
        </is>
      </c>
      <c r="E2247" t="inlineStr">
        <is>
          <t>TORSÅS</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37108-2019</t>
        </is>
      </c>
      <c r="B2248" s="1" t="n">
        <v>43676</v>
      </c>
      <c r="C2248" s="1" t="n">
        <v>45190</v>
      </c>
      <c r="D2248" t="inlineStr">
        <is>
          <t>KALMAR LÄN</t>
        </is>
      </c>
      <c r="E2248" t="inlineStr">
        <is>
          <t>EMMABODA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37175-2019</t>
        </is>
      </c>
      <c r="B2249" s="1" t="n">
        <v>43676</v>
      </c>
      <c r="C2249" s="1" t="n">
        <v>45190</v>
      </c>
      <c r="D2249" t="inlineStr">
        <is>
          <t>KALMAR LÄN</t>
        </is>
      </c>
      <c r="E2249" t="inlineStr">
        <is>
          <t>HÖGSBY</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37177-2019</t>
        </is>
      </c>
      <c r="B2250" s="1" t="n">
        <v>43677</v>
      </c>
      <c r="C2250" s="1" t="n">
        <v>45190</v>
      </c>
      <c r="D2250" t="inlineStr">
        <is>
          <t>KALMAR LÄN</t>
        </is>
      </c>
      <c r="E2250" t="inlineStr">
        <is>
          <t>HULTSFRED</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37281-2019</t>
        </is>
      </c>
      <c r="B2251" s="1" t="n">
        <v>43677</v>
      </c>
      <c r="C2251" s="1" t="n">
        <v>45190</v>
      </c>
      <c r="D2251" t="inlineStr">
        <is>
          <t>KALMAR LÄN</t>
        </is>
      </c>
      <c r="E2251" t="inlineStr">
        <is>
          <t>TORSÅS</t>
        </is>
      </c>
      <c r="G2251" t="n">
        <v>9.5</v>
      </c>
      <c r="H2251" t="n">
        <v>0</v>
      </c>
      <c r="I2251" t="n">
        <v>0</v>
      </c>
      <c r="J2251" t="n">
        <v>0</v>
      </c>
      <c r="K2251" t="n">
        <v>0</v>
      </c>
      <c r="L2251" t="n">
        <v>0</v>
      </c>
      <c r="M2251" t="n">
        <v>0</v>
      </c>
      <c r="N2251" t="n">
        <v>0</v>
      </c>
      <c r="O2251" t="n">
        <v>0</v>
      </c>
      <c r="P2251" t="n">
        <v>0</v>
      </c>
      <c r="Q2251" t="n">
        <v>0</v>
      </c>
      <c r="R2251" s="2" t="inlineStr"/>
    </row>
    <row r="2252" ht="15" customHeight="1">
      <c r="A2252" t="inlineStr">
        <is>
          <t>A 37209-2019</t>
        </is>
      </c>
      <c r="B2252" s="1" t="n">
        <v>43677</v>
      </c>
      <c r="C2252" s="1" t="n">
        <v>45190</v>
      </c>
      <c r="D2252" t="inlineStr">
        <is>
          <t>KALMAR LÄN</t>
        </is>
      </c>
      <c r="E2252" t="inlineStr">
        <is>
          <t>VIMMERBY</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37276-2019</t>
        </is>
      </c>
      <c r="B2253" s="1" t="n">
        <v>43677</v>
      </c>
      <c r="C2253" s="1" t="n">
        <v>45190</v>
      </c>
      <c r="D2253" t="inlineStr">
        <is>
          <t>KALMAR LÄN</t>
        </is>
      </c>
      <c r="E2253" t="inlineStr">
        <is>
          <t>TORSÅS</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37283-2019</t>
        </is>
      </c>
      <c r="B2254" s="1" t="n">
        <v>43677</v>
      </c>
      <c r="C2254" s="1" t="n">
        <v>45190</v>
      </c>
      <c r="D2254" t="inlineStr">
        <is>
          <t>KALMAR LÄN</t>
        </is>
      </c>
      <c r="E2254" t="inlineStr">
        <is>
          <t>TORSÅS</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37303-2019</t>
        </is>
      </c>
      <c r="B2255" s="1" t="n">
        <v>43678</v>
      </c>
      <c r="C2255" s="1" t="n">
        <v>45190</v>
      </c>
      <c r="D2255" t="inlineStr">
        <is>
          <t>KALMAR LÄN</t>
        </is>
      </c>
      <c r="E2255" t="inlineStr">
        <is>
          <t>NYBRO</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37418-2019</t>
        </is>
      </c>
      <c r="B2256" s="1" t="n">
        <v>43678</v>
      </c>
      <c r="C2256" s="1" t="n">
        <v>45190</v>
      </c>
      <c r="D2256" t="inlineStr">
        <is>
          <t>KALMAR LÄN</t>
        </is>
      </c>
      <c r="E2256" t="inlineStr">
        <is>
          <t>NYBRO</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37384-2019</t>
        </is>
      </c>
      <c r="B2257" s="1" t="n">
        <v>43678</v>
      </c>
      <c r="C2257" s="1" t="n">
        <v>45190</v>
      </c>
      <c r="D2257" t="inlineStr">
        <is>
          <t>KALMAR LÄN</t>
        </is>
      </c>
      <c r="E2257" t="inlineStr">
        <is>
          <t>EMMABODA</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37485-2019</t>
        </is>
      </c>
      <c r="B2258" s="1" t="n">
        <v>43678</v>
      </c>
      <c r="C2258" s="1" t="n">
        <v>45190</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37381-2019</t>
        </is>
      </c>
      <c r="B2259" s="1" t="n">
        <v>43678</v>
      </c>
      <c r="C2259" s="1" t="n">
        <v>45190</v>
      </c>
      <c r="D2259" t="inlineStr">
        <is>
          <t>KALMAR LÄN</t>
        </is>
      </c>
      <c r="E2259" t="inlineStr">
        <is>
          <t>KALMAR</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37387-2019</t>
        </is>
      </c>
      <c r="B2260" s="1" t="n">
        <v>43678</v>
      </c>
      <c r="C2260" s="1" t="n">
        <v>45190</v>
      </c>
      <c r="D2260" t="inlineStr">
        <is>
          <t>KALMAR LÄN</t>
        </is>
      </c>
      <c r="E2260" t="inlineStr">
        <is>
          <t>EMMABODA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37386-2019</t>
        </is>
      </c>
      <c r="B2261" s="1" t="n">
        <v>43678</v>
      </c>
      <c r="C2261" s="1" t="n">
        <v>45190</v>
      </c>
      <c r="D2261" t="inlineStr">
        <is>
          <t>KALMAR LÄN</t>
        </is>
      </c>
      <c r="E2261" t="inlineStr">
        <is>
          <t>EMMABODA</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37412-2019</t>
        </is>
      </c>
      <c r="B2262" s="1" t="n">
        <v>43678</v>
      </c>
      <c r="C2262" s="1" t="n">
        <v>45190</v>
      </c>
      <c r="D2262" t="inlineStr">
        <is>
          <t>KALMAR LÄN</t>
        </is>
      </c>
      <c r="E2262" t="inlineStr">
        <is>
          <t>VIMMERBY</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37484-2019</t>
        </is>
      </c>
      <c r="B2263" s="1" t="n">
        <v>43679</v>
      </c>
      <c r="C2263" s="1" t="n">
        <v>45190</v>
      </c>
      <c r="D2263" t="inlineStr">
        <is>
          <t>KALMAR LÄN</t>
        </is>
      </c>
      <c r="E2263" t="inlineStr">
        <is>
          <t>KALMAR</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37455-2019</t>
        </is>
      </c>
      <c r="B2264" s="1" t="n">
        <v>43679</v>
      </c>
      <c r="C2264" s="1" t="n">
        <v>45190</v>
      </c>
      <c r="D2264" t="inlineStr">
        <is>
          <t>KALMAR LÄN</t>
        </is>
      </c>
      <c r="E2264" t="inlineStr">
        <is>
          <t>TORSÅS</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37604-2019</t>
        </is>
      </c>
      <c r="B2265" s="1" t="n">
        <v>43680</v>
      </c>
      <c r="C2265" s="1" t="n">
        <v>45190</v>
      </c>
      <c r="D2265" t="inlineStr">
        <is>
          <t>KALMAR LÄN</t>
        </is>
      </c>
      <c r="E2265" t="inlineStr">
        <is>
          <t>KALMAR</t>
        </is>
      </c>
      <c r="G2265" t="n">
        <v>6.5</v>
      </c>
      <c r="H2265" t="n">
        <v>0</v>
      </c>
      <c r="I2265" t="n">
        <v>0</v>
      </c>
      <c r="J2265" t="n">
        <v>0</v>
      </c>
      <c r="K2265" t="n">
        <v>0</v>
      </c>
      <c r="L2265" t="n">
        <v>0</v>
      </c>
      <c r="M2265" t="n">
        <v>0</v>
      </c>
      <c r="N2265" t="n">
        <v>0</v>
      </c>
      <c r="O2265" t="n">
        <v>0</v>
      </c>
      <c r="P2265" t="n">
        <v>0</v>
      </c>
      <c r="Q2265" t="n">
        <v>0</v>
      </c>
      <c r="R2265" s="2" t="inlineStr"/>
    </row>
    <row r="2266" ht="15" customHeight="1">
      <c r="A2266" t="inlineStr">
        <is>
          <t>A 37608-2019</t>
        </is>
      </c>
      <c r="B2266" s="1" t="n">
        <v>43680</v>
      </c>
      <c r="C2266" s="1" t="n">
        <v>45190</v>
      </c>
      <c r="D2266" t="inlineStr">
        <is>
          <t>KALMAR LÄN</t>
        </is>
      </c>
      <c r="E2266" t="inlineStr">
        <is>
          <t>TORSÅS</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37603-2019</t>
        </is>
      </c>
      <c r="B2267" s="1" t="n">
        <v>43680</v>
      </c>
      <c r="C2267" s="1" t="n">
        <v>45190</v>
      </c>
      <c r="D2267" t="inlineStr">
        <is>
          <t>KALMAR LÄN</t>
        </is>
      </c>
      <c r="E2267" t="inlineStr">
        <is>
          <t>KALMAR</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37607-2019</t>
        </is>
      </c>
      <c r="B2268" s="1" t="n">
        <v>43680</v>
      </c>
      <c r="C2268" s="1" t="n">
        <v>45190</v>
      </c>
      <c r="D2268" t="inlineStr">
        <is>
          <t>KALMAR LÄN</t>
        </is>
      </c>
      <c r="E2268" t="inlineStr">
        <is>
          <t>KALMAR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37601-2019</t>
        </is>
      </c>
      <c r="B2269" s="1" t="n">
        <v>43680</v>
      </c>
      <c r="C2269" s="1" t="n">
        <v>45190</v>
      </c>
      <c r="D2269" t="inlineStr">
        <is>
          <t>KALMAR LÄN</t>
        </is>
      </c>
      <c r="E2269" t="inlineStr">
        <is>
          <t>EMMABODA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37606-2019</t>
        </is>
      </c>
      <c r="B2270" s="1" t="n">
        <v>43680</v>
      </c>
      <c r="C2270" s="1" t="n">
        <v>45190</v>
      </c>
      <c r="D2270" t="inlineStr">
        <is>
          <t>KALMAR LÄN</t>
        </is>
      </c>
      <c r="E2270" t="inlineStr">
        <is>
          <t>KALMAR</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37617-2019</t>
        </is>
      </c>
      <c r="B2271" s="1" t="n">
        <v>43681</v>
      </c>
      <c r="C2271" s="1" t="n">
        <v>45190</v>
      </c>
      <c r="D2271" t="inlineStr">
        <is>
          <t>KALMAR LÄN</t>
        </is>
      </c>
      <c r="E2271" t="inlineStr">
        <is>
          <t>KALMAR</t>
        </is>
      </c>
      <c r="G2271" t="n">
        <v>13.3</v>
      </c>
      <c r="H2271" t="n">
        <v>0</v>
      </c>
      <c r="I2271" t="n">
        <v>0</v>
      </c>
      <c r="J2271" t="n">
        <v>0</v>
      </c>
      <c r="K2271" t="n">
        <v>0</v>
      </c>
      <c r="L2271" t="n">
        <v>0</v>
      </c>
      <c r="M2271" t="n">
        <v>0</v>
      </c>
      <c r="N2271" t="n">
        <v>0</v>
      </c>
      <c r="O2271" t="n">
        <v>0</v>
      </c>
      <c r="P2271" t="n">
        <v>0</v>
      </c>
      <c r="Q2271" t="n">
        <v>0</v>
      </c>
      <c r="R2271" s="2" t="inlineStr"/>
    </row>
    <row r="2272" ht="15" customHeight="1">
      <c r="A2272" t="inlineStr">
        <is>
          <t>A 37615-2019</t>
        </is>
      </c>
      <c r="B2272" s="1" t="n">
        <v>43681</v>
      </c>
      <c r="C2272" s="1" t="n">
        <v>45190</v>
      </c>
      <c r="D2272" t="inlineStr">
        <is>
          <t>KALMAR LÄN</t>
        </is>
      </c>
      <c r="E2272" t="inlineStr">
        <is>
          <t>VÄSTERVIK</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37683-2019</t>
        </is>
      </c>
      <c r="B2273" s="1" t="n">
        <v>43682</v>
      </c>
      <c r="C2273" s="1" t="n">
        <v>45190</v>
      </c>
      <c r="D2273" t="inlineStr">
        <is>
          <t>KALMAR LÄN</t>
        </is>
      </c>
      <c r="E2273" t="inlineStr">
        <is>
          <t>TORSÅS</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37724-2019</t>
        </is>
      </c>
      <c r="B2274" s="1" t="n">
        <v>43682</v>
      </c>
      <c r="C2274" s="1" t="n">
        <v>45190</v>
      </c>
      <c r="D2274" t="inlineStr">
        <is>
          <t>KALMAR LÄN</t>
        </is>
      </c>
      <c r="E2274" t="inlineStr">
        <is>
          <t>EMMABODA</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37771-2019</t>
        </is>
      </c>
      <c r="B2275" s="1" t="n">
        <v>43682</v>
      </c>
      <c r="C2275" s="1" t="n">
        <v>45190</v>
      </c>
      <c r="D2275" t="inlineStr">
        <is>
          <t>KALMAR LÄN</t>
        </is>
      </c>
      <c r="E2275" t="inlineStr">
        <is>
          <t>NYBRO</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37798-2019</t>
        </is>
      </c>
      <c r="B2276" s="1" t="n">
        <v>43682</v>
      </c>
      <c r="C2276" s="1" t="n">
        <v>45190</v>
      </c>
      <c r="D2276" t="inlineStr">
        <is>
          <t>KALMAR LÄN</t>
        </is>
      </c>
      <c r="E2276" t="inlineStr">
        <is>
          <t>EMMABODA</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37817-2019</t>
        </is>
      </c>
      <c r="B2277" s="1" t="n">
        <v>43682</v>
      </c>
      <c r="C2277" s="1" t="n">
        <v>45190</v>
      </c>
      <c r="D2277" t="inlineStr">
        <is>
          <t>KALMAR LÄN</t>
        </is>
      </c>
      <c r="E2277" t="inlineStr">
        <is>
          <t>TORSÅS</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37641-2019</t>
        </is>
      </c>
      <c r="B2278" s="1" t="n">
        <v>43682</v>
      </c>
      <c r="C2278" s="1" t="n">
        <v>45190</v>
      </c>
      <c r="D2278" t="inlineStr">
        <is>
          <t>KALMAR LÄN</t>
        </is>
      </c>
      <c r="E2278" t="inlineStr">
        <is>
          <t>KALMAR</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37799-2019</t>
        </is>
      </c>
      <c r="B2279" s="1" t="n">
        <v>43682</v>
      </c>
      <c r="C2279" s="1" t="n">
        <v>45190</v>
      </c>
      <c r="D2279" t="inlineStr">
        <is>
          <t>KALMAR LÄN</t>
        </is>
      </c>
      <c r="E2279" t="inlineStr">
        <is>
          <t>KALMAR</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37846-2019</t>
        </is>
      </c>
      <c r="B2280" s="1" t="n">
        <v>43682</v>
      </c>
      <c r="C2280" s="1" t="n">
        <v>45190</v>
      </c>
      <c r="D2280" t="inlineStr">
        <is>
          <t>KALMAR LÄN</t>
        </is>
      </c>
      <c r="E2280" t="inlineStr">
        <is>
          <t>HÖGSBY</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37810-2019</t>
        </is>
      </c>
      <c r="B2281" s="1" t="n">
        <v>43682</v>
      </c>
      <c r="C2281" s="1" t="n">
        <v>45190</v>
      </c>
      <c r="D2281" t="inlineStr">
        <is>
          <t>KALMAR LÄN</t>
        </is>
      </c>
      <c r="E2281" t="inlineStr">
        <is>
          <t>NYBRO</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37849-2019</t>
        </is>
      </c>
      <c r="B2282" s="1" t="n">
        <v>43682</v>
      </c>
      <c r="C2282" s="1" t="n">
        <v>45190</v>
      </c>
      <c r="D2282" t="inlineStr">
        <is>
          <t>KALMAR LÄN</t>
        </is>
      </c>
      <c r="E2282" t="inlineStr">
        <is>
          <t>HULTSFRED</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37644-2019</t>
        </is>
      </c>
      <c r="B2283" s="1" t="n">
        <v>43682</v>
      </c>
      <c r="C2283" s="1" t="n">
        <v>45190</v>
      </c>
      <c r="D2283" t="inlineStr">
        <is>
          <t>KALMAR LÄN</t>
        </is>
      </c>
      <c r="E2283" t="inlineStr">
        <is>
          <t>HULTSFRED</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37749-2019</t>
        </is>
      </c>
      <c r="B2284" s="1" t="n">
        <v>43682</v>
      </c>
      <c r="C2284" s="1" t="n">
        <v>45190</v>
      </c>
      <c r="D2284" t="inlineStr">
        <is>
          <t>KALMAR LÄN</t>
        </is>
      </c>
      <c r="E2284" t="inlineStr">
        <is>
          <t>HULTSFRED</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37768-2019</t>
        </is>
      </c>
      <c r="B2285" s="1" t="n">
        <v>43682</v>
      </c>
      <c r="C2285" s="1" t="n">
        <v>45190</v>
      </c>
      <c r="D2285" t="inlineStr">
        <is>
          <t>KALMAR LÄN</t>
        </is>
      </c>
      <c r="E2285" t="inlineStr">
        <is>
          <t>TORSÅS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37862-2019</t>
        </is>
      </c>
      <c r="B2286" s="1" t="n">
        <v>43682</v>
      </c>
      <c r="C2286" s="1" t="n">
        <v>45190</v>
      </c>
      <c r="D2286" t="inlineStr">
        <is>
          <t>KALMAR LÄN</t>
        </is>
      </c>
      <c r="E2286" t="inlineStr">
        <is>
          <t>EMMABODA</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37900-2019</t>
        </is>
      </c>
      <c r="B2287" s="1" t="n">
        <v>43683</v>
      </c>
      <c r="C2287" s="1" t="n">
        <v>45190</v>
      </c>
      <c r="D2287" t="inlineStr">
        <is>
          <t>KALMAR LÄN</t>
        </is>
      </c>
      <c r="E2287" t="inlineStr">
        <is>
          <t>NYBRO</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37913-2019</t>
        </is>
      </c>
      <c r="B2288" s="1" t="n">
        <v>43683</v>
      </c>
      <c r="C2288" s="1" t="n">
        <v>45190</v>
      </c>
      <c r="D2288" t="inlineStr">
        <is>
          <t>KALMAR LÄN</t>
        </is>
      </c>
      <c r="E2288" t="inlineStr">
        <is>
          <t>EMMABODA</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38000-2019</t>
        </is>
      </c>
      <c r="B2289" s="1" t="n">
        <v>43683</v>
      </c>
      <c r="C2289" s="1" t="n">
        <v>45190</v>
      </c>
      <c r="D2289" t="inlineStr">
        <is>
          <t>KALMAR LÄN</t>
        </is>
      </c>
      <c r="E2289" t="inlineStr">
        <is>
          <t>HULTSFRED</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38106-2019</t>
        </is>
      </c>
      <c r="B2290" s="1" t="n">
        <v>43683</v>
      </c>
      <c r="C2290" s="1" t="n">
        <v>45190</v>
      </c>
      <c r="D2290" t="inlineStr">
        <is>
          <t>KALMAR LÄN</t>
        </is>
      </c>
      <c r="E2290" t="inlineStr">
        <is>
          <t>TORSÅS</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37899-2019</t>
        </is>
      </c>
      <c r="B2291" s="1" t="n">
        <v>43683</v>
      </c>
      <c r="C2291" s="1" t="n">
        <v>45190</v>
      </c>
      <c r="D2291" t="inlineStr">
        <is>
          <t>KALMAR LÄN</t>
        </is>
      </c>
      <c r="E2291" t="inlineStr">
        <is>
          <t>NYBRO</t>
        </is>
      </c>
      <c r="G2291" t="n">
        <v>4.3</v>
      </c>
      <c r="H2291" t="n">
        <v>0</v>
      </c>
      <c r="I2291" t="n">
        <v>0</v>
      </c>
      <c r="J2291" t="n">
        <v>0</v>
      </c>
      <c r="K2291" t="n">
        <v>0</v>
      </c>
      <c r="L2291" t="n">
        <v>0</v>
      </c>
      <c r="M2291" t="n">
        <v>0</v>
      </c>
      <c r="N2291" t="n">
        <v>0</v>
      </c>
      <c r="O2291" t="n">
        <v>0</v>
      </c>
      <c r="P2291" t="n">
        <v>0</v>
      </c>
      <c r="Q2291" t="n">
        <v>0</v>
      </c>
      <c r="R2291" s="2" t="inlineStr"/>
    </row>
    <row r="2292" ht="15" customHeight="1">
      <c r="A2292" t="inlineStr">
        <is>
          <t>A 37958-2019</t>
        </is>
      </c>
      <c r="B2292" s="1" t="n">
        <v>43683</v>
      </c>
      <c r="C2292" s="1" t="n">
        <v>45190</v>
      </c>
      <c r="D2292" t="inlineStr">
        <is>
          <t>KALMAR LÄN</t>
        </is>
      </c>
      <c r="E2292" t="inlineStr">
        <is>
          <t>HÖGSBY</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37973-2019</t>
        </is>
      </c>
      <c r="B2293" s="1" t="n">
        <v>43683</v>
      </c>
      <c r="C2293" s="1" t="n">
        <v>45190</v>
      </c>
      <c r="D2293" t="inlineStr">
        <is>
          <t>KALMAR LÄN</t>
        </is>
      </c>
      <c r="E2293" t="inlineStr">
        <is>
          <t>KALMAR</t>
        </is>
      </c>
      <c r="G2293" t="n">
        <v>8.300000000000001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37983-2019</t>
        </is>
      </c>
      <c r="B2294" s="1" t="n">
        <v>43683</v>
      </c>
      <c r="C2294" s="1" t="n">
        <v>45190</v>
      </c>
      <c r="D2294" t="inlineStr">
        <is>
          <t>KALMAR LÄN</t>
        </is>
      </c>
      <c r="E2294" t="inlineStr">
        <is>
          <t>VÄSTERVIK</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38059-2019</t>
        </is>
      </c>
      <c r="B2295" s="1" t="n">
        <v>43683</v>
      </c>
      <c r="C2295" s="1" t="n">
        <v>45190</v>
      </c>
      <c r="D2295" t="inlineStr">
        <is>
          <t>KALMAR LÄN</t>
        </is>
      </c>
      <c r="E2295" t="inlineStr">
        <is>
          <t>MÖNSTERÅS</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38082-2019</t>
        </is>
      </c>
      <c r="B2296" s="1" t="n">
        <v>43683</v>
      </c>
      <c r="C2296" s="1" t="n">
        <v>45190</v>
      </c>
      <c r="D2296" t="inlineStr">
        <is>
          <t>KALMAR LÄN</t>
        </is>
      </c>
      <c r="E2296" t="inlineStr">
        <is>
          <t>HÖGSBY</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38377-2019</t>
        </is>
      </c>
      <c r="B2297" s="1" t="n">
        <v>43683</v>
      </c>
      <c r="C2297" s="1" t="n">
        <v>45190</v>
      </c>
      <c r="D2297" t="inlineStr">
        <is>
          <t>KALMAR LÄN</t>
        </is>
      </c>
      <c r="E2297" t="inlineStr">
        <is>
          <t>MÖNSTERÅS</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37898-2019</t>
        </is>
      </c>
      <c r="B2298" s="1" t="n">
        <v>43683</v>
      </c>
      <c r="C2298" s="1" t="n">
        <v>45190</v>
      </c>
      <c r="D2298" t="inlineStr">
        <is>
          <t>KALMAR LÄN</t>
        </is>
      </c>
      <c r="E2298" t="inlineStr">
        <is>
          <t>NYBRO</t>
        </is>
      </c>
      <c r="G2298" t="n">
        <v>8.5</v>
      </c>
      <c r="H2298" t="n">
        <v>0</v>
      </c>
      <c r="I2298" t="n">
        <v>0</v>
      </c>
      <c r="J2298" t="n">
        <v>0</v>
      </c>
      <c r="K2298" t="n">
        <v>0</v>
      </c>
      <c r="L2298" t="n">
        <v>0</v>
      </c>
      <c r="M2298" t="n">
        <v>0</v>
      </c>
      <c r="N2298" t="n">
        <v>0</v>
      </c>
      <c r="O2298" t="n">
        <v>0</v>
      </c>
      <c r="P2298" t="n">
        <v>0</v>
      </c>
      <c r="Q2298" t="n">
        <v>0</v>
      </c>
      <c r="R2298" s="2" t="inlineStr"/>
    </row>
    <row r="2299" ht="15" customHeight="1">
      <c r="A2299" t="inlineStr">
        <is>
          <t>A 37915-2019</t>
        </is>
      </c>
      <c r="B2299" s="1" t="n">
        <v>43683</v>
      </c>
      <c r="C2299" s="1" t="n">
        <v>45190</v>
      </c>
      <c r="D2299" t="inlineStr">
        <is>
          <t>KALMAR LÄN</t>
        </is>
      </c>
      <c r="E2299" t="inlineStr">
        <is>
          <t>KALMAR</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37968-2019</t>
        </is>
      </c>
      <c r="B2300" s="1" t="n">
        <v>43683</v>
      </c>
      <c r="C2300" s="1" t="n">
        <v>45190</v>
      </c>
      <c r="D2300" t="inlineStr">
        <is>
          <t>KALMAR LÄN</t>
        </is>
      </c>
      <c r="E2300" t="inlineStr">
        <is>
          <t>NYBRO</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38057-2019</t>
        </is>
      </c>
      <c r="B2301" s="1" t="n">
        <v>43683</v>
      </c>
      <c r="C2301" s="1" t="n">
        <v>45190</v>
      </c>
      <c r="D2301" t="inlineStr">
        <is>
          <t>KALMAR LÄN</t>
        </is>
      </c>
      <c r="E2301" t="inlineStr">
        <is>
          <t>MÖNSTERÅS</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38075-2019</t>
        </is>
      </c>
      <c r="B2302" s="1" t="n">
        <v>43683</v>
      </c>
      <c r="C2302" s="1" t="n">
        <v>45190</v>
      </c>
      <c r="D2302" t="inlineStr">
        <is>
          <t>KALMAR LÄN</t>
        </is>
      </c>
      <c r="E2302" t="inlineStr">
        <is>
          <t>HULTSFRED</t>
        </is>
      </c>
      <c r="G2302" t="n">
        <v>13.6</v>
      </c>
      <c r="H2302" t="n">
        <v>0</v>
      </c>
      <c r="I2302" t="n">
        <v>0</v>
      </c>
      <c r="J2302" t="n">
        <v>0</v>
      </c>
      <c r="K2302" t="n">
        <v>0</v>
      </c>
      <c r="L2302" t="n">
        <v>0</v>
      </c>
      <c r="M2302" t="n">
        <v>0</v>
      </c>
      <c r="N2302" t="n">
        <v>0</v>
      </c>
      <c r="O2302" t="n">
        <v>0</v>
      </c>
      <c r="P2302" t="n">
        <v>0</v>
      </c>
      <c r="Q2302" t="n">
        <v>0</v>
      </c>
      <c r="R2302" s="2" t="inlineStr"/>
    </row>
    <row r="2303" ht="15" customHeight="1">
      <c r="A2303" t="inlineStr">
        <is>
          <t>A 38099-2019</t>
        </is>
      </c>
      <c r="B2303" s="1" t="n">
        <v>43683</v>
      </c>
      <c r="C2303" s="1" t="n">
        <v>45190</v>
      </c>
      <c r="D2303" t="inlineStr">
        <is>
          <t>KALMAR LÄN</t>
        </is>
      </c>
      <c r="E2303" t="inlineStr">
        <is>
          <t>TORSÅS</t>
        </is>
      </c>
      <c r="G2303" t="n">
        <v>1.6</v>
      </c>
      <c r="H2303" t="n">
        <v>0</v>
      </c>
      <c r="I2303" t="n">
        <v>0</v>
      </c>
      <c r="J2303" t="n">
        <v>0</v>
      </c>
      <c r="K2303" t="n">
        <v>0</v>
      </c>
      <c r="L2303" t="n">
        <v>0</v>
      </c>
      <c r="M2303" t="n">
        <v>0</v>
      </c>
      <c r="N2303" t="n">
        <v>0</v>
      </c>
      <c r="O2303" t="n">
        <v>0</v>
      </c>
      <c r="P2303" t="n">
        <v>0</v>
      </c>
      <c r="Q2303" t="n">
        <v>0</v>
      </c>
      <c r="R2303" s="2" t="inlineStr"/>
    </row>
    <row r="2304" ht="15" customHeight="1">
      <c r="A2304" t="inlineStr">
        <is>
          <t>A 38111-2019</t>
        </is>
      </c>
      <c r="B2304" s="1" t="n">
        <v>43683</v>
      </c>
      <c r="C2304" s="1" t="n">
        <v>45190</v>
      </c>
      <c r="D2304" t="inlineStr">
        <is>
          <t>KALMAR LÄN</t>
        </is>
      </c>
      <c r="E2304" t="inlineStr">
        <is>
          <t>TORSÅS</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37920-2019</t>
        </is>
      </c>
      <c r="B2305" s="1" t="n">
        <v>43683</v>
      </c>
      <c r="C2305" s="1" t="n">
        <v>45190</v>
      </c>
      <c r="D2305" t="inlineStr">
        <is>
          <t>KALMAR LÄN</t>
        </is>
      </c>
      <c r="E2305" t="inlineStr">
        <is>
          <t>VÄSTERVIK</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37931-2019</t>
        </is>
      </c>
      <c r="B2306" s="1" t="n">
        <v>43683</v>
      </c>
      <c r="C2306" s="1" t="n">
        <v>45190</v>
      </c>
      <c r="D2306" t="inlineStr">
        <is>
          <t>KALMAR LÄN</t>
        </is>
      </c>
      <c r="E2306" t="inlineStr">
        <is>
          <t>KALMAR</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37944-2019</t>
        </is>
      </c>
      <c r="B2307" s="1" t="n">
        <v>43683</v>
      </c>
      <c r="C2307" s="1" t="n">
        <v>45190</v>
      </c>
      <c r="D2307" t="inlineStr">
        <is>
          <t>KALMAR LÄN</t>
        </is>
      </c>
      <c r="E2307" t="inlineStr">
        <is>
          <t>EMMABODA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37955-2019</t>
        </is>
      </c>
      <c r="B2308" s="1" t="n">
        <v>43683</v>
      </c>
      <c r="C2308" s="1" t="n">
        <v>45190</v>
      </c>
      <c r="D2308" t="inlineStr">
        <is>
          <t>KALMAR LÄN</t>
        </is>
      </c>
      <c r="E2308" t="inlineStr">
        <is>
          <t>HÖGSBY</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37977-2019</t>
        </is>
      </c>
      <c r="B2309" s="1" t="n">
        <v>43683</v>
      </c>
      <c r="C2309" s="1" t="n">
        <v>45190</v>
      </c>
      <c r="D2309" t="inlineStr">
        <is>
          <t>KALMAR LÄN</t>
        </is>
      </c>
      <c r="E2309" t="inlineStr">
        <is>
          <t>HULTSFRED</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38055-2019</t>
        </is>
      </c>
      <c r="B2310" s="1" t="n">
        <v>43683</v>
      </c>
      <c r="C2310" s="1" t="n">
        <v>45190</v>
      </c>
      <c r="D2310" t="inlineStr">
        <is>
          <t>KALMAR LÄN</t>
        </is>
      </c>
      <c r="E2310" t="inlineStr">
        <is>
          <t>MÖNSTERÅS</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38062-2019</t>
        </is>
      </c>
      <c r="B2311" s="1" t="n">
        <v>43683</v>
      </c>
      <c r="C2311" s="1" t="n">
        <v>45190</v>
      </c>
      <c r="D2311" t="inlineStr">
        <is>
          <t>KALMAR LÄN</t>
        </is>
      </c>
      <c r="E2311" t="inlineStr">
        <is>
          <t>MÖNSTERÅS</t>
        </is>
      </c>
      <c r="G2311" t="n">
        <v>11.2</v>
      </c>
      <c r="H2311" t="n">
        <v>0</v>
      </c>
      <c r="I2311" t="n">
        <v>0</v>
      </c>
      <c r="J2311" t="n">
        <v>0</v>
      </c>
      <c r="K2311" t="n">
        <v>0</v>
      </c>
      <c r="L2311" t="n">
        <v>0</v>
      </c>
      <c r="M2311" t="n">
        <v>0</v>
      </c>
      <c r="N2311" t="n">
        <v>0</v>
      </c>
      <c r="O2311" t="n">
        <v>0</v>
      </c>
      <c r="P2311" t="n">
        <v>0</v>
      </c>
      <c r="Q2311" t="n">
        <v>0</v>
      </c>
      <c r="R2311" s="2" t="inlineStr"/>
    </row>
    <row r="2312" ht="15" customHeight="1">
      <c r="A2312" t="inlineStr">
        <is>
          <t>A 38098-2019</t>
        </is>
      </c>
      <c r="B2312" s="1" t="n">
        <v>43683</v>
      </c>
      <c r="C2312" s="1" t="n">
        <v>45190</v>
      </c>
      <c r="D2312" t="inlineStr">
        <is>
          <t>KALMAR LÄN</t>
        </is>
      </c>
      <c r="E2312" t="inlineStr">
        <is>
          <t>TORSÅS</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38367-2019</t>
        </is>
      </c>
      <c r="B2313" s="1" t="n">
        <v>43683</v>
      </c>
      <c r="C2313" s="1" t="n">
        <v>45190</v>
      </c>
      <c r="D2313" t="inlineStr">
        <is>
          <t>KALMAR LÄN</t>
        </is>
      </c>
      <c r="E2313" t="inlineStr">
        <is>
          <t>NYBRO</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38229-2019</t>
        </is>
      </c>
      <c r="B2314" s="1" t="n">
        <v>43684</v>
      </c>
      <c r="C2314" s="1" t="n">
        <v>45190</v>
      </c>
      <c r="D2314" t="inlineStr">
        <is>
          <t>KALMAR LÄN</t>
        </is>
      </c>
      <c r="E2314" t="inlineStr">
        <is>
          <t>VÄSTERVIK</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38239-2019</t>
        </is>
      </c>
      <c r="B2315" s="1" t="n">
        <v>43684</v>
      </c>
      <c r="C2315" s="1" t="n">
        <v>45190</v>
      </c>
      <c r="D2315" t="inlineStr">
        <is>
          <t>KALMAR LÄN</t>
        </is>
      </c>
      <c r="E2315" t="inlineStr">
        <is>
          <t>VÄSTERVIK</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38307-2019</t>
        </is>
      </c>
      <c r="B2316" s="1" t="n">
        <v>43684</v>
      </c>
      <c r="C2316" s="1" t="n">
        <v>45190</v>
      </c>
      <c r="D2316" t="inlineStr">
        <is>
          <t>KALMAR LÄN</t>
        </is>
      </c>
      <c r="E2316" t="inlineStr">
        <is>
          <t>NYBRO</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38233-2019</t>
        </is>
      </c>
      <c r="B2317" s="1" t="n">
        <v>43684</v>
      </c>
      <c r="C2317" s="1" t="n">
        <v>45190</v>
      </c>
      <c r="D2317" t="inlineStr">
        <is>
          <t>KALMAR LÄN</t>
        </is>
      </c>
      <c r="E2317" t="inlineStr">
        <is>
          <t>KALMAR</t>
        </is>
      </c>
      <c r="G2317" t="n">
        <v>5.5</v>
      </c>
      <c r="H2317" t="n">
        <v>0</v>
      </c>
      <c r="I2317" t="n">
        <v>0</v>
      </c>
      <c r="J2317" t="n">
        <v>0</v>
      </c>
      <c r="K2317" t="n">
        <v>0</v>
      </c>
      <c r="L2317" t="n">
        <v>0</v>
      </c>
      <c r="M2317" t="n">
        <v>0</v>
      </c>
      <c r="N2317" t="n">
        <v>0</v>
      </c>
      <c r="O2317" t="n">
        <v>0</v>
      </c>
      <c r="P2317" t="n">
        <v>0</v>
      </c>
      <c r="Q2317" t="n">
        <v>0</v>
      </c>
      <c r="R2317" s="2" t="inlineStr"/>
    </row>
    <row r="2318" ht="15" customHeight="1">
      <c r="A2318" t="inlineStr">
        <is>
          <t>A 38306-2019</t>
        </is>
      </c>
      <c r="B2318" s="1" t="n">
        <v>43684</v>
      </c>
      <c r="C2318" s="1" t="n">
        <v>45190</v>
      </c>
      <c r="D2318" t="inlineStr">
        <is>
          <t>KALMAR LÄN</t>
        </is>
      </c>
      <c r="E2318" t="inlineStr">
        <is>
          <t>TORSÅS</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38602-2019</t>
        </is>
      </c>
      <c r="B2319" s="1" t="n">
        <v>43684</v>
      </c>
      <c r="C2319" s="1" t="n">
        <v>45190</v>
      </c>
      <c r="D2319" t="inlineStr">
        <is>
          <t>KALMAR LÄN</t>
        </is>
      </c>
      <c r="E2319" t="inlineStr">
        <is>
          <t>VIMMERBY</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38463-2019</t>
        </is>
      </c>
      <c r="B2320" s="1" t="n">
        <v>43685</v>
      </c>
      <c r="C2320" s="1" t="n">
        <v>45190</v>
      </c>
      <c r="D2320" t="inlineStr">
        <is>
          <t>KALMAR LÄN</t>
        </is>
      </c>
      <c r="E2320" t="inlineStr">
        <is>
          <t>EMMABODA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38866-2019</t>
        </is>
      </c>
      <c r="B2321" s="1" t="n">
        <v>43685</v>
      </c>
      <c r="C2321" s="1" t="n">
        <v>45190</v>
      </c>
      <c r="D2321" t="inlineStr">
        <is>
          <t>KALMAR LÄN</t>
        </is>
      </c>
      <c r="E2321" t="inlineStr">
        <is>
          <t>VIMMERBY</t>
        </is>
      </c>
      <c r="G2321" t="n">
        <v>1.2</v>
      </c>
      <c r="H2321" t="n">
        <v>0</v>
      </c>
      <c r="I2321" t="n">
        <v>0</v>
      </c>
      <c r="J2321" t="n">
        <v>0</v>
      </c>
      <c r="K2321" t="n">
        <v>0</v>
      </c>
      <c r="L2321" t="n">
        <v>0</v>
      </c>
      <c r="M2321" t="n">
        <v>0</v>
      </c>
      <c r="N2321" t="n">
        <v>0</v>
      </c>
      <c r="O2321" t="n">
        <v>0</v>
      </c>
      <c r="P2321" t="n">
        <v>0</v>
      </c>
      <c r="Q2321" t="n">
        <v>0</v>
      </c>
      <c r="R2321" s="2" t="inlineStr"/>
    </row>
    <row r="2322" ht="15" customHeight="1">
      <c r="A2322" t="inlineStr">
        <is>
          <t>A 38339-2019</t>
        </is>
      </c>
      <c r="B2322" s="1" t="n">
        <v>43685</v>
      </c>
      <c r="C2322" s="1" t="n">
        <v>45190</v>
      </c>
      <c r="D2322" t="inlineStr">
        <is>
          <t>KALMAR LÄN</t>
        </is>
      </c>
      <c r="E2322" t="inlineStr">
        <is>
          <t>MÖNSTERÅS</t>
        </is>
      </c>
      <c r="G2322" t="n">
        <v>3.2</v>
      </c>
      <c r="H2322" t="n">
        <v>0</v>
      </c>
      <c r="I2322" t="n">
        <v>0</v>
      </c>
      <c r="J2322" t="n">
        <v>0</v>
      </c>
      <c r="K2322" t="n">
        <v>0</v>
      </c>
      <c r="L2322" t="n">
        <v>0</v>
      </c>
      <c r="M2322" t="n">
        <v>0</v>
      </c>
      <c r="N2322" t="n">
        <v>0</v>
      </c>
      <c r="O2322" t="n">
        <v>0</v>
      </c>
      <c r="P2322" t="n">
        <v>0</v>
      </c>
      <c r="Q2322" t="n">
        <v>0</v>
      </c>
      <c r="R2322" s="2" t="inlineStr"/>
    </row>
    <row r="2323" ht="15" customHeight="1">
      <c r="A2323" t="inlineStr">
        <is>
          <t>A 38469-2019</t>
        </is>
      </c>
      <c r="B2323" s="1" t="n">
        <v>43685</v>
      </c>
      <c r="C2323" s="1" t="n">
        <v>45190</v>
      </c>
      <c r="D2323" t="inlineStr">
        <is>
          <t>KALMAR LÄN</t>
        </is>
      </c>
      <c r="E2323" t="inlineStr">
        <is>
          <t>EMMABODA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38464-2019</t>
        </is>
      </c>
      <c r="B2324" s="1" t="n">
        <v>43685</v>
      </c>
      <c r="C2324" s="1" t="n">
        <v>45190</v>
      </c>
      <c r="D2324" t="inlineStr">
        <is>
          <t>KALMAR LÄN</t>
        </is>
      </c>
      <c r="E2324" t="inlineStr">
        <is>
          <t>EMMABODA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38520-2019</t>
        </is>
      </c>
      <c r="B2325" s="1" t="n">
        <v>43685</v>
      </c>
      <c r="C2325" s="1" t="n">
        <v>45190</v>
      </c>
      <c r="D2325" t="inlineStr">
        <is>
          <t>KALMAR LÄN</t>
        </is>
      </c>
      <c r="E2325" t="inlineStr">
        <is>
          <t>EMMABODA</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38459-2019</t>
        </is>
      </c>
      <c r="B2326" s="1" t="n">
        <v>43685</v>
      </c>
      <c r="C2326" s="1" t="n">
        <v>45190</v>
      </c>
      <c r="D2326" t="inlineStr">
        <is>
          <t>KALMAR LÄN</t>
        </is>
      </c>
      <c r="E2326" t="inlineStr">
        <is>
          <t>EMMABODA</t>
        </is>
      </c>
      <c r="G2326" t="n">
        <v>3.3</v>
      </c>
      <c r="H2326" t="n">
        <v>0</v>
      </c>
      <c r="I2326" t="n">
        <v>0</v>
      </c>
      <c r="J2326" t="n">
        <v>0</v>
      </c>
      <c r="K2326" t="n">
        <v>0</v>
      </c>
      <c r="L2326" t="n">
        <v>0</v>
      </c>
      <c r="M2326" t="n">
        <v>0</v>
      </c>
      <c r="N2326" t="n">
        <v>0</v>
      </c>
      <c r="O2326" t="n">
        <v>0</v>
      </c>
      <c r="P2326" t="n">
        <v>0</v>
      </c>
      <c r="Q2326" t="n">
        <v>0</v>
      </c>
      <c r="R2326" s="2" t="inlineStr"/>
    </row>
    <row r="2327" ht="15" customHeight="1">
      <c r="A2327" t="inlineStr">
        <is>
          <t>A 38557-2019</t>
        </is>
      </c>
      <c r="B2327" s="1" t="n">
        <v>43685</v>
      </c>
      <c r="C2327" s="1" t="n">
        <v>45190</v>
      </c>
      <c r="D2327" t="inlineStr">
        <is>
          <t>KALMAR LÄN</t>
        </is>
      </c>
      <c r="E2327" t="inlineStr">
        <is>
          <t>EMMABODA</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38590-2019</t>
        </is>
      </c>
      <c r="B2328" s="1" t="n">
        <v>43686</v>
      </c>
      <c r="C2328" s="1" t="n">
        <v>45190</v>
      </c>
      <c r="D2328" t="inlineStr">
        <is>
          <t>KALMAR LÄN</t>
        </is>
      </c>
      <c r="E2328" t="inlineStr">
        <is>
          <t>NYBRO</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38682-2019</t>
        </is>
      </c>
      <c r="B2329" s="1" t="n">
        <v>43686</v>
      </c>
      <c r="C2329" s="1" t="n">
        <v>45190</v>
      </c>
      <c r="D2329" t="inlineStr">
        <is>
          <t>KALMAR LÄN</t>
        </is>
      </c>
      <c r="E2329" t="inlineStr">
        <is>
          <t>EMMABODA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38588-2019</t>
        </is>
      </c>
      <c r="B2330" s="1" t="n">
        <v>43686</v>
      </c>
      <c r="C2330" s="1" t="n">
        <v>45190</v>
      </c>
      <c r="D2330" t="inlineStr">
        <is>
          <t>KALMAR LÄN</t>
        </is>
      </c>
      <c r="E2330" t="inlineStr">
        <is>
          <t>NYBRO</t>
        </is>
      </c>
      <c r="G2330" t="n">
        <v>17.1</v>
      </c>
      <c r="H2330" t="n">
        <v>0</v>
      </c>
      <c r="I2330" t="n">
        <v>0</v>
      </c>
      <c r="J2330" t="n">
        <v>0</v>
      </c>
      <c r="K2330" t="n">
        <v>0</v>
      </c>
      <c r="L2330" t="n">
        <v>0</v>
      </c>
      <c r="M2330" t="n">
        <v>0</v>
      </c>
      <c r="N2330" t="n">
        <v>0</v>
      </c>
      <c r="O2330" t="n">
        <v>0</v>
      </c>
      <c r="P2330" t="n">
        <v>0</v>
      </c>
      <c r="Q2330" t="n">
        <v>0</v>
      </c>
      <c r="R2330" s="2" t="inlineStr"/>
    </row>
    <row r="2331" ht="15" customHeight="1">
      <c r="A2331" t="inlineStr">
        <is>
          <t>A 38650-2019</t>
        </is>
      </c>
      <c r="B2331" s="1" t="n">
        <v>43686</v>
      </c>
      <c r="C2331" s="1" t="n">
        <v>45190</v>
      </c>
      <c r="D2331" t="inlineStr">
        <is>
          <t>KALMAR LÄN</t>
        </is>
      </c>
      <c r="E2331" t="inlineStr">
        <is>
          <t>TORSÅS</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38681-2019</t>
        </is>
      </c>
      <c r="B2332" s="1" t="n">
        <v>43686</v>
      </c>
      <c r="C2332" s="1" t="n">
        <v>45190</v>
      </c>
      <c r="D2332" t="inlineStr">
        <is>
          <t>KALMAR LÄN</t>
        </is>
      </c>
      <c r="E2332" t="inlineStr">
        <is>
          <t>EMMABODA</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38789-2019</t>
        </is>
      </c>
      <c r="B2333" s="1" t="n">
        <v>43687</v>
      </c>
      <c r="C2333" s="1" t="n">
        <v>45190</v>
      </c>
      <c r="D2333" t="inlineStr">
        <is>
          <t>KALMAR LÄN</t>
        </is>
      </c>
      <c r="E2333" t="inlineStr">
        <is>
          <t>VIMMERBY</t>
        </is>
      </c>
      <c r="G2333" t="n">
        <v>0.3</v>
      </c>
      <c r="H2333" t="n">
        <v>0</v>
      </c>
      <c r="I2333" t="n">
        <v>0</v>
      </c>
      <c r="J2333" t="n">
        <v>0</v>
      </c>
      <c r="K2333" t="n">
        <v>0</v>
      </c>
      <c r="L2333" t="n">
        <v>0</v>
      </c>
      <c r="M2333" t="n">
        <v>0</v>
      </c>
      <c r="N2333" t="n">
        <v>0</v>
      </c>
      <c r="O2333" t="n">
        <v>0</v>
      </c>
      <c r="P2333" t="n">
        <v>0</v>
      </c>
      <c r="Q2333" t="n">
        <v>0</v>
      </c>
      <c r="R2333" s="2" t="inlineStr"/>
    </row>
    <row r="2334" ht="15" customHeight="1">
      <c r="A2334" t="inlineStr">
        <is>
          <t>A 38804-2019</t>
        </is>
      </c>
      <c r="B2334" s="1" t="n">
        <v>43688</v>
      </c>
      <c r="C2334" s="1" t="n">
        <v>45190</v>
      </c>
      <c r="D2334" t="inlineStr">
        <is>
          <t>KALMAR LÄN</t>
        </is>
      </c>
      <c r="E2334" t="inlineStr">
        <is>
          <t>NYBRO</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38837-2019</t>
        </is>
      </c>
      <c r="B2335" s="1" t="n">
        <v>43689</v>
      </c>
      <c r="C2335" s="1" t="n">
        <v>45190</v>
      </c>
      <c r="D2335" t="inlineStr">
        <is>
          <t>KALMAR LÄN</t>
        </is>
      </c>
      <c r="E2335" t="inlineStr">
        <is>
          <t>VIMMERBY</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38904-2019</t>
        </is>
      </c>
      <c r="B2336" s="1" t="n">
        <v>43689</v>
      </c>
      <c r="C2336" s="1" t="n">
        <v>45190</v>
      </c>
      <c r="D2336" t="inlineStr">
        <is>
          <t>KALMAR LÄN</t>
        </is>
      </c>
      <c r="E2336" t="inlineStr">
        <is>
          <t>VÄSTERVIK</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38939-2019</t>
        </is>
      </c>
      <c r="B2337" s="1" t="n">
        <v>43689</v>
      </c>
      <c r="C2337" s="1" t="n">
        <v>45190</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39102-2019</t>
        </is>
      </c>
      <c r="B2338" s="1" t="n">
        <v>43689</v>
      </c>
      <c r="C2338" s="1" t="n">
        <v>45190</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38831-2019</t>
        </is>
      </c>
      <c r="B2339" s="1" t="n">
        <v>43689</v>
      </c>
      <c r="C2339" s="1" t="n">
        <v>45190</v>
      </c>
      <c r="D2339" t="inlineStr">
        <is>
          <t>KALMAR LÄN</t>
        </is>
      </c>
      <c r="E2339" t="inlineStr">
        <is>
          <t>VIMMERBY</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38862-2019</t>
        </is>
      </c>
      <c r="B2340" s="1" t="n">
        <v>43689</v>
      </c>
      <c r="C2340" s="1" t="n">
        <v>45190</v>
      </c>
      <c r="D2340" t="inlineStr">
        <is>
          <t>KALMAR LÄN</t>
        </is>
      </c>
      <c r="E2340" t="inlineStr">
        <is>
          <t>EMMABODA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38880-2019</t>
        </is>
      </c>
      <c r="B2341" s="1" t="n">
        <v>43689</v>
      </c>
      <c r="C2341" s="1" t="n">
        <v>45190</v>
      </c>
      <c r="D2341" t="inlineStr">
        <is>
          <t>KALMAR LÄN</t>
        </is>
      </c>
      <c r="E2341" t="inlineStr">
        <is>
          <t>HULTSFRED</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39096-2019</t>
        </is>
      </c>
      <c r="B2342" s="1" t="n">
        <v>43689</v>
      </c>
      <c r="C2342" s="1" t="n">
        <v>45190</v>
      </c>
      <c r="D2342" t="inlineStr">
        <is>
          <t>KALMAR LÄN</t>
        </is>
      </c>
      <c r="E2342" t="inlineStr">
        <is>
          <t>TORSÅS</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39846-2019</t>
        </is>
      </c>
      <c r="B2343" s="1" t="n">
        <v>43689</v>
      </c>
      <c r="C2343" s="1" t="n">
        <v>45190</v>
      </c>
      <c r="D2343" t="inlineStr">
        <is>
          <t>KALMAR LÄN</t>
        </is>
      </c>
      <c r="E2343" t="inlineStr">
        <is>
          <t>HÖGSBY</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38835-2019</t>
        </is>
      </c>
      <c r="B2344" s="1" t="n">
        <v>43689</v>
      </c>
      <c r="C2344" s="1" t="n">
        <v>45190</v>
      </c>
      <c r="D2344" t="inlineStr">
        <is>
          <t>KALMAR LÄN</t>
        </is>
      </c>
      <c r="E2344" t="inlineStr">
        <is>
          <t>VIMMERBY</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38870-2019</t>
        </is>
      </c>
      <c r="B2345" s="1" t="n">
        <v>43689</v>
      </c>
      <c r="C2345" s="1" t="n">
        <v>45190</v>
      </c>
      <c r="D2345" t="inlineStr">
        <is>
          <t>KALMAR LÄN</t>
        </is>
      </c>
      <c r="E2345" t="inlineStr">
        <is>
          <t>KALMAR</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38935-2019</t>
        </is>
      </c>
      <c r="B2346" s="1" t="n">
        <v>43689</v>
      </c>
      <c r="C2346" s="1" t="n">
        <v>45190</v>
      </c>
      <c r="D2346" t="inlineStr">
        <is>
          <t>KALMAR LÄN</t>
        </is>
      </c>
      <c r="E2346" t="inlineStr">
        <is>
          <t>MÖNSTERÅS</t>
        </is>
      </c>
      <c r="G2346" t="n">
        <v>11.3</v>
      </c>
      <c r="H2346" t="n">
        <v>0</v>
      </c>
      <c r="I2346" t="n">
        <v>0</v>
      </c>
      <c r="J2346" t="n">
        <v>0</v>
      </c>
      <c r="K2346" t="n">
        <v>0</v>
      </c>
      <c r="L2346" t="n">
        <v>0</v>
      </c>
      <c r="M2346" t="n">
        <v>0</v>
      </c>
      <c r="N2346" t="n">
        <v>0</v>
      </c>
      <c r="O2346" t="n">
        <v>0</v>
      </c>
      <c r="P2346" t="n">
        <v>0</v>
      </c>
      <c r="Q2346" t="n">
        <v>0</v>
      </c>
      <c r="R2346" s="2" t="inlineStr"/>
    </row>
    <row r="2347" ht="15" customHeight="1">
      <c r="A2347" t="inlineStr">
        <is>
          <t>A 39851-2019</t>
        </is>
      </c>
      <c r="B2347" s="1" t="n">
        <v>43689</v>
      </c>
      <c r="C2347" s="1" t="n">
        <v>45190</v>
      </c>
      <c r="D2347" t="inlineStr">
        <is>
          <t>KALMAR LÄN</t>
        </is>
      </c>
      <c r="E2347" t="inlineStr">
        <is>
          <t>HÖGSBY</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38861-2019</t>
        </is>
      </c>
      <c r="B2348" s="1" t="n">
        <v>43689</v>
      </c>
      <c r="C2348" s="1" t="n">
        <v>45190</v>
      </c>
      <c r="D2348" t="inlineStr">
        <is>
          <t>KALMAR LÄN</t>
        </is>
      </c>
      <c r="E2348" t="inlineStr">
        <is>
          <t>KALMAR</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38941-2019</t>
        </is>
      </c>
      <c r="B2349" s="1" t="n">
        <v>43689</v>
      </c>
      <c r="C2349" s="1" t="n">
        <v>45190</v>
      </c>
      <c r="D2349" t="inlineStr">
        <is>
          <t>KALMAR LÄN</t>
        </is>
      </c>
      <c r="E2349" t="inlineStr">
        <is>
          <t>TORSÅS</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38964-2019</t>
        </is>
      </c>
      <c r="B2350" s="1" t="n">
        <v>43689</v>
      </c>
      <c r="C2350" s="1" t="n">
        <v>45190</v>
      </c>
      <c r="D2350" t="inlineStr">
        <is>
          <t>KALMAR LÄN</t>
        </is>
      </c>
      <c r="E2350" t="inlineStr">
        <is>
          <t>EMMABODA</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39104-2019</t>
        </is>
      </c>
      <c r="B2351" s="1" t="n">
        <v>43689</v>
      </c>
      <c r="C2351" s="1" t="n">
        <v>45190</v>
      </c>
      <c r="D2351" t="inlineStr">
        <is>
          <t>KALMAR LÄN</t>
        </is>
      </c>
      <c r="E2351" t="inlineStr">
        <is>
          <t>TORSÅS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39149-2019</t>
        </is>
      </c>
      <c r="B2352" s="1" t="n">
        <v>43690</v>
      </c>
      <c r="C2352" s="1" t="n">
        <v>45190</v>
      </c>
      <c r="D2352" t="inlineStr">
        <is>
          <t>KALMAR LÄN</t>
        </is>
      </c>
      <c r="E2352" t="inlineStr">
        <is>
          <t>NYBRO</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39416-2019</t>
        </is>
      </c>
      <c r="B2353" s="1" t="n">
        <v>43690</v>
      </c>
      <c r="C2353" s="1" t="n">
        <v>45190</v>
      </c>
      <c r="D2353" t="inlineStr">
        <is>
          <t>KALMAR LÄN</t>
        </is>
      </c>
      <c r="E2353" t="inlineStr">
        <is>
          <t>EMMABODA</t>
        </is>
      </c>
      <c r="F2353" t="inlineStr">
        <is>
          <t>Kyrkan</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39971-2019</t>
        </is>
      </c>
      <c r="B2354" s="1" t="n">
        <v>43690</v>
      </c>
      <c r="C2354" s="1" t="n">
        <v>45190</v>
      </c>
      <c r="D2354" t="inlineStr">
        <is>
          <t>KALMAR LÄN</t>
        </is>
      </c>
      <c r="E2354" t="inlineStr">
        <is>
          <t>HÖGSBY</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40448-2019</t>
        </is>
      </c>
      <c r="B2355" s="1" t="n">
        <v>43690</v>
      </c>
      <c r="C2355" s="1" t="n">
        <v>45190</v>
      </c>
      <c r="D2355" t="inlineStr">
        <is>
          <t>KALMAR LÄN</t>
        </is>
      </c>
      <c r="E2355" t="inlineStr">
        <is>
          <t>EMMABODA</t>
        </is>
      </c>
      <c r="F2355" t="inlineStr">
        <is>
          <t>Kyrkan</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39260-2019</t>
        </is>
      </c>
      <c r="B2356" s="1" t="n">
        <v>43690</v>
      </c>
      <c r="C2356" s="1" t="n">
        <v>45190</v>
      </c>
      <c r="D2356" t="inlineStr">
        <is>
          <t>KALMAR LÄN</t>
        </is>
      </c>
      <c r="E2356" t="inlineStr">
        <is>
          <t>TORSÅS</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39327-2019</t>
        </is>
      </c>
      <c r="B2357" s="1" t="n">
        <v>43690</v>
      </c>
      <c r="C2357" s="1" t="n">
        <v>45190</v>
      </c>
      <c r="D2357" t="inlineStr">
        <is>
          <t>KALMAR LÄN</t>
        </is>
      </c>
      <c r="E2357" t="inlineStr">
        <is>
          <t>HÖGSBY</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40281-2019</t>
        </is>
      </c>
      <c r="B2358" s="1" t="n">
        <v>43690</v>
      </c>
      <c r="C2358" s="1" t="n">
        <v>45190</v>
      </c>
      <c r="D2358" t="inlineStr">
        <is>
          <t>KALMAR LÄN</t>
        </is>
      </c>
      <c r="E2358" t="inlineStr">
        <is>
          <t>HULTSFRED</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39364-2019</t>
        </is>
      </c>
      <c r="B2359" s="1" t="n">
        <v>43690</v>
      </c>
      <c r="C2359" s="1" t="n">
        <v>45190</v>
      </c>
      <c r="D2359" t="inlineStr">
        <is>
          <t>KALMAR LÄN</t>
        </is>
      </c>
      <c r="E2359" t="inlineStr">
        <is>
          <t>NYBRO</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39153-2019</t>
        </is>
      </c>
      <c r="B2360" s="1" t="n">
        <v>43690</v>
      </c>
      <c r="C2360" s="1" t="n">
        <v>45190</v>
      </c>
      <c r="D2360" t="inlineStr">
        <is>
          <t>KALMAR LÄN</t>
        </is>
      </c>
      <c r="E2360" t="inlineStr">
        <is>
          <t>MÖNSTERÅS</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39357-2019</t>
        </is>
      </c>
      <c r="B2361" s="1" t="n">
        <v>43690</v>
      </c>
      <c r="C2361" s="1" t="n">
        <v>45190</v>
      </c>
      <c r="D2361" t="inlineStr">
        <is>
          <t>KALMAR LÄN</t>
        </is>
      </c>
      <c r="E2361" t="inlineStr">
        <is>
          <t>NYBRO</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39426-2019</t>
        </is>
      </c>
      <c r="B2362" s="1" t="n">
        <v>43691</v>
      </c>
      <c r="C2362" s="1" t="n">
        <v>45190</v>
      </c>
      <c r="D2362" t="inlineStr">
        <is>
          <t>KALMAR LÄN</t>
        </is>
      </c>
      <c r="E2362" t="inlineStr">
        <is>
          <t>NYBRO</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39545-2019</t>
        </is>
      </c>
      <c r="B2363" s="1" t="n">
        <v>43691</v>
      </c>
      <c r="C2363" s="1" t="n">
        <v>45190</v>
      </c>
      <c r="D2363" t="inlineStr">
        <is>
          <t>KALMAR LÄN</t>
        </is>
      </c>
      <c r="E2363" t="inlineStr">
        <is>
          <t>KALMAR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39575-2019</t>
        </is>
      </c>
      <c r="B2364" s="1" t="n">
        <v>43691</v>
      </c>
      <c r="C2364" s="1" t="n">
        <v>45190</v>
      </c>
      <c r="D2364" t="inlineStr">
        <is>
          <t>KALMAR LÄN</t>
        </is>
      </c>
      <c r="E2364" t="inlineStr">
        <is>
          <t>VIMMERBY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39617-2019</t>
        </is>
      </c>
      <c r="B2365" s="1" t="n">
        <v>43691</v>
      </c>
      <c r="C2365" s="1" t="n">
        <v>45190</v>
      </c>
      <c r="D2365" t="inlineStr">
        <is>
          <t>KALMAR LÄN</t>
        </is>
      </c>
      <c r="E2365" t="inlineStr">
        <is>
          <t>MÖNSTERÅS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39622-2019</t>
        </is>
      </c>
      <c r="B2366" s="1" t="n">
        <v>43691</v>
      </c>
      <c r="C2366" s="1" t="n">
        <v>45190</v>
      </c>
      <c r="D2366" t="inlineStr">
        <is>
          <t>KALMAR LÄN</t>
        </is>
      </c>
      <c r="E2366" t="inlineStr">
        <is>
          <t>MÖNSTERÅS</t>
        </is>
      </c>
      <c r="G2366" t="n">
        <v>3.6</v>
      </c>
      <c r="H2366" t="n">
        <v>0</v>
      </c>
      <c r="I2366" t="n">
        <v>0</v>
      </c>
      <c r="J2366" t="n">
        <v>0</v>
      </c>
      <c r="K2366" t="n">
        <v>0</v>
      </c>
      <c r="L2366" t="n">
        <v>0</v>
      </c>
      <c r="M2366" t="n">
        <v>0</v>
      </c>
      <c r="N2366" t="n">
        <v>0</v>
      </c>
      <c r="O2366" t="n">
        <v>0</v>
      </c>
      <c r="P2366" t="n">
        <v>0</v>
      </c>
      <c r="Q2366" t="n">
        <v>0</v>
      </c>
      <c r="R2366" s="2" t="inlineStr"/>
    </row>
    <row r="2367" ht="15" customHeight="1">
      <c r="A2367" t="inlineStr">
        <is>
          <t>A 39641-2019</t>
        </is>
      </c>
      <c r="B2367" s="1" t="n">
        <v>43691</v>
      </c>
      <c r="C2367" s="1" t="n">
        <v>45190</v>
      </c>
      <c r="D2367" t="inlineStr">
        <is>
          <t>KALMAR LÄN</t>
        </is>
      </c>
      <c r="E2367" t="inlineStr">
        <is>
          <t>EMMABODA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39649-2019</t>
        </is>
      </c>
      <c r="B2368" s="1" t="n">
        <v>43691</v>
      </c>
      <c r="C2368" s="1" t="n">
        <v>45190</v>
      </c>
      <c r="D2368" t="inlineStr">
        <is>
          <t>KALMAR LÄN</t>
        </is>
      </c>
      <c r="E2368" t="inlineStr">
        <is>
          <t>EMMABODA</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39739-2019</t>
        </is>
      </c>
      <c r="B2369" s="1" t="n">
        <v>43691</v>
      </c>
      <c r="C2369" s="1" t="n">
        <v>45190</v>
      </c>
      <c r="D2369" t="inlineStr">
        <is>
          <t>KALMAR LÄN</t>
        </is>
      </c>
      <c r="E2369" t="inlineStr">
        <is>
          <t>KALMAR</t>
        </is>
      </c>
      <c r="G2369" t="n">
        <v>6.9</v>
      </c>
      <c r="H2369" t="n">
        <v>0</v>
      </c>
      <c r="I2369" t="n">
        <v>0</v>
      </c>
      <c r="J2369" t="n">
        <v>0</v>
      </c>
      <c r="K2369" t="n">
        <v>0</v>
      </c>
      <c r="L2369" t="n">
        <v>0</v>
      </c>
      <c r="M2369" t="n">
        <v>0</v>
      </c>
      <c r="N2369" t="n">
        <v>0</v>
      </c>
      <c r="O2369" t="n">
        <v>0</v>
      </c>
      <c r="P2369" t="n">
        <v>0</v>
      </c>
      <c r="Q2369" t="n">
        <v>0</v>
      </c>
      <c r="R2369" s="2" t="inlineStr"/>
    </row>
    <row r="2370" ht="15" customHeight="1">
      <c r="A2370" t="inlineStr">
        <is>
          <t>A 39745-2019</t>
        </is>
      </c>
      <c r="B2370" s="1" t="n">
        <v>43691</v>
      </c>
      <c r="C2370" s="1" t="n">
        <v>45190</v>
      </c>
      <c r="D2370" t="inlineStr">
        <is>
          <t>KALMAR LÄN</t>
        </is>
      </c>
      <c r="E2370" t="inlineStr">
        <is>
          <t>VÄSTERVIK</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39442-2019</t>
        </is>
      </c>
      <c r="B2371" s="1" t="n">
        <v>43691</v>
      </c>
      <c r="C2371" s="1" t="n">
        <v>45190</v>
      </c>
      <c r="D2371" t="inlineStr">
        <is>
          <t>KALMAR LÄN</t>
        </is>
      </c>
      <c r="E2371" t="inlineStr">
        <is>
          <t>VIMMERBY</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39564-2019</t>
        </is>
      </c>
      <c r="B2372" s="1" t="n">
        <v>43691</v>
      </c>
      <c r="C2372" s="1" t="n">
        <v>45190</v>
      </c>
      <c r="D2372" t="inlineStr">
        <is>
          <t>KALMAR LÄN</t>
        </is>
      </c>
      <c r="E2372" t="inlineStr">
        <is>
          <t>VIMMERBY</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39618-2019</t>
        </is>
      </c>
      <c r="B2373" s="1" t="n">
        <v>43691</v>
      </c>
      <c r="C2373" s="1" t="n">
        <v>45190</v>
      </c>
      <c r="D2373" t="inlineStr">
        <is>
          <t>KALMAR LÄN</t>
        </is>
      </c>
      <c r="E2373" t="inlineStr">
        <is>
          <t>EMMABODA</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39638-2019</t>
        </is>
      </c>
      <c r="B2374" s="1" t="n">
        <v>43691</v>
      </c>
      <c r="C2374" s="1" t="n">
        <v>45190</v>
      </c>
      <c r="D2374" t="inlineStr">
        <is>
          <t>KALMAR LÄN</t>
        </is>
      </c>
      <c r="E2374" t="inlineStr">
        <is>
          <t>EMMABODA</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39693-2019</t>
        </is>
      </c>
      <c r="B2375" s="1" t="n">
        <v>43691</v>
      </c>
      <c r="C2375" s="1" t="n">
        <v>45190</v>
      </c>
      <c r="D2375" t="inlineStr">
        <is>
          <t>KALMAR LÄN</t>
        </is>
      </c>
      <c r="E2375" t="inlineStr">
        <is>
          <t>NYBRO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40216-2019</t>
        </is>
      </c>
      <c r="B2376" s="1" t="n">
        <v>43691</v>
      </c>
      <c r="C2376" s="1" t="n">
        <v>45190</v>
      </c>
      <c r="D2376" t="inlineStr">
        <is>
          <t>KALMAR LÄN</t>
        </is>
      </c>
      <c r="E2376" t="inlineStr">
        <is>
          <t>HÖGSBY</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39415-2019</t>
        </is>
      </c>
      <c r="B2377" s="1" t="n">
        <v>43691</v>
      </c>
      <c r="C2377" s="1" t="n">
        <v>45190</v>
      </c>
      <c r="D2377" t="inlineStr">
        <is>
          <t>KALMAR LÄN</t>
        </is>
      </c>
      <c r="E2377" t="inlineStr">
        <is>
          <t>TORSÅS</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39543-2019</t>
        </is>
      </c>
      <c r="B2378" s="1" t="n">
        <v>43691</v>
      </c>
      <c r="C2378" s="1" t="n">
        <v>45190</v>
      </c>
      <c r="D2378" t="inlineStr">
        <is>
          <t>KALMAR LÄN</t>
        </is>
      </c>
      <c r="E2378" t="inlineStr">
        <is>
          <t>KALMAR</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39568-2019</t>
        </is>
      </c>
      <c r="B2379" s="1" t="n">
        <v>43691</v>
      </c>
      <c r="C2379" s="1" t="n">
        <v>45190</v>
      </c>
      <c r="D2379" t="inlineStr">
        <is>
          <t>KALMAR LÄN</t>
        </is>
      </c>
      <c r="E2379" t="inlineStr">
        <is>
          <t>VIMMERBY</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39614-2019</t>
        </is>
      </c>
      <c r="B2380" s="1" t="n">
        <v>43691</v>
      </c>
      <c r="C2380" s="1" t="n">
        <v>45190</v>
      </c>
      <c r="D2380" t="inlineStr">
        <is>
          <t>KALMAR LÄN</t>
        </is>
      </c>
      <c r="E2380" t="inlineStr">
        <is>
          <t>MÖNSTERÅS</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39621-2019</t>
        </is>
      </c>
      <c r="B2381" s="1" t="n">
        <v>43691</v>
      </c>
      <c r="C2381" s="1" t="n">
        <v>45190</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39629-2019</t>
        </is>
      </c>
      <c r="B2382" s="1" t="n">
        <v>43691</v>
      </c>
      <c r="C2382" s="1" t="n">
        <v>45190</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39635-2019</t>
        </is>
      </c>
      <c r="B2383" s="1" t="n">
        <v>43691</v>
      </c>
      <c r="C2383" s="1" t="n">
        <v>45190</v>
      </c>
      <c r="D2383" t="inlineStr">
        <is>
          <t>KALMAR LÄN</t>
        </is>
      </c>
      <c r="E2383" t="inlineStr">
        <is>
          <t>EMMABODA</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39665-2019</t>
        </is>
      </c>
      <c r="B2384" s="1" t="n">
        <v>43691</v>
      </c>
      <c r="C2384" s="1" t="n">
        <v>45190</v>
      </c>
      <c r="D2384" t="inlineStr">
        <is>
          <t>KALMAR LÄN</t>
        </is>
      </c>
      <c r="E2384" t="inlineStr">
        <is>
          <t>HULTSFRED</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39699-2019</t>
        </is>
      </c>
      <c r="B2385" s="1" t="n">
        <v>43691</v>
      </c>
      <c r="C2385" s="1" t="n">
        <v>45190</v>
      </c>
      <c r="D2385" t="inlineStr">
        <is>
          <t>KALMAR LÄN</t>
        </is>
      </c>
      <c r="E2385" t="inlineStr">
        <is>
          <t>NYBRO</t>
        </is>
      </c>
      <c r="G2385" t="n">
        <v>2.8</v>
      </c>
      <c r="H2385" t="n">
        <v>0</v>
      </c>
      <c r="I2385" t="n">
        <v>0</v>
      </c>
      <c r="J2385" t="n">
        <v>0</v>
      </c>
      <c r="K2385" t="n">
        <v>0</v>
      </c>
      <c r="L2385" t="n">
        <v>0</v>
      </c>
      <c r="M2385" t="n">
        <v>0</v>
      </c>
      <c r="N2385" t="n">
        <v>0</v>
      </c>
      <c r="O2385" t="n">
        <v>0</v>
      </c>
      <c r="P2385" t="n">
        <v>0</v>
      </c>
      <c r="Q2385" t="n">
        <v>0</v>
      </c>
      <c r="R2385" s="2" t="inlineStr"/>
    </row>
    <row r="2386" ht="15" customHeight="1">
      <c r="A2386" t="inlineStr">
        <is>
          <t>A 39728-2019</t>
        </is>
      </c>
      <c r="B2386" s="1" t="n">
        <v>43691</v>
      </c>
      <c r="C2386" s="1" t="n">
        <v>45190</v>
      </c>
      <c r="D2386" t="inlineStr">
        <is>
          <t>KALMAR LÄN</t>
        </is>
      </c>
      <c r="E2386" t="inlineStr">
        <is>
          <t>TORSÅS</t>
        </is>
      </c>
      <c r="G2386" t="n">
        <v>4.6</v>
      </c>
      <c r="H2386" t="n">
        <v>0</v>
      </c>
      <c r="I2386" t="n">
        <v>0</v>
      </c>
      <c r="J2386" t="n">
        <v>0</v>
      </c>
      <c r="K2386" t="n">
        <v>0</v>
      </c>
      <c r="L2386" t="n">
        <v>0</v>
      </c>
      <c r="M2386" t="n">
        <v>0</v>
      </c>
      <c r="N2386" t="n">
        <v>0</v>
      </c>
      <c r="O2386" t="n">
        <v>0</v>
      </c>
      <c r="P2386" t="n">
        <v>0</v>
      </c>
      <c r="Q2386" t="n">
        <v>0</v>
      </c>
      <c r="R2386" s="2" t="inlineStr"/>
    </row>
    <row r="2387" ht="15" customHeight="1">
      <c r="A2387" t="inlineStr">
        <is>
          <t>A 39742-2019</t>
        </is>
      </c>
      <c r="B2387" s="1" t="n">
        <v>43691</v>
      </c>
      <c r="C2387" s="1" t="n">
        <v>45190</v>
      </c>
      <c r="D2387" t="inlineStr">
        <is>
          <t>KALMAR LÄN</t>
        </is>
      </c>
      <c r="E2387" t="inlineStr">
        <is>
          <t>KALMAR</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39577-2019</t>
        </is>
      </c>
      <c r="B2388" s="1" t="n">
        <v>43691</v>
      </c>
      <c r="C2388" s="1" t="n">
        <v>45190</v>
      </c>
      <c r="D2388" t="inlineStr">
        <is>
          <t>KALMAR LÄN</t>
        </is>
      </c>
      <c r="E2388" t="inlineStr">
        <is>
          <t>VIMMERBY</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39627-2019</t>
        </is>
      </c>
      <c r="B2389" s="1" t="n">
        <v>43691</v>
      </c>
      <c r="C2389" s="1" t="n">
        <v>45190</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39632-2019</t>
        </is>
      </c>
      <c r="B2390" s="1" t="n">
        <v>43691</v>
      </c>
      <c r="C2390" s="1" t="n">
        <v>45190</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39680-2019</t>
        </is>
      </c>
      <c r="B2391" s="1" t="n">
        <v>43691</v>
      </c>
      <c r="C2391" s="1" t="n">
        <v>45190</v>
      </c>
      <c r="D2391" t="inlineStr">
        <is>
          <t>KALMAR LÄN</t>
        </is>
      </c>
      <c r="E2391" t="inlineStr">
        <is>
          <t>EMMABODA</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39696-2019</t>
        </is>
      </c>
      <c r="B2392" s="1" t="n">
        <v>43691</v>
      </c>
      <c r="C2392" s="1" t="n">
        <v>45190</v>
      </c>
      <c r="D2392" t="inlineStr">
        <is>
          <t>KALMAR LÄN</t>
        </is>
      </c>
      <c r="E2392" t="inlineStr">
        <is>
          <t>VÄSTERVIK</t>
        </is>
      </c>
      <c r="F2392" t="inlineStr">
        <is>
          <t>Sveaskog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39735-2019</t>
        </is>
      </c>
      <c r="B2393" s="1" t="n">
        <v>43691</v>
      </c>
      <c r="C2393" s="1" t="n">
        <v>45190</v>
      </c>
      <c r="D2393" t="inlineStr">
        <is>
          <t>KALMAR LÄN</t>
        </is>
      </c>
      <c r="E2393" t="inlineStr">
        <is>
          <t>KALMAR</t>
        </is>
      </c>
      <c r="G2393" t="n">
        <v>9.6</v>
      </c>
      <c r="H2393" t="n">
        <v>0</v>
      </c>
      <c r="I2393" t="n">
        <v>0</v>
      </c>
      <c r="J2393" t="n">
        <v>0</v>
      </c>
      <c r="K2393" t="n">
        <v>0</v>
      </c>
      <c r="L2393" t="n">
        <v>0</v>
      </c>
      <c r="M2393" t="n">
        <v>0</v>
      </c>
      <c r="N2393" t="n">
        <v>0</v>
      </c>
      <c r="O2393" t="n">
        <v>0</v>
      </c>
      <c r="P2393" t="n">
        <v>0</v>
      </c>
      <c r="Q2393" t="n">
        <v>0</v>
      </c>
      <c r="R2393" s="2" t="inlineStr"/>
    </row>
    <row r="2394" ht="15" customHeight="1">
      <c r="A2394" t="inlineStr">
        <is>
          <t>A 39741-2019</t>
        </is>
      </c>
      <c r="B2394" s="1" t="n">
        <v>43691</v>
      </c>
      <c r="C2394" s="1" t="n">
        <v>45190</v>
      </c>
      <c r="D2394" t="inlineStr">
        <is>
          <t>KALMAR LÄN</t>
        </is>
      </c>
      <c r="E2394" t="inlineStr">
        <is>
          <t>KALMAR</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40218-2019</t>
        </is>
      </c>
      <c r="B2395" s="1" t="n">
        <v>43691</v>
      </c>
      <c r="C2395" s="1" t="n">
        <v>45190</v>
      </c>
      <c r="D2395" t="inlineStr">
        <is>
          <t>KALMAR LÄN</t>
        </is>
      </c>
      <c r="E2395" t="inlineStr">
        <is>
          <t>KALMAR</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39870-2019</t>
        </is>
      </c>
      <c r="B2396" s="1" t="n">
        <v>43692</v>
      </c>
      <c r="C2396" s="1" t="n">
        <v>45190</v>
      </c>
      <c r="D2396" t="inlineStr">
        <is>
          <t>KALMAR LÄN</t>
        </is>
      </c>
      <c r="E2396" t="inlineStr">
        <is>
          <t>TORSÅS</t>
        </is>
      </c>
      <c r="F2396" t="inlineStr">
        <is>
          <t>Övriga Aktiebolag</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39901-2019</t>
        </is>
      </c>
      <c r="B2397" s="1" t="n">
        <v>43692</v>
      </c>
      <c r="C2397" s="1" t="n">
        <v>45190</v>
      </c>
      <c r="D2397" t="inlineStr">
        <is>
          <t>KALMAR LÄN</t>
        </is>
      </c>
      <c r="E2397" t="inlineStr">
        <is>
          <t>VIMMERBY</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39920-2019</t>
        </is>
      </c>
      <c r="B2398" s="1" t="n">
        <v>43692</v>
      </c>
      <c r="C2398" s="1" t="n">
        <v>45190</v>
      </c>
      <c r="D2398" t="inlineStr">
        <is>
          <t>KALMAR LÄN</t>
        </is>
      </c>
      <c r="E2398" t="inlineStr">
        <is>
          <t>VIMMERBY</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39962-2019</t>
        </is>
      </c>
      <c r="B2399" s="1" t="n">
        <v>43692</v>
      </c>
      <c r="C2399" s="1" t="n">
        <v>45190</v>
      </c>
      <c r="D2399" t="inlineStr">
        <is>
          <t>KALMAR LÄN</t>
        </is>
      </c>
      <c r="E2399" t="inlineStr">
        <is>
          <t>VIMMERBY</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39986-2019</t>
        </is>
      </c>
      <c r="B2400" s="1" t="n">
        <v>43692</v>
      </c>
      <c r="C2400" s="1" t="n">
        <v>45190</v>
      </c>
      <c r="D2400" t="inlineStr">
        <is>
          <t>KALMAR LÄN</t>
        </is>
      </c>
      <c r="E2400" t="inlineStr">
        <is>
          <t>KALMAR</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39856-2019</t>
        </is>
      </c>
      <c r="B2401" s="1" t="n">
        <v>43692</v>
      </c>
      <c r="C2401" s="1" t="n">
        <v>45190</v>
      </c>
      <c r="D2401" t="inlineStr">
        <is>
          <t>KALMAR LÄN</t>
        </is>
      </c>
      <c r="E2401" t="inlineStr">
        <is>
          <t>VIMMERBY</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39864-2019</t>
        </is>
      </c>
      <c r="B2402" s="1" t="n">
        <v>43692</v>
      </c>
      <c r="C2402" s="1" t="n">
        <v>45190</v>
      </c>
      <c r="D2402" t="inlineStr">
        <is>
          <t>KALMAR LÄN</t>
        </is>
      </c>
      <c r="E2402" t="inlineStr">
        <is>
          <t>TORSÅS</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39887-2019</t>
        </is>
      </c>
      <c r="B2403" s="1" t="n">
        <v>43692</v>
      </c>
      <c r="C2403" s="1" t="n">
        <v>45190</v>
      </c>
      <c r="D2403" t="inlineStr">
        <is>
          <t>KALMAR LÄN</t>
        </is>
      </c>
      <c r="E2403" t="inlineStr">
        <is>
          <t>MÖNSTERÅS</t>
        </is>
      </c>
      <c r="G2403" t="n">
        <v>8.9</v>
      </c>
      <c r="H2403" t="n">
        <v>0</v>
      </c>
      <c r="I2403" t="n">
        <v>0</v>
      </c>
      <c r="J2403" t="n">
        <v>0</v>
      </c>
      <c r="K2403" t="n">
        <v>0</v>
      </c>
      <c r="L2403" t="n">
        <v>0</v>
      </c>
      <c r="M2403" t="n">
        <v>0</v>
      </c>
      <c r="N2403" t="n">
        <v>0</v>
      </c>
      <c r="O2403" t="n">
        <v>0</v>
      </c>
      <c r="P2403" t="n">
        <v>0</v>
      </c>
      <c r="Q2403" t="n">
        <v>0</v>
      </c>
      <c r="R2403" s="2" t="inlineStr"/>
    </row>
    <row r="2404" ht="15" customHeight="1">
      <c r="A2404" t="inlineStr">
        <is>
          <t>A 39897-2019</t>
        </is>
      </c>
      <c r="B2404" s="1" t="n">
        <v>43692</v>
      </c>
      <c r="C2404" s="1" t="n">
        <v>45190</v>
      </c>
      <c r="D2404" t="inlineStr">
        <is>
          <t>KALMAR LÄN</t>
        </is>
      </c>
      <c r="E2404" t="inlineStr">
        <is>
          <t>VIMMERBY</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39928-2019</t>
        </is>
      </c>
      <c r="B2405" s="1" t="n">
        <v>43692</v>
      </c>
      <c r="C2405" s="1" t="n">
        <v>45190</v>
      </c>
      <c r="D2405" t="inlineStr">
        <is>
          <t>KALMAR LÄN</t>
        </is>
      </c>
      <c r="E2405" t="inlineStr">
        <is>
          <t>MÖNSTERÅS</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39994-2019</t>
        </is>
      </c>
      <c r="B2406" s="1" t="n">
        <v>43692</v>
      </c>
      <c r="C2406" s="1" t="n">
        <v>45190</v>
      </c>
      <c r="D2406" t="inlineStr">
        <is>
          <t>KALMAR LÄN</t>
        </is>
      </c>
      <c r="E2406" t="inlineStr">
        <is>
          <t>TORSÅS</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39894-2019</t>
        </is>
      </c>
      <c r="B2407" s="1" t="n">
        <v>43692</v>
      </c>
      <c r="C2407" s="1" t="n">
        <v>45190</v>
      </c>
      <c r="D2407" t="inlineStr">
        <is>
          <t>KALMAR LÄN</t>
        </is>
      </c>
      <c r="E2407" t="inlineStr">
        <is>
          <t>VIMMERBY</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39992-2019</t>
        </is>
      </c>
      <c r="B2408" s="1" t="n">
        <v>43692</v>
      </c>
      <c r="C2408" s="1" t="n">
        <v>45190</v>
      </c>
      <c r="D2408" t="inlineStr">
        <is>
          <t>KALMAR LÄN</t>
        </is>
      </c>
      <c r="E2408" t="inlineStr">
        <is>
          <t>TORSÅS</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39865-2019</t>
        </is>
      </c>
      <c r="B2409" s="1" t="n">
        <v>43692</v>
      </c>
      <c r="C2409" s="1" t="n">
        <v>45190</v>
      </c>
      <c r="D2409" t="inlineStr">
        <is>
          <t>KALMAR LÄN</t>
        </is>
      </c>
      <c r="E2409" t="inlineStr">
        <is>
          <t>TORSÅS</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39890-2019</t>
        </is>
      </c>
      <c r="B2410" s="1" t="n">
        <v>43692</v>
      </c>
      <c r="C2410" s="1" t="n">
        <v>45190</v>
      </c>
      <c r="D2410" t="inlineStr">
        <is>
          <t>KALMAR LÄN</t>
        </is>
      </c>
      <c r="E2410" t="inlineStr">
        <is>
          <t>MÖNSTERÅS</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39899-2019</t>
        </is>
      </c>
      <c r="B2411" s="1" t="n">
        <v>43692</v>
      </c>
      <c r="C2411" s="1" t="n">
        <v>45190</v>
      </c>
      <c r="D2411" t="inlineStr">
        <is>
          <t>KALMAR LÄN</t>
        </is>
      </c>
      <c r="E2411" t="inlineStr">
        <is>
          <t>VIMMERBY</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39919-2019</t>
        </is>
      </c>
      <c r="B2412" s="1" t="n">
        <v>43692</v>
      </c>
      <c r="C2412" s="1" t="n">
        <v>45190</v>
      </c>
      <c r="D2412" t="inlineStr">
        <is>
          <t>KALMAR LÄN</t>
        </is>
      </c>
      <c r="E2412" t="inlineStr">
        <is>
          <t>HULTSFRED</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40140-2019</t>
        </is>
      </c>
      <c r="B2413" s="1" t="n">
        <v>43693</v>
      </c>
      <c r="C2413" s="1" t="n">
        <v>45190</v>
      </c>
      <c r="D2413" t="inlineStr">
        <is>
          <t>KALMAR LÄN</t>
        </is>
      </c>
      <c r="E2413" t="inlineStr">
        <is>
          <t>VIMMERBY</t>
        </is>
      </c>
      <c r="F2413" t="inlineStr">
        <is>
          <t>Kommuner</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40865-2019</t>
        </is>
      </c>
      <c r="B2414" s="1" t="n">
        <v>43693</v>
      </c>
      <c r="C2414" s="1" t="n">
        <v>45190</v>
      </c>
      <c r="D2414" t="inlineStr">
        <is>
          <t>KALMAR LÄN</t>
        </is>
      </c>
      <c r="E2414" t="inlineStr">
        <is>
          <t>OSKARSHAMN</t>
        </is>
      </c>
      <c r="F2414" t="inlineStr">
        <is>
          <t>Övriga Aktiebolag</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42500-2019</t>
        </is>
      </c>
      <c r="B2415" s="1" t="n">
        <v>43693</v>
      </c>
      <c r="C2415" s="1" t="n">
        <v>45190</v>
      </c>
      <c r="D2415" t="inlineStr">
        <is>
          <t>KALMAR LÄN</t>
        </is>
      </c>
      <c r="E2415" t="inlineStr">
        <is>
          <t>EMMABODA</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40132-2019</t>
        </is>
      </c>
      <c r="B2416" s="1" t="n">
        <v>43693</v>
      </c>
      <c r="C2416" s="1" t="n">
        <v>45190</v>
      </c>
      <c r="D2416" t="inlineStr">
        <is>
          <t>KALMAR LÄN</t>
        </is>
      </c>
      <c r="E2416" t="inlineStr">
        <is>
          <t>NYBRO</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40189-2019</t>
        </is>
      </c>
      <c r="B2417" s="1" t="n">
        <v>43693</v>
      </c>
      <c r="C2417" s="1" t="n">
        <v>45190</v>
      </c>
      <c r="D2417" t="inlineStr">
        <is>
          <t>KALMAR LÄN</t>
        </is>
      </c>
      <c r="E2417" t="inlineStr">
        <is>
          <t>MÖNSTERÅS</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40872-2019</t>
        </is>
      </c>
      <c r="B2418" s="1" t="n">
        <v>43693</v>
      </c>
      <c r="C2418" s="1" t="n">
        <v>45190</v>
      </c>
      <c r="D2418" t="inlineStr">
        <is>
          <t>KALMAR LÄN</t>
        </is>
      </c>
      <c r="E2418" t="inlineStr">
        <is>
          <t>NYBRO</t>
        </is>
      </c>
      <c r="G2418" t="n">
        <v>19.5</v>
      </c>
      <c r="H2418" t="n">
        <v>0</v>
      </c>
      <c r="I2418" t="n">
        <v>0</v>
      </c>
      <c r="J2418" t="n">
        <v>0</v>
      </c>
      <c r="K2418" t="n">
        <v>0</v>
      </c>
      <c r="L2418" t="n">
        <v>0</v>
      </c>
      <c r="M2418" t="n">
        <v>0</v>
      </c>
      <c r="N2418" t="n">
        <v>0</v>
      </c>
      <c r="O2418" t="n">
        <v>0</v>
      </c>
      <c r="P2418" t="n">
        <v>0</v>
      </c>
      <c r="Q2418" t="n">
        <v>0</v>
      </c>
      <c r="R2418" s="2" t="inlineStr"/>
    </row>
    <row r="2419" ht="15" customHeight="1">
      <c r="A2419" t="inlineStr">
        <is>
          <t>A 40893-2019</t>
        </is>
      </c>
      <c r="B2419" s="1" t="n">
        <v>43693</v>
      </c>
      <c r="C2419" s="1" t="n">
        <v>45190</v>
      </c>
      <c r="D2419" t="inlineStr">
        <is>
          <t>KALMAR LÄN</t>
        </is>
      </c>
      <c r="E2419" t="inlineStr">
        <is>
          <t>EMMABODA</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40212-2019</t>
        </is>
      </c>
      <c r="B2420" s="1" t="n">
        <v>43693</v>
      </c>
      <c r="C2420" s="1" t="n">
        <v>45190</v>
      </c>
      <c r="D2420" t="inlineStr">
        <is>
          <t>KALMAR LÄN</t>
        </is>
      </c>
      <c r="E2420" t="inlineStr">
        <is>
          <t>TORSÅS</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40025-2019</t>
        </is>
      </c>
      <c r="B2421" s="1" t="n">
        <v>43693</v>
      </c>
      <c r="C2421" s="1" t="n">
        <v>45190</v>
      </c>
      <c r="D2421" t="inlineStr">
        <is>
          <t>KALMAR LÄN</t>
        </is>
      </c>
      <c r="E2421" t="inlineStr">
        <is>
          <t>TORSÅS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40200-2019</t>
        </is>
      </c>
      <c r="B2422" s="1" t="n">
        <v>43693</v>
      </c>
      <c r="C2422" s="1" t="n">
        <v>45190</v>
      </c>
      <c r="D2422" t="inlineStr">
        <is>
          <t>KALMAR LÄN</t>
        </is>
      </c>
      <c r="E2422" t="inlineStr">
        <is>
          <t>TORSÅS</t>
        </is>
      </c>
      <c r="G2422" t="n">
        <v>5.5</v>
      </c>
      <c r="H2422" t="n">
        <v>0</v>
      </c>
      <c r="I2422" t="n">
        <v>0</v>
      </c>
      <c r="J2422" t="n">
        <v>0</v>
      </c>
      <c r="K2422" t="n">
        <v>0</v>
      </c>
      <c r="L2422" t="n">
        <v>0</v>
      </c>
      <c r="M2422" t="n">
        <v>0</v>
      </c>
      <c r="N2422" t="n">
        <v>0</v>
      </c>
      <c r="O2422" t="n">
        <v>0</v>
      </c>
      <c r="P2422" t="n">
        <v>0</v>
      </c>
      <c r="Q2422" t="n">
        <v>0</v>
      </c>
      <c r="R2422" s="2" t="inlineStr"/>
    </row>
    <row r="2423" ht="15" customHeight="1">
      <c r="A2423" t="inlineStr">
        <is>
          <t>A 40207-2019</t>
        </is>
      </c>
      <c r="B2423" s="1" t="n">
        <v>43693</v>
      </c>
      <c r="C2423" s="1" t="n">
        <v>45190</v>
      </c>
      <c r="D2423" t="inlineStr">
        <is>
          <t>KALMAR LÄN</t>
        </is>
      </c>
      <c r="E2423" t="inlineStr">
        <is>
          <t>TORSÅS</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40214-2019</t>
        </is>
      </c>
      <c r="B2424" s="1" t="n">
        <v>43693</v>
      </c>
      <c r="C2424" s="1" t="n">
        <v>45190</v>
      </c>
      <c r="D2424" t="inlineStr">
        <is>
          <t>KALMAR LÄN</t>
        </is>
      </c>
      <c r="E2424" t="inlineStr">
        <is>
          <t>TORSÅS</t>
        </is>
      </c>
      <c r="G2424" t="n">
        <v>8.199999999999999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40230-2019</t>
        </is>
      </c>
      <c r="B2425" s="1" t="n">
        <v>43693</v>
      </c>
      <c r="C2425" s="1" t="n">
        <v>45190</v>
      </c>
      <c r="D2425" t="inlineStr">
        <is>
          <t>KALMAR LÄN</t>
        </is>
      </c>
      <c r="E2425" t="inlineStr">
        <is>
          <t>KALMAR</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40866-2019</t>
        </is>
      </c>
      <c r="B2426" s="1" t="n">
        <v>43693</v>
      </c>
      <c r="C2426" s="1" t="n">
        <v>45190</v>
      </c>
      <c r="D2426" t="inlineStr">
        <is>
          <t>KALMAR LÄN</t>
        </is>
      </c>
      <c r="E2426" t="inlineStr">
        <is>
          <t>MÖNSTERÅS</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40888-2019</t>
        </is>
      </c>
      <c r="B2427" s="1" t="n">
        <v>43693</v>
      </c>
      <c r="C2427" s="1" t="n">
        <v>45190</v>
      </c>
      <c r="D2427" t="inlineStr">
        <is>
          <t>KALMAR LÄN</t>
        </is>
      </c>
      <c r="E2427" t="inlineStr">
        <is>
          <t>EMMABODA</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40246-2019</t>
        </is>
      </c>
      <c r="B2428" s="1" t="n">
        <v>43695</v>
      </c>
      <c r="C2428" s="1" t="n">
        <v>45190</v>
      </c>
      <c r="D2428" t="inlineStr">
        <is>
          <t>KALMAR LÄN</t>
        </is>
      </c>
      <c r="E2428" t="inlineStr">
        <is>
          <t>EMMABODA</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40441-2019</t>
        </is>
      </c>
      <c r="B2429" s="1" t="n">
        <v>43696</v>
      </c>
      <c r="C2429" s="1" t="n">
        <v>45190</v>
      </c>
      <c r="D2429" t="inlineStr">
        <is>
          <t>KALMAR LÄN</t>
        </is>
      </c>
      <c r="E2429" t="inlineStr">
        <is>
          <t>TORSÅS</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40645-2019</t>
        </is>
      </c>
      <c r="B2430" s="1" t="n">
        <v>43696</v>
      </c>
      <c r="C2430" s="1" t="n">
        <v>45190</v>
      </c>
      <c r="D2430" t="inlineStr">
        <is>
          <t>KALMAR LÄN</t>
        </is>
      </c>
      <c r="E2430" t="inlineStr">
        <is>
          <t>KALMAR</t>
        </is>
      </c>
      <c r="G2430" t="n">
        <v>3.9</v>
      </c>
      <c r="H2430" t="n">
        <v>0</v>
      </c>
      <c r="I2430" t="n">
        <v>0</v>
      </c>
      <c r="J2430" t="n">
        <v>0</v>
      </c>
      <c r="K2430" t="n">
        <v>0</v>
      </c>
      <c r="L2430" t="n">
        <v>0</v>
      </c>
      <c r="M2430" t="n">
        <v>0</v>
      </c>
      <c r="N2430" t="n">
        <v>0</v>
      </c>
      <c r="O2430" t="n">
        <v>0</v>
      </c>
      <c r="P2430" t="n">
        <v>0</v>
      </c>
      <c r="Q2430" t="n">
        <v>0</v>
      </c>
      <c r="R2430" s="2" t="inlineStr"/>
    </row>
    <row r="2431" ht="15" customHeight="1">
      <c r="A2431" t="inlineStr">
        <is>
          <t>A 41276-2019</t>
        </is>
      </c>
      <c r="B2431" s="1" t="n">
        <v>43696</v>
      </c>
      <c r="C2431" s="1" t="n">
        <v>45190</v>
      </c>
      <c r="D2431" t="inlineStr">
        <is>
          <t>KALMAR LÄN</t>
        </is>
      </c>
      <c r="E2431" t="inlineStr">
        <is>
          <t>HÖGSBY</t>
        </is>
      </c>
      <c r="G2431" t="n">
        <v>8.199999999999999</v>
      </c>
      <c r="H2431" t="n">
        <v>0</v>
      </c>
      <c r="I2431" t="n">
        <v>0</v>
      </c>
      <c r="J2431" t="n">
        <v>0</v>
      </c>
      <c r="K2431" t="n">
        <v>0</v>
      </c>
      <c r="L2431" t="n">
        <v>0</v>
      </c>
      <c r="M2431" t="n">
        <v>0</v>
      </c>
      <c r="N2431" t="n">
        <v>0</v>
      </c>
      <c r="O2431" t="n">
        <v>0</v>
      </c>
      <c r="P2431" t="n">
        <v>0</v>
      </c>
      <c r="Q2431" t="n">
        <v>0</v>
      </c>
      <c r="R2431" s="2" t="inlineStr"/>
    </row>
    <row r="2432" ht="15" customHeight="1">
      <c r="A2432" t="inlineStr">
        <is>
          <t>A 41307-2019</t>
        </is>
      </c>
      <c r="B2432" s="1" t="n">
        <v>43696</v>
      </c>
      <c r="C2432" s="1" t="n">
        <v>45190</v>
      </c>
      <c r="D2432" t="inlineStr">
        <is>
          <t>KALMAR LÄN</t>
        </is>
      </c>
      <c r="E2432" t="inlineStr">
        <is>
          <t>HÖGSBY</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40390-2019</t>
        </is>
      </c>
      <c r="B2433" s="1" t="n">
        <v>43696</v>
      </c>
      <c r="C2433" s="1" t="n">
        <v>45190</v>
      </c>
      <c r="D2433" t="inlineStr">
        <is>
          <t>KALMAR LÄN</t>
        </is>
      </c>
      <c r="E2433" t="inlineStr">
        <is>
          <t>OSKARSHAMN</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41285-2019</t>
        </is>
      </c>
      <c r="B2434" s="1" t="n">
        <v>43696</v>
      </c>
      <c r="C2434" s="1" t="n">
        <v>45190</v>
      </c>
      <c r="D2434" t="inlineStr">
        <is>
          <t>KALMAR LÄN</t>
        </is>
      </c>
      <c r="E2434" t="inlineStr">
        <is>
          <t>HÖGSBY</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41310-2019</t>
        </is>
      </c>
      <c r="B2435" s="1" t="n">
        <v>43696</v>
      </c>
      <c r="C2435" s="1" t="n">
        <v>45190</v>
      </c>
      <c r="D2435" t="inlineStr">
        <is>
          <t>KALMAR LÄN</t>
        </is>
      </c>
      <c r="E2435" t="inlineStr">
        <is>
          <t>HÖGSBY</t>
        </is>
      </c>
      <c r="G2435" t="n">
        <v>3.4</v>
      </c>
      <c r="H2435" t="n">
        <v>0</v>
      </c>
      <c r="I2435" t="n">
        <v>0</v>
      </c>
      <c r="J2435" t="n">
        <v>0</v>
      </c>
      <c r="K2435" t="n">
        <v>0</v>
      </c>
      <c r="L2435" t="n">
        <v>0</v>
      </c>
      <c r="M2435" t="n">
        <v>0</v>
      </c>
      <c r="N2435" t="n">
        <v>0</v>
      </c>
      <c r="O2435" t="n">
        <v>0</v>
      </c>
      <c r="P2435" t="n">
        <v>0</v>
      </c>
      <c r="Q2435" t="n">
        <v>0</v>
      </c>
      <c r="R2435" s="2" t="inlineStr"/>
    </row>
    <row r="2436" ht="15" customHeight="1">
      <c r="A2436" t="inlineStr">
        <is>
          <t>A 40303-2019</t>
        </is>
      </c>
      <c r="B2436" s="1" t="n">
        <v>43696</v>
      </c>
      <c r="C2436" s="1" t="n">
        <v>45190</v>
      </c>
      <c r="D2436" t="inlineStr">
        <is>
          <t>KALMAR LÄN</t>
        </is>
      </c>
      <c r="E2436" t="inlineStr">
        <is>
          <t>HULTSFRED</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40414-2019</t>
        </is>
      </c>
      <c r="B2437" s="1" t="n">
        <v>43696</v>
      </c>
      <c r="C2437" s="1" t="n">
        <v>45190</v>
      </c>
      <c r="D2437" t="inlineStr">
        <is>
          <t>KALMAR LÄN</t>
        </is>
      </c>
      <c r="E2437" t="inlineStr">
        <is>
          <t>MÖNSTERÅS</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40692-2019</t>
        </is>
      </c>
      <c r="B2438" s="1" t="n">
        <v>43696</v>
      </c>
      <c r="C2438" s="1" t="n">
        <v>45190</v>
      </c>
      <c r="D2438" t="inlineStr">
        <is>
          <t>KALMAR LÄN</t>
        </is>
      </c>
      <c r="E2438" t="inlineStr">
        <is>
          <t>VIMMERBY</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41271-2019</t>
        </is>
      </c>
      <c r="B2439" s="1" t="n">
        <v>43696</v>
      </c>
      <c r="C2439" s="1" t="n">
        <v>45190</v>
      </c>
      <c r="D2439" t="inlineStr">
        <is>
          <t>KALMAR LÄN</t>
        </is>
      </c>
      <c r="E2439" t="inlineStr">
        <is>
          <t>HÖGSBY</t>
        </is>
      </c>
      <c r="G2439" t="n">
        <v>9.199999999999999</v>
      </c>
      <c r="H2439" t="n">
        <v>0</v>
      </c>
      <c r="I2439" t="n">
        <v>0</v>
      </c>
      <c r="J2439" t="n">
        <v>0</v>
      </c>
      <c r="K2439" t="n">
        <v>0</v>
      </c>
      <c r="L2439" t="n">
        <v>0</v>
      </c>
      <c r="M2439" t="n">
        <v>0</v>
      </c>
      <c r="N2439" t="n">
        <v>0</v>
      </c>
      <c r="O2439" t="n">
        <v>0</v>
      </c>
      <c r="P2439" t="n">
        <v>0</v>
      </c>
      <c r="Q2439" t="n">
        <v>0</v>
      </c>
      <c r="R2439" s="2" t="inlineStr"/>
    </row>
    <row r="2440" ht="15" customHeight="1">
      <c r="A2440" t="inlineStr">
        <is>
          <t>A 40411-2019</t>
        </is>
      </c>
      <c r="B2440" s="1" t="n">
        <v>43696</v>
      </c>
      <c r="C2440" s="1" t="n">
        <v>45190</v>
      </c>
      <c r="D2440" t="inlineStr">
        <is>
          <t>KALMAR LÄN</t>
        </is>
      </c>
      <c r="E2440" t="inlineStr">
        <is>
          <t>EMMABODA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40420-2019</t>
        </is>
      </c>
      <c r="B2441" s="1" t="n">
        <v>43696</v>
      </c>
      <c r="C2441" s="1" t="n">
        <v>45190</v>
      </c>
      <c r="D2441" t="inlineStr">
        <is>
          <t>KALMAR LÄN</t>
        </is>
      </c>
      <c r="E2441" t="inlineStr">
        <is>
          <t>HULTSFRED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40691-2019</t>
        </is>
      </c>
      <c r="B2442" s="1" t="n">
        <v>43696</v>
      </c>
      <c r="C2442" s="1" t="n">
        <v>45190</v>
      </c>
      <c r="D2442" t="inlineStr">
        <is>
          <t>KALMAR LÄN</t>
        </is>
      </c>
      <c r="E2442" t="inlineStr">
        <is>
          <t>VIMMERBY</t>
        </is>
      </c>
      <c r="G2442" t="n">
        <v>10.9</v>
      </c>
      <c r="H2442" t="n">
        <v>0</v>
      </c>
      <c r="I2442" t="n">
        <v>0</v>
      </c>
      <c r="J2442" t="n">
        <v>0</v>
      </c>
      <c r="K2442" t="n">
        <v>0</v>
      </c>
      <c r="L2442" t="n">
        <v>0</v>
      </c>
      <c r="M2442" t="n">
        <v>0</v>
      </c>
      <c r="N2442" t="n">
        <v>0</v>
      </c>
      <c r="O2442" t="n">
        <v>0</v>
      </c>
      <c r="P2442" t="n">
        <v>0</v>
      </c>
      <c r="Q2442" t="n">
        <v>0</v>
      </c>
      <c r="R2442" s="2" t="inlineStr"/>
    </row>
    <row r="2443" ht="15" customHeight="1">
      <c r="A2443" t="inlineStr">
        <is>
          <t>A 41291-2019</t>
        </is>
      </c>
      <c r="B2443" s="1" t="n">
        <v>43696</v>
      </c>
      <c r="C2443" s="1" t="n">
        <v>45190</v>
      </c>
      <c r="D2443" t="inlineStr">
        <is>
          <t>KALMAR LÄN</t>
        </is>
      </c>
      <c r="E2443" t="inlineStr">
        <is>
          <t>HÖGSBY</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40931-2019</t>
        </is>
      </c>
      <c r="B2444" s="1" t="n">
        <v>43697</v>
      </c>
      <c r="C2444" s="1" t="n">
        <v>45190</v>
      </c>
      <c r="D2444" t="inlineStr">
        <is>
          <t>KALMAR LÄN</t>
        </is>
      </c>
      <c r="E2444" t="inlineStr">
        <is>
          <t>EMMABODA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41057-2019</t>
        </is>
      </c>
      <c r="B2445" s="1" t="n">
        <v>43697</v>
      </c>
      <c r="C2445" s="1" t="n">
        <v>45190</v>
      </c>
      <c r="D2445" t="inlineStr">
        <is>
          <t>KALMAR LÄN</t>
        </is>
      </c>
      <c r="E2445" t="inlineStr">
        <is>
          <t>HULTSFRED</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40708-2019</t>
        </is>
      </c>
      <c r="B2446" s="1" t="n">
        <v>43697</v>
      </c>
      <c r="C2446" s="1" t="n">
        <v>45190</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40709-2019</t>
        </is>
      </c>
      <c r="B2447" s="1" t="n">
        <v>43697</v>
      </c>
      <c r="C2447" s="1" t="n">
        <v>45190</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41819-2019</t>
        </is>
      </c>
      <c r="B2448" s="1" t="n">
        <v>43697</v>
      </c>
      <c r="C2448" s="1" t="n">
        <v>45190</v>
      </c>
      <c r="D2448" t="inlineStr">
        <is>
          <t>KALMAR LÄN</t>
        </is>
      </c>
      <c r="E2448" t="inlineStr">
        <is>
          <t>HULTSFRED</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40933-2019</t>
        </is>
      </c>
      <c r="B2449" s="1" t="n">
        <v>43697</v>
      </c>
      <c r="C2449" s="1" t="n">
        <v>45190</v>
      </c>
      <c r="D2449" t="inlineStr">
        <is>
          <t>KALMAR LÄN</t>
        </is>
      </c>
      <c r="E2449" t="inlineStr">
        <is>
          <t>EMMABODA</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41187-2019</t>
        </is>
      </c>
      <c r="B2450" s="1" t="n">
        <v>43698</v>
      </c>
      <c r="C2450" s="1" t="n">
        <v>45190</v>
      </c>
      <c r="D2450" t="inlineStr">
        <is>
          <t>KALMAR LÄN</t>
        </is>
      </c>
      <c r="E2450" t="inlineStr">
        <is>
          <t>KALMAR</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41402-2019</t>
        </is>
      </c>
      <c r="B2451" s="1" t="n">
        <v>43698</v>
      </c>
      <c r="C2451" s="1" t="n">
        <v>45190</v>
      </c>
      <c r="D2451" t="inlineStr">
        <is>
          <t>KALMAR LÄN</t>
        </is>
      </c>
      <c r="E2451" t="inlineStr">
        <is>
          <t>OSKARSHAMN</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41407-2019</t>
        </is>
      </c>
      <c r="B2452" s="1" t="n">
        <v>43698</v>
      </c>
      <c r="C2452" s="1" t="n">
        <v>45190</v>
      </c>
      <c r="D2452" t="inlineStr">
        <is>
          <t>KALMAR LÄN</t>
        </is>
      </c>
      <c r="E2452" t="inlineStr">
        <is>
          <t>HULTSFRED</t>
        </is>
      </c>
      <c r="G2452" t="n">
        <v>3.6</v>
      </c>
      <c r="H2452" t="n">
        <v>0</v>
      </c>
      <c r="I2452" t="n">
        <v>0</v>
      </c>
      <c r="J2452" t="n">
        <v>0</v>
      </c>
      <c r="K2452" t="n">
        <v>0</v>
      </c>
      <c r="L2452" t="n">
        <v>0</v>
      </c>
      <c r="M2452" t="n">
        <v>0</v>
      </c>
      <c r="N2452" t="n">
        <v>0</v>
      </c>
      <c r="O2452" t="n">
        <v>0</v>
      </c>
      <c r="P2452" t="n">
        <v>0</v>
      </c>
      <c r="Q2452" t="n">
        <v>0</v>
      </c>
      <c r="R2452" s="2" t="inlineStr"/>
    </row>
    <row r="2453" ht="15" customHeight="1">
      <c r="A2453" t="inlineStr">
        <is>
          <t>A 41961-2019</t>
        </is>
      </c>
      <c r="B2453" s="1" t="n">
        <v>43698</v>
      </c>
      <c r="C2453" s="1" t="n">
        <v>45190</v>
      </c>
      <c r="D2453" t="inlineStr">
        <is>
          <t>KALMAR LÄN</t>
        </is>
      </c>
      <c r="E2453" t="inlineStr">
        <is>
          <t>VÄSTERVIK</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41046-2019</t>
        </is>
      </c>
      <c r="B2454" s="1" t="n">
        <v>43698</v>
      </c>
      <c r="C2454" s="1" t="n">
        <v>45190</v>
      </c>
      <c r="D2454" t="inlineStr">
        <is>
          <t>KALMAR LÄN</t>
        </is>
      </c>
      <c r="E2454" t="inlineStr">
        <is>
          <t>TORSÅS</t>
        </is>
      </c>
      <c r="G2454" t="n">
        <v>9.300000000000001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41076-2019</t>
        </is>
      </c>
      <c r="B2455" s="1" t="n">
        <v>43698</v>
      </c>
      <c r="C2455" s="1" t="n">
        <v>45190</v>
      </c>
      <c r="D2455" t="inlineStr">
        <is>
          <t>KALMAR LÄN</t>
        </is>
      </c>
      <c r="E2455" t="inlineStr">
        <is>
          <t>NYBRO</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41147-2019</t>
        </is>
      </c>
      <c r="B2456" s="1" t="n">
        <v>43698</v>
      </c>
      <c r="C2456" s="1" t="n">
        <v>45190</v>
      </c>
      <c r="D2456" t="inlineStr">
        <is>
          <t>KALMAR LÄN</t>
        </is>
      </c>
      <c r="E2456" t="inlineStr">
        <is>
          <t>KALMAR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41053-2019</t>
        </is>
      </c>
      <c r="B2457" s="1" t="n">
        <v>43698</v>
      </c>
      <c r="C2457" s="1" t="n">
        <v>45190</v>
      </c>
      <c r="D2457" t="inlineStr">
        <is>
          <t>KALMAR LÄN</t>
        </is>
      </c>
      <c r="E2457" t="inlineStr">
        <is>
          <t>NYBRO</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41313-2019</t>
        </is>
      </c>
      <c r="B2458" s="1" t="n">
        <v>43698</v>
      </c>
      <c r="C2458" s="1" t="n">
        <v>45190</v>
      </c>
      <c r="D2458" t="inlineStr">
        <is>
          <t>KALMAR LÄN</t>
        </is>
      </c>
      <c r="E2458" t="inlineStr">
        <is>
          <t>OSKARSHAMN</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41397-2019</t>
        </is>
      </c>
      <c r="B2459" s="1" t="n">
        <v>43698</v>
      </c>
      <c r="C2459" s="1" t="n">
        <v>45190</v>
      </c>
      <c r="D2459" t="inlineStr">
        <is>
          <t>KALMAR LÄN</t>
        </is>
      </c>
      <c r="E2459" t="inlineStr">
        <is>
          <t>OSKARSHAMN</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41044-2019</t>
        </is>
      </c>
      <c r="B2460" s="1" t="n">
        <v>43698</v>
      </c>
      <c r="C2460" s="1" t="n">
        <v>45190</v>
      </c>
      <c r="D2460" t="inlineStr">
        <is>
          <t>KALMAR LÄN</t>
        </is>
      </c>
      <c r="E2460" t="inlineStr">
        <is>
          <t>TORSÅS</t>
        </is>
      </c>
      <c r="G2460" t="n">
        <v>9.300000000000001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41190-2019</t>
        </is>
      </c>
      <c r="B2461" s="1" t="n">
        <v>43698</v>
      </c>
      <c r="C2461" s="1" t="n">
        <v>45190</v>
      </c>
      <c r="D2461" t="inlineStr">
        <is>
          <t>KALMAR LÄN</t>
        </is>
      </c>
      <c r="E2461" t="inlineStr">
        <is>
          <t>KALMAR</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41282-2019</t>
        </is>
      </c>
      <c r="B2462" s="1" t="n">
        <v>43698</v>
      </c>
      <c r="C2462" s="1" t="n">
        <v>45190</v>
      </c>
      <c r="D2462" t="inlineStr">
        <is>
          <t>KALMAR LÄN</t>
        </is>
      </c>
      <c r="E2462" t="inlineStr">
        <is>
          <t>OSKARSHAMN</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41347-2019</t>
        </is>
      </c>
      <c r="B2463" s="1" t="n">
        <v>43698</v>
      </c>
      <c r="C2463" s="1" t="n">
        <v>45190</v>
      </c>
      <c r="D2463" t="inlineStr">
        <is>
          <t>KALMAR LÄN</t>
        </is>
      </c>
      <c r="E2463" t="inlineStr">
        <is>
          <t>VIMMERBY</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41643-2019</t>
        </is>
      </c>
      <c r="B2464" s="1" t="n">
        <v>43699</v>
      </c>
      <c r="C2464" s="1" t="n">
        <v>45190</v>
      </c>
      <c r="D2464" t="inlineStr">
        <is>
          <t>KALMAR LÄN</t>
        </is>
      </c>
      <c r="E2464" t="inlineStr">
        <is>
          <t>HULTSFRED</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41604-2019</t>
        </is>
      </c>
      <c r="B2465" s="1" t="n">
        <v>43699</v>
      </c>
      <c r="C2465" s="1" t="n">
        <v>45190</v>
      </c>
      <c r="D2465" t="inlineStr">
        <is>
          <t>KALMAR LÄN</t>
        </is>
      </c>
      <c r="E2465" t="inlineStr">
        <is>
          <t>MÖNSTERÅS</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41728-2019</t>
        </is>
      </c>
      <c r="B2466" s="1" t="n">
        <v>43699</v>
      </c>
      <c r="C2466" s="1" t="n">
        <v>45190</v>
      </c>
      <c r="D2466" t="inlineStr">
        <is>
          <t>KALMAR LÄN</t>
        </is>
      </c>
      <c r="E2466" t="inlineStr">
        <is>
          <t>VÄSTERVIK</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41739-2019</t>
        </is>
      </c>
      <c r="B2467" s="1" t="n">
        <v>43699</v>
      </c>
      <c r="C2467" s="1" t="n">
        <v>45190</v>
      </c>
      <c r="D2467" t="inlineStr">
        <is>
          <t>KALMAR LÄN</t>
        </is>
      </c>
      <c r="E2467" t="inlineStr">
        <is>
          <t>HÖGSBY</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41520-2019</t>
        </is>
      </c>
      <c r="B2468" s="1" t="n">
        <v>43699</v>
      </c>
      <c r="C2468" s="1" t="n">
        <v>45190</v>
      </c>
      <c r="D2468" t="inlineStr">
        <is>
          <t>KALMAR LÄN</t>
        </is>
      </c>
      <c r="E2468" t="inlineStr">
        <is>
          <t>KALMAR</t>
        </is>
      </c>
      <c r="G2468" t="n">
        <v>4</v>
      </c>
      <c r="H2468" t="n">
        <v>0</v>
      </c>
      <c r="I2468" t="n">
        <v>0</v>
      </c>
      <c r="J2468" t="n">
        <v>0</v>
      </c>
      <c r="K2468" t="n">
        <v>0</v>
      </c>
      <c r="L2468" t="n">
        <v>0</v>
      </c>
      <c r="M2468" t="n">
        <v>0</v>
      </c>
      <c r="N2468" t="n">
        <v>0</v>
      </c>
      <c r="O2468" t="n">
        <v>0</v>
      </c>
      <c r="P2468" t="n">
        <v>0</v>
      </c>
      <c r="Q2468" t="n">
        <v>0</v>
      </c>
      <c r="R2468" s="2" t="inlineStr"/>
    </row>
    <row r="2469" ht="15" customHeight="1">
      <c r="A2469" t="inlineStr">
        <is>
          <t>A 41573-2019</t>
        </is>
      </c>
      <c r="B2469" s="1" t="n">
        <v>43699</v>
      </c>
      <c r="C2469" s="1" t="n">
        <v>45190</v>
      </c>
      <c r="D2469" t="inlineStr">
        <is>
          <t>KALMAR LÄN</t>
        </is>
      </c>
      <c r="E2469" t="inlineStr">
        <is>
          <t>OSKARSHAMN</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41625-2019</t>
        </is>
      </c>
      <c r="B2470" s="1" t="n">
        <v>43699</v>
      </c>
      <c r="C2470" s="1" t="n">
        <v>45190</v>
      </c>
      <c r="D2470" t="inlineStr">
        <is>
          <t>KALMAR LÄN</t>
        </is>
      </c>
      <c r="E2470" t="inlineStr">
        <is>
          <t>MÖNSTERÅS</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41682-2019</t>
        </is>
      </c>
      <c r="B2471" s="1" t="n">
        <v>43699</v>
      </c>
      <c r="C2471" s="1" t="n">
        <v>45190</v>
      </c>
      <c r="D2471" t="inlineStr">
        <is>
          <t>KALMAR LÄN</t>
        </is>
      </c>
      <c r="E2471" t="inlineStr">
        <is>
          <t>KALMAR</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42262-2019</t>
        </is>
      </c>
      <c r="B2472" s="1" t="n">
        <v>43699</v>
      </c>
      <c r="C2472" s="1" t="n">
        <v>45190</v>
      </c>
      <c r="D2472" t="inlineStr">
        <is>
          <t>KALMAR LÄN</t>
        </is>
      </c>
      <c r="E2472" t="inlineStr">
        <is>
          <t>NYBRO</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41842-2019</t>
        </is>
      </c>
      <c r="B2473" s="1" t="n">
        <v>43700</v>
      </c>
      <c r="C2473" s="1" t="n">
        <v>45190</v>
      </c>
      <c r="D2473" t="inlineStr">
        <is>
          <t>KALMAR LÄN</t>
        </is>
      </c>
      <c r="E2473" t="inlineStr">
        <is>
          <t>HULTSFRED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41971-2019</t>
        </is>
      </c>
      <c r="B2474" s="1" t="n">
        <v>43700</v>
      </c>
      <c r="C2474" s="1" t="n">
        <v>45190</v>
      </c>
      <c r="D2474" t="inlineStr">
        <is>
          <t>KALMAR LÄN</t>
        </is>
      </c>
      <c r="E2474" t="inlineStr">
        <is>
          <t>MÖNSTERÅS</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41990-2019</t>
        </is>
      </c>
      <c r="B2475" s="1" t="n">
        <v>43700</v>
      </c>
      <c r="C2475" s="1" t="n">
        <v>45190</v>
      </c>
      <c r="D2475" t="inlineStr">
        <is>
          <t>KALMAR LÄN</t>
        </is>
      </c>
      <c r="E2475" t="inlineStr">
        <is>
          <t>MÖNSTERÅS</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42008-2019</t>
        </is>
      </c>
      <c r="B2476" s="1" t="n">
        <v>43700</v>
      </c>
      <c r="C2476" s="1" t="n">
        <v>45190</v>
      </c>
      <c r="D2476" t="inlineStr">
        <is>
          <t>KALMAR LÄN</t>
        </is>
      </c>
      <c r="E2476" t="inlineStr">
        <is>
          <t>MÖNSTERÅS</t>
        </is>
      </c>
      <c r="G2476" t="n">
        <v>19.3</v>
      </c>
      <c r="H2476" t="n">
        <v>0</v>
      </c>
      <c r="I2476" t="n">
        <v>0</v>
      </c>
      <c r="J2476" t="n">
        <v>0</v>
      </c>
      <c r="K2476" t="n">
        <v>0</v>
      </c>
      <c r="L2476" t="n">
        <v>0</v>
      </c>
      <c r="M2476" t="n">
        <v>0</v>
      </c>
      <c r="N2476" t="n">
        <v>0</v>
      </c>
      <c r="O2476" t="n">
        <v>0</v>
      </c>
      <c r="P2476" t="n">
        <v>0</v>
      </c>
      <c r="Q2476" t="n">
        <v>0</v>
      </c>
      <c r="R2476" s="2" t="inlineStr"/>
    </row>
    <row r="2477" ht="15" customHeight="1">
      <c r="A2477" t="inlineStr">
        <is>
          <t>A 41933-2019</t>
        </is>
      </c>
      <c r="B2477" s="1" t="n">
        <v>43700</v>
      </c>
      <c r="C2477" s="1" t="n">
        <v>45190</v>
      </c>
      <c r="D2477" t="inlineStr">
        <is>
          <t>KALMAR LÄN</t>
        </is>
      </c>
      <c r="E2477" t="inlineStr">
        <is>
          <t>EMMABODA</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42187-2019</t>
        </is>
      </c>
      <c r="B2478" s="1" t="n">
        <v>43702</v>
      </c>
      <c r="C2478" s="1" t="n">
        <v>45190</v>
      </c>
      <c r="D2478" t="inlineStr">
        <is>
          <t>KALMAR LÄN</t>
        </is>
      </c>
      <c r="E2478" t="inlineStr">
        <is>
          <t>KALMAR</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42106-2019</t>
        </is>
      </c>
      <c r="B2479" s="1" t="n">
        <v>43702</v>
      </c>
      <c r="C2479" s="1" t="n">
        <v>45190</v>
      </c>
      <c r="D2479" t="inlineStr">
        <is>
          <t>KALMAR LÄN</t>
        </is>
      </c>
      <c r="E2479" t="inlineStr">
        <is>
          <t>HULTSFRED</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42127-2019</t>
        </is>
      </c>
      <c r="B2480" s="1" t="n">
        <v>43703</v>
      </c>
      <c r="C2480" s="1" t="n">
        <v>45190</v>
      </c>
      <c r="D2480" t="inlineStr">
        <is>
          <t>KALMAR LÄN</t>
        </is>
      </c>
      <c r="E2480" t="inlineStr">
        <is>
          <t>NYBRO</t>
        </is>
      </c>
      <c r="G2480" t="n">
        <v>5.9</v>
      </c>
      <c r="H2480" t="n">
        <v>0</v>
      </c>
      <c r="I2480" t="n">
        <v>0</v>
      </c>
      <c r="J2480" t="n">
        <v>0</v>
      </c>
      <c r="K2480" t="n">
        <v>0</v>
      </c>
      <c r="L2480" t="n">
        <v>0</v>
      </c>
      <c r="M2480" t="n">
        <v>0</v>
      </c>
      <c r="N2480" t="n">
        <v>0</v>
      </c>
      <c r="O2480" t="n">
        <v>0</v>
      </c>
      <c r="P2480" t="n">
        <v>0</v>
      </c>
      <c r="Q2480" t="n">
        <v>0</v>
      </c>
      <c r="R2480" s="2" t="inlineStr"/>
    </row>
    <row r="2481" ht="15" customHeight="1">
      <c r="A2481" t="inlineStr">
        <is>
          <t>A 42180-2019</t>
        </is>
      </c>
      <c r="B2481" s="1" t="n">
        <v>43703</v>
      </c>
      <c r="C2481" s="1" t="n">
        <v>45190</v>
      </c>
      <c r="D2481" t="inlineStr">
        <is>
          <t>KALMAR LÄN</t>
        </is>
      </c>
      <c r="E2481" t="inlineStr">
        <is>
          <t>MÖNSTERÅS</t>
        </is>
      </c>
      <c r="G2481" t="n">
        <v>3.8</v>
      </c>
      <c r="H2481" t="n">
        <v>0</v>
      </c>
      <c r="I2481" t="n">
        <v>0</v>
      </c>
      <c r="J2481" t="n">
        <v>0</v>
      </c>
      <c r="K2481" t="n">
        <v>0</v>
      </c>
      <c r="L2481" t="n">
        <v>0</v>
      </c>
      <c r="M2481" t="n">
        <v>0</v>
      </c>
      <c r="N2481" t="n">
        <v>0</v>
      </c>
      <c r="O2481" t="n">
        <v>0</v>
      </c>
      <c r="P2481" t="n">
        <v>0</v>
      </c>
      <c r="Q2481" t="n">
        <v>0</v>
      </c>
      <c r="R2481" s="2" t="inlineStr"/>
    </row>
    <row r="2482" ht="15" customHeight="1">
      <c r="A2482" t="inlineStr">
        <is>
          <t>A 42221-2019</t>
        </is>
      </c>
      <c r="B2482" s="1" t="n">
        <v>43703</v>
      </c>
      <c r="C2482" s="1" t="n">
        <v>45190</v>
      </c>
      <c r="D2482" t="inlineStr">
        <is>
          <t>KALMAR LÄN</t>
        </is>
      </c>
      <c r="E2482" t="inlineStr">
        <is>
          <t>EMMABODA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42264-2019</t>
        </is>
      </c>
      <c r="B2483" s="1" t="n">
        <v>43703</v>
      </c>
      <c r="C2483" s="1" t="n">
        <v>45190</v>
      </c>
      <c r="D2483" t="inlineStr">
        <is>
          <t>KALMAR LÄN</t>
        </is>
      </c>
      <c r="E2483" t="inlineStr">
        <is>
          <t>HÖGSBY</t>
        </is>
      </c>
      <c r="G2483" t="n">
        <v>4</v>
      </c>
      <c r="H2483" t="n">
        <v>0</v>
      </c>
      <c r="I2483" t="n">
        <v>0</v>
      </c>
      <c r="J2483" t="n">
        <v>0</v>
      </c>
      <c r="K2483" t="n">
        <v>0</v>
      </c>
      <c r="L2483" t="n">
        <v>0</v>
      </c>
      <c r="M2483" t="n">
        <v>0</v>
      </c>
      <c r="N2483" t="n">
        <v>0</v>
      </c>
      <c r="O2483" t="n">
        <v>0</v>
      </c>
      <c r="P2483" t="n">
        <v>0</v>
      </c>
      <c r="Q2483" t="n">
        <v>0</v>
      </c>
      <c r="R2483" s="2" t="inlineStr"/>
    </row>
    <row r="2484" ht="15" customHeight="1">
      <c r="A2484" t="inlineStr">
        <is>
          <t>A 42355-2019</t>
        </is>
      </c>
      <c r="B2484" s="1" t="n">
        <v>43703</v>
      </c>
      <c r="C2484" s="1" t="n">
        <v>45190</v>
      </c>
      <c r="D2484" t="inlineStr">
        <is>
          <t>KALMAR LÄN</t>
        </is>
      </c>
      <c r="E2484" t="inlineStr">
        <is>
          <t>KALMAR</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42184-2019</t>
        </is>
      </c>
      <c r="B2485" s="1" t="n">
        <v>43703</v>
      </c>
      <c r="C2485" s="1" t="n">
        <v>45190</v>
      </c>
      <c r="D2485" t="inlineStr">
        <is>
          <t>KALMAR LÄN</t>
        </is>
      </c>
      <c r="E2485" t="inlineStr">
        <is>
          <t>MÖNSTERÅS</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42200-2019</t>
        </is>
      </c>
      <c r="B2486" s="1" t="n">
        <v>43703</v>
      </c>
      <c r="C2486" s="1" t="n">
        <v>45190</v>
      </c>
      <c r="D2486" t="inlineStr">
        <is>
          <t>KALMAR LÄN</t>
        </is>
      </c>
      <c r="E2486" t="inlineStr">
        <is>
          <t>HULTSFRED</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42142-2019</t>
        </is>
      </c>
      <c r="B2487" s="1" t="n">
        <v>43703</v>
      </c>
      <c r="C2487" s="1" t="n">
        <v>45190</v>
      </c>
      <c r="D2487" t="inlineStr">
        <is>
          <t>KALMAR LÄN</t>
        </is>
      </c>
      <c r="E2487" t="inlineStr">
        <is>
          <t>VIMMERBY</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42219-2019</t>
        </is>
      </c>
      <c r="B2488" s="1" t="n">
        <v>43703</v>
      </c>
      <c r="C2488" s="1" t="n">
        <v>45190</v>
      </c>
      <c r="D2488" t="inlineStr">
        <is>
          <t>KALMAR LÄN</t>
        </is>
      </c>
      <c r="E2488" t="inlineStr">
        <is>
          <t>EMMABODA</t>
        </is>
      </c>
      <c r="G2488" t="n">
        <v>14.9</v>
      </c>
      <c r="H2488" t="n">
        <v>0</v>
      </c>
      <c r="I2488" t="n">
        <v>0</v>
      </c>
      <c r="J2488" t="n">
        <v>0</v>
      </c>
      <c r="K2488" t="n">
        <v>0</v>
      </c>
      <c r="L2488" t="n">
        <v>0</v>
      </c>
      <c r="M2488" t="n">
        <v>0</v>
      </c>
      <c r="N2488" t="n">
        <v>0</v>
      </c>
      <c r="O2488" t="n">
        <v>0</v>
      </c>
      <c r="P2488" t="n">
        <v>0</v>
      </c>
      <c r="Q2488" t="n">
        <v>0</v>
      </c>
      <c r="R2488" s="2" t="inlineStr"/>
    </row>
    <row r="2489" ht="15" customHeight="1">
      <c r="A2489" t="inlineStr">
        <is>
          <t>A 42193-2019</t>
        </is>
      </c>
      <c r="B2489" s="1" t="n">
        <v>43703</v>
      </c>
      <c r="C2489" s="1" t="n">
        <v>45190</v>
      </c>
      <c r="D2489" t="inlineStr">
        <is>
          <t>KALMAR LÄN</t>
        </is>
      </c>
      <c r="E2489" t="inlineStr">
        <is>
          <t>HULTSFRED</t>
        </is>
      </c>
      <c r="G2489" t="n">
        <v>10.9</v>
      </c>
      <c r="H2489" t="n">
        <v>0</v>
      </c>
      <c r="I2489" t="n">
        <v>0</v>
      </c>
      <c r="J2489" t="n">
        <v>0</v>
      </c>
      <c r="K2489" t="n">
        <v>0</v>
      </c>
      <c r="L2489" t="n">
        <v>0</v>
      </c>
      <c r="M2489" t="n">
        <v>0</v>
      </c>
      <c r="N2489" t="n">
        <v>0</v>
      </c>
      <c r="O2489" t="n">
        <v>0</v>
      </c>
      <c r="P2489" t="n">
        <v>0</v>
      </c>
      <c r="Q2489" t="n">
        <v>0</v>
      </c>
      <c r="R2489" s="2" t="inlineStr"/>
    </row>
    <row r="2490" ht="15" customHeight="1">
      <c r="A2490" t="inlineStr">
        <is>
          <t>A 42294-2019</t>
        </is>
      </c>
      <c r="B2490" s="1" t="n">
        <v>43703</v>
      </c>
      <c r="C2490" s="1" t="n">
        <v>45190</v>
      </c>
      <c r="D2490" t="inlineStr">
        <is>
          <t>KALMAR LÄN</t>
        </is>
      </c>
      <c r="E2490" t="inlineStr">
        <is>
          <t>HULTSFRED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42344-2019</t>
        </is>
      </c>
      <c r="B2491" s="1" t="n">
        <v>43703</v>
      </c>
      <c r="C2491" s="1" t="n">
        <v>45190</v>
      </c>
      <c r="D2491" t="inlineStr">
        <is>
          <t>KALMAR LÄN</t>
        </is>
      </c>
      <c r="E2491" t="inlineStr">
        <is>
          <t>OSKARSHAMN</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42568-2019</t>
        </is>
      </c>
      <c r="B2492" s="1" t="n">
        <v>43704</v>
      </c>
      <c r="C2492" s="1" t="n">
        <v>45190</v>
      </c>
      <c r="D2492" t="inlineStr">
        <is>
          <t>KALMAR LÄN</t>
        </is>
      </c>
      <c r="E2492" t="inlineStr">
        <is>
          <t>EMMABODA</t>
        </is>
      </c>
      <c r="G2492" t="n">
        <v>4.9</v>
      </c>
      <c r="H2492" t="n">
        <v>0</v>
      </c>
      <c r="I2492" t="n">
        <v>0</v>
      </c>
      <c r="J2492" t="n">
        <v>0</v>
      </c>
      <c r="K2492" t="n">
        <v>0</v>
      </c>
      <c r="L2492" t="n">
        <v>0</v>
      </c>
      <c r="M2492" t="n">
        <v>0</v>
      </c>
      <c r="N2492" t="n">
        <v>0</v>
      </c>
      <c r="O2492" t="n">
        <v>0</v>
      </c>
      <c r="P2492" t="n">
        <v>0</v>
      </c>
      <c r="Q2492" t="n">
        <v>0</v>
      </c>
      <c r="R2492" s="2" t="inlineStr"/>
    </row>
    <row r="2493" ht="15" customHeight="1">
      <c r="A2493" t="inlineStr">
        <is>
          <t>A 42758-2019</t>
        </is>
      </c>
      <c r="B2493" s="1" t="n">
        <v>43704</v>
      </c>
      <c r="C2493" s="1" t="n">
        <v>45190</v>
      </c>
      <c r="D2493" t="inlineStr">
        <is>
          <t>KALMAR LÄN</t>
        </is>
      </c>
      <c r="E2493" t="inlineStr">
        <is>
          <t>VIMMERBY</t>
        </is>
      </c>
      <c r="G2493" t="n">
        <v>6.2</v>
      </c>
      <c r="H2493" t="n">
        <v>0</v>
      </c>
      <c r="I2493" t="n">
        <v>0</v>
      </c>
      <c r="J2493" t="n">
        <v>0</v>
      </c>
      <c r="K2493" t="n">
        <v>0</v>
      </c>
      <c r="L2493" t="n">
        <v>0</v>
      </c>
      <c r="M2493" t="n">
        <v>0</v>
      </c>
      <c r="N2493" t="n">
        <v>0</v>
      </c>
      <c r="O2493" t="n">
        <v>0</v>
      </c>
      <c r="P2493" t="n">
        <v>0</v>
      </c>
      <c r="Q2493" t="n">
        <v>0</v>
      </c>
      <c r="R2493" s="2" t="inlineStr"/>
    </row>
    <row r="2494" ht="15" customHeight="1">
      <c r="A2494" t="inlineStr">
        <is>
          <t>A 42434-2019</t>
        </is>
      </c>
      <c r="B2494" s="1" t="n">
        <v>43704</v>
      </c>
      <c r="C2494" s="1" t="n">
        <v>45190</v>
      </c>
      <c r="D2494" t="inlineStr">
        <is>
          <t>KALMAR LÄN</t>
        </is>
      </c>
      <c r="E2494" t="inlineStr">
        <is>
          <t>KALMAR</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42545-2019</t>
        </is>
      </c>
      <c r="B2495" s="1" t="n">
        <v>43704</v>
      </c>
      <c r="C2495" s="1" t="n">
        <v>45190</v>
      </c>
      <c r="D2495" t="inlineStr">
        <is>
          <t>KALMAR LÄN</t>
        </is>
      </c>
      <c r="E2495" t="inlineStr">
        <is>
          <t>NYBRO</t>
        </is>
      </c>
      <c r="G2495" t="n">
        <v>6.9</v>
      </c>
      <c r="H2495" t="n">
        <v>0</v>
      </c>
      <c r="I2495" t="n">
        <v>0</v>
      </c>
      <c r="J2495" t="n">
        <v>0</v>
      </c>
      <c r="K2495" t="n">
        <v>0</v>
      </c>
      <c r="L2495" t="n">
        <v>0</v>
      </c>
      <c r="M2495" t="n">
        <v>0</v>
      </c>
      <c r="N2495" t="n">
        <v>0</v>
      </c>
      <c r="O2495" t="n">
        <v>0</v>
      </c>
      <c r="P2495" t="n">
        <v>0</v>
      </c>
      <c r="Q2495" t="n">
        <v>0</v>
      </c>
      <c r="R2495" s="2" t="inlineStr"/>
    </row>
    <row r="2496" ht="15" customHeight="1">
      <c r="A2496" t="inlineStr">
        <is>
          <t>A 42613-2019</t>
        </is>
      </c>
      <c r="B2496" s="1" t="n">
        <v>43704</v>
      </c>
      <c r="C2496" s="1" t="n">
        <v>45190</v>
      </c>
      <c r="D2496" t="inlineStr">
        <is>
          <t>KALMAR LÄN</t>
        </is>
      </c>
      <c r="E2496" t="inlineStr">
        <is>
          <t>NYBRO</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42587-2019</t>
        </is>
      </c>
      <c r="B2497" s="1" t="n">
        <v>43704</v>
      </c>
      <c r="C2497" s="1" t="n">
        <v>45190</v>
      </c>
      <c r="D2497" t="inlineStr">
        <is>
          <t>KALMAR LÄN</t>
        </is>
      </c>
      <c r="E2497" t="inlineStr">
        <is>
          <t>MÖNSTERÅS</t>
        </is>
      </c>
      <c r="G2497" t="n">
        <v>6.4</v>
      </c>
      <c r="H2497" t="n">
        <v>0</v>
      </c>
      <c r="I2497" t="n">
        <v>0</v>
      </c>
      <c r="J2497" t="n">
        <v>0</v>
      </c>
      <c r="K2497" t="n">
        <v>0</v>
      </c>
      <c r="L2497" t="n">
        <v>0</v>
      </c>
      <c r="M2497" t="n">
        <v>0</v>
      </c>
      <c r="N2497" t="n">
        <v>0</v>
      </c>
      <c r="O2497" t="n">
        <v>0</v>
      </c>
      <c r="P2497" t="n">
        <v>0</v>
      </c>
      <c r="Q2497" t="n">
        <v>0</v>
      </c>
      <c r="R2497" s="2" t="inlineStr"/>
    </row>
    <row r="2498" ht="15" customHeight="1">
      <c r="A2498" t="inlineStr">
        <is>
          <t>A 42679-2019</t>
        </is>
      </c>
      <c r="B2498" s="1" t="n">
        <v>43704</v>
      </c>
      <c r="C2498" s="1" t="n">
        <v>45190</v>
      </c>
      <c r="D2498" t="inlineStr">
        <is>
          <t>KALMAR LÄN</t>
        </is>
      </c>
      <c r="E2498" t="inlineStr">
        <is>
          <t>MÖNSTERÅS</t>
        </is>
      </c>
      <c r="G2498" t="n">
        <v>6.5</v>
      </c>
      <c r="H2498" t="n">
        <v>0</v>
      </c>
      <c r="I2498" t="n">
        <v>0</v>
      </c>
      <c r="J2498" t="n">
        <v>0</v>
      </c>
      <c r="K2498" t="n">
        <v>0</v>
      </c>
      <c r="L2498" t="n">
        <v>0</v>
      </c>
      <c r="M2498" t="n">
        <v>0</v>
      </c>
      <c r="N2498" t="n">
        <v>0</v>
      </c>
      <c r="O2498" t="n">
        <v>0</v>
      </c>
      <c r="P2498" t="n">
        <v>0</v>
      </c>
      <c r="Q2498" t="n">
        <v>0</v>
      </c>
      <c r="R2498" s="2" t="inlineStr"/>
    </row>
    <row r="2499" ht="15" customHeight="1">
      <c r="A2499" t="inlineStr">
        <is>
          <t>A 42732-2019</t>
        </is>
      </c>
      <c r="B2499" s="1" t="n">
        <v>43704</v>
      </c>
      <c r="C2499" s="1" t="n">
        <v>45190</v>
      </c>
      <c r="D2499" t="inlineStr">
        <is>
          <t>KALMAR LÄN</t>
        </is>
      </c>
      <c r="E2499" t="inlineStr">
        <is>
          <t>HÖGSBY</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42759-2019</t>
        </is>
      </c>
      <c r="B2500" s="1" t="n">
        <v>43704</v>
      </c>
      <c r="C2500" s="1" t="n">
        <v>45190</v>
      </c>
      <c r="D2500" t="inlineStr">
        <is>
          <t>KALMAR LÄN</t>
        </is>
      </c>
      <c r="E2500" t="inlineStr">
        <is>
          <t>VIMMERBY</t>
        </is>
      </c>
      <c r="G2500" t="n">
        <v>4.6</v>
      </c>
      <c r="H2500" t="n">
        <v>0</v>
      </c>
      <c r="I2500" t="n">
        <v>0</v>
      </c>
      <c r="J2500" t="n">
        <v>0</v>
      </c>
      <c r="K2500" t="n">
        <v>0</v>
      </c>
      <c r="L2500" t="n">
        <v>0</v>
      </c>
      <c r="M2500" t="n">
        <v>0</v>
      </c>
      <c r="N2500" t="n">
        <v>0</v>
      </c>
      <c r="O2500" t="n">
        <v>0</v>
      </c>
      <c r="P2500" t="n">
        <v>0</v>
      </c>
      <c r="Q2500" t="n">
        <v>0</v>
      </c>
      <c r="R2500" s="2" t="inlineStr"/>
    </row>
    <row r="2501" ht="15" customHeight="1">
      <c r="A2501" t="inlineStr">
        <is>
          <t>A 42583-2019</t>
        </is>
      </c>
      <c r="B2501" s="1" t="n">
        <v>43704</v>
      </c>
      <c r="C2501" s="1" t="n">
        <v>45190</v>
      </c>
      <c r="D2501" t="inlineStr">
        <is>
          <t>KALMAR LÄN</t>
        </is>
      </c>
      <c r="E2501" t="inlineStr">
        <is>
          <t>KALMAR</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42737-2019</t>
        </is>
      </c>
      <c r="B2502" s="1" t="n">
        <v>43704</v>
      </c>
      <c r="C2502" s="1" t="n">
        <v>45190</v>
      </c>
      <c r="D2502" t="inlineStr">
        <is>
          <t>KALMAR LÄN</t>
        </is>
      </c>
      <c r="E2502" t="inlineStr">
        <is>
          <t>HÖGSBY</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42947-2019</t>
        </is>
      </c>
      <c r="B2503" s="1" t="n">
        <v>43705</v>
      </c>
      <c r="C2503" s="1" t="n">
        <v>45190</v>
      </c>
      <c r="D2503" t="inlineStr">
        <is>
          <t>KALMAR LÄN</t>
        </is>
      </c>
      <c r="E2503" t="inlineStr">
        <is>
          <t>VIMMERBY</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42975-2019</t>
        </is>
      </c>
      <c r="B2504" s="1" t="n">
        <v>43705</v>
      </c>
      <c r="C2504" s="1" t="n">
        <v>45190</v>
      </c>
      <c r="D2504" t="inlineStr">
        <is>
          <t>KALMAR LÄN</t>
        </is>
      </c>
      <c r="E2504" t="inlineStr">
        <is>
          <t>KALMAR</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43009-2019</t>
        </is>
      </c>
      <c r="B2505" s="1" t="n">
        <v>43705</v>
      </c>
      <c r="C2505" s="1" t="n">
        <v>45190</v>
      </c>
      <c r="D2505" t="inlineStr">
        <is>
          <t>KALMAR LÄN</t>
        </is>
      </c>
      <c r="E2505" t="inlineStr">
        <is>
          <t>MÖNSTERÅS</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43159-2019</t>
        </is>
      </c>
      <c r="B2506" s="1" t="n">
        <v>43705</v>
      </c>
      <c r="C2506" s="1" t="n">
        <v>45190</v>
      </c>
      <c r="D2506" t="inlineStr">
        <is>
          <t>KALMAR LÄN</t>
        </is>
      </c>
      <c r="E2506" t="inlineStr">
        <is>
          <t>KALMAR</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42800-2019</t>
        </is>
      </c>
      <c r="B2507" s="1" t="n">
        <v>43705</v>
      </c>
      <c r="C2507" s="1" t="n">
        <v>45190</v>
      </c>
      <c r="D2507" t="inlineStr">
        <is>
          <t>KALMAR LÄN</t>
        </is>
      </c>
      <c r="E2507" t="inlineStr">
        <is>
          <t>NYBRO</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42976-2019</t>
        </is>
      </c>
      <c r="B2508" s="1" t="n">
        <v>43705</v>
      </c>
      <c r="C2508" s="1" t="n">
        <v>45190</v>
      </c>
      <c r="D2508" t="inlineStr">
        <is>
          <t>KALMAR LÄN</t>
        </is>
      </c>
      <c r="E2508" t="inlineStr">
        <is>
          <t>KALMAR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43084-2019</t>
        </is>
      </c>
      <c r="B2509" s="1" t="n">
        <v>43705</v>
      </c>
      <c r="C2509" s="1" t="n">
        <v>45190</v>
      </c>
      <c r="D2509" t="inlineStr">
        <is>
          <t>KALMAR LÄN</t>
        </is>
      </c>
      <c r="E2509" t="inlineStr">
        <is>
          <t>KALMAR</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43151-2019</t>
        </is>
      </c>
      <c r="B2510" s="1" t="n">
        <v>43705</v>
      </c>
      <c r="C2510" s="1" t="n">
        <v>45190</v>
      </c>
      <c r="D2510" t="inlineStr">
        <is>
          <t>KALMAR LÄN</t>
        </is>
      </c>
      <c r="E2510" t="inlineStr">
        <is>
          <t>TORSÅS</t>
        </is>
      </c>
      <c r="F2510" t="inlineStr">
        <is>
          <t>Övriga Aktiebolag</t>
        </is>
      </c>
      <c r="G2510" t="n">
        <v>8.1</v>
      </c>
      <c r="H2510" t="n">
        <v>0</v>
      </c>
      <c r="I2510" t="n">
        <v>0</v>
      </c>
      <c r="J2510" t="n">
        <v>0</v>
      </c>
      <c r="K2510" t="n">
        <v>0</v>
      </c>
      <c r="L2510" t="n">
        <v>0</v>
      </c>
      <c r="M2510" t="n">
        <v>0</v>
      </c>
      <c r="N2510" t="n">
        <v>0</v>
      </c>
      <c r="O2510" t="n">
        <v>0</v>
      </c>
      <c r="P2510" t="n">
        <v>0</v>
      </c>
      <c r="Q2510" t="n">
        <v>0</v>
      </c>
      <c r="R2510" s="2" t="inlineStr"/>
    </row>
    <row r="2511" ht="15" customHeight="1">
      <c r="A2511" t="inlineStr">
        <is>
          <t>A 43035-2019</t>
        </is>
      </c>
      <c r="B2511" s="1" t="n">
        <v>43705</v>
      </c>
      <c r="C2511" s="1" t="n">
        <v>45190</v>
      </c>
      <c r="D2511" t="inlineStr">
        <is>
          <t>KALMAR LÄN</t>
        </is>
      </c>
      <c r="E2511" t="inlineStr">
        <is>
          <t>HULTSFRED</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44057-2019</t>
        </is>
      </c>
      <c r="B2512" s="1" t="n">
        <v>43705</v>
      </c>
      <c r="C2512" s="1" t="n">
        <v>45190</v>
      </c>
      <c r="D2512" t="inlineStr">
        <is>
          <t>KALMAR LÄN</t>
        </is>
      </c>
      <c r="E2512" t="inlineStr">
        <is>
          <t>NYBRO</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42915-2019</t>
        </is>
      </c>
      <c r="B2513" s="1" t="n">
        <v>43705</v>
      </c>
      <c r="C2513" s="1" t="n">
        <v>45190</v>
      </c>
      <c r="D2513" t="inlineStr">
        <is>
          <t>KALMAR LÄN</t>
        </is>
      </c>
      <c r="E2513" t="inlineStr">
        <is>
          <t>HÖGSBY</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42972-2019</t>
        </is>
      </c>
      <c r="B2514" s="1" t="n">
        <v>43705</v>
      </c>
      <c r="C2514" s="1" t="n">
        <v>45190</v>
      </c>
      <c r="D2514" t="inlineStr">
        <is>
          <t>KALMAR LÄN</t>
        </is>
      </c>
      <c r="E2514" t="inlineStr">
        <is>
          <t>VIMMERBY</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42996-2019</t>
        </is>
      </c>
      <c r="B2515" s="1" t="n">
        <v>43705</v>
      </c>
      <c r="C2515" s="1" t="n">
        <v>45190</v>
      </c>
      <c r="D2515" t="inlineStr">
        <is>
          <t>KALMAR LÄN</t>
        </is>
      </c>
      <c r="E2515" t="inlineStr">
        <is>
          <t>MÖNSTERÅS</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43136-2019</t>
        </is>
      </c>
      <c r="B2516" s="1" t="n">
        <v>43705</v>
      </c>
      <c r="C2516" s="1" t="n">
        <v>45190</v>
      </c>
      <c r="D2516" t="inlineStr">
        <is>
          <t>KALMAR LÄN</t>
        </is>
      </c>
      <c r="E2516" t="inlineStr">
        <is>
          <t>TORSÅS</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43156-2019</t>
        </is>
      </c>
      <c r="B2517" s="1" t="n">
        <v>43705</v>
      </c>
      <c r="C2517" s="1" t="n">
        <v>45190</v>
      </c>
      <c r="D2517" t="inlineStr">
        <is>
          <t>KALMAR LÄN</t>
        </is>
      </c>
      <c r="E2517" t="inlineStr">
        <is>
          <t>TORSÅS</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43165-2019</t>
        </is>
      </c>
      <c r="B2518" s="1" t="n">
        <v>43705</v>
      </c>
      <c r="C2518" s="1" t="n">
        <v>45190</v>
      </c>
      <c r="D2518" t="inlineStr">
        <is>
          <t>KALMAR LÄN</t>
        </is>
      </c>
      <c r="E2518" t="inlineStr">
        <is>
          <t>NYBRO</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43374-2019</t>
        </is>
      </c>
      <c r="B2519" s="1" t="n">
        <v>43706</v>
      </c>
      <c r="C2519" s="1" t="n">
        <v>45190</v>
      </c>
      <c r="D2519" t="inlineStr">
        <is>
          <t>KALMAR LÄN</t>
        </is>
      </c>
      <c r="E2519" t="inlineStr">
        <is>
          <t>EMMABODA</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43323-2019</t>
        </is>
      </c>
      <c r="B2520" s="1" t="n">
        <v>43706</v>
      </c>
      <c r="C2520" s="1" t="n">
        <v>45190</v>
      </c>
      <c r="D2520" t="inlineStr">
        <is>
          <t>KALMAR LÄN</t>
        </is>
      </c>
      <c r="E2520" t="inlineStr">
        <is>
          <t>MÖNSTERÅS</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43364-2019</t>
        </is>
      </c>
      <c r="B2521" s="1" t="n">
        <v>43706</v>
      </c>
      <c r="C2521" s="1" t="n">
        <v>45190</v>
      </c>
      <c r="D2521" t="inlineStr">
        <is>
          <t>KALMAR LÄN</t>
        </is>
      </c>
      <c r="E2521" t="inlineStr">
        <is>
          <t>EMMABODA</t>
        </is>
      </c>
      <c r="G2521" t="n">
        <v>8.699999999999999</v>
      </c>
      <c r="H2521" t="n">
        <v>0</v>
      </c>
      <c r="I2521" t="n">
        <v>0</v>
      </c>
      <c r="J2521" t="n">
        <v>0</v>
      </c>
      <c r="K2521" t="n">
        <v>0</v>
      </c>
      <c r="L2521" t="n">
        <v>0</v>
      </c>
      <c r="M2521" t="n">
        <v>0</v>
      </c>
      <c r="N2521" t="n">
        <v>0</v>
      </c>
      <c r="O2521" t="n">
        <v>0</v>
      </c>
      <c r="P2521" t="n">
        <v>0</v>
      </c>
      <c r="Q2521" t="n">
        <v>0</v>
      </c>
      <c r="R2521" s="2" t="inlineStr"/>
    </row>
    <row r="2522" ht="15" customHeight="1">
      <c r="A2522" t="inlineStr">
        <is>
          <t>A 43218-2019</t>
        </is>
      </c>
      <c r="B2522" s="1" t="n">
        <v>43706</v>
      </c>
      <c r="C2522" s="1" t="n">
        <v>45190</v>
      </c>
      <c r="D2522" t="inlineStr">
        <is>
          <t>KALMAR LÄN</t>
        </is>
      </c>
      <c r="E2522" t="inlineStr">
        <is>
          <t>OSKARSHAMN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43464-2019</t>
        </is>
      </c>
      <c r="B2523" s="1" t="n">
        <v>43706</v>
      </c>
      <c r="C2523" s="1" t="n">
        <v>45190</v>
      </c>
      <c r="D2523" t="inlineStr">
        <is>
          <t>KALMAR LÄN</t>
        </is>
      </c>
      <c r="E2523" t="inlineStr">
        <is>
          <t>MÖNSTERÅS</t>
        </is>
      </c>
      <c r="G2523" t="n">
        <v>4.9</v>
      </c>
      <c r="H2523" t="n">
        <v>0</v>
      </c>
      <c r="I2523" t="n">
        <v>0</v>
      </c>
      <c r="J2523" t="n">
        <v>0</v>
      </c>
      <c r="K2523" t="n">
        <v>0</v>
      </c>
      <c r="L2523" t="n">
        <v>0</v>
      </c>
      <c r="M2523" t="n">
        <v>0</v>
      </c>
      <c r="N2523" t="n">
        <v>0</v>
      </c>
      <c r="O2523" t="n">
        <v>0</v>
      </c>
      <c r="P2523" t="n">
        <v>0</v>
      </c>
      <c r="Q2523" t="n">
        <v>0</v>
      </c>
      <c r="R2523" s="2" t="inlineStr"/>
    </row>
    <row r="2524" ht="15" customHeight="1">
      <c r="A2524" t="inlineStr">
        <is>
          <t>A 44465-2019</t>
        </is>
      </c>
      <c r="B2524" s="1" t="n">
        <v>43706</v>
      </c>
      <c r="C2524" s="1" t="n">
        <v>45190</v>
      </c>
      <c r="D2524" t="inlineStr">
        <is>
          <t>KALMAR LÄN</t>
        </is>
      </c>
      <c r="E2524" t="inlineStr">
        <is>
          <t>NYBRO</t>
        </is>
      </c>
      <c r="G2524" t="n">
        <v>6.5</v>
      </c>
      <c r="H2524" t="n">
        <v>0</v>
      </c>
      <c r="I2524" t="n">
        <v>0</v>
      </c>
      <c r="J2524" t="n">
        <v>0</v>
      </c>
      <c r="K2524" t="n">
        <v>0</v>
      </c>
      <c r="L2524" t="n">
        <v>0</v>
      </c>
      <c r="M2524" t="n">
        <v>0</v>
      </c>
      <c r="N2524" t="n">
        <v>0</v>
      </c>
      <c r="O2524" t="n">
        <v>0</v>
      </c>
      <c r="P2524" t="n">
        <v>0</v>
      </c>
      <c r="Q2524" t="n">
        <v>0</v>
      </c>
      <c r="R2524" s="2" t="inlineStr"/>
    </row>
    <row r="2525" ht="15" customHeight="1">
      <c r="A2525" t="inlineStr">
        <is>
          <t>A 43452-2019</t>
        </is>
      </c>
      <c r="B2525" s="1" t="n">
        <v>43706</v>
      </c>
      <c r="C2525" s="1" t="n">
        <v>45190</v>
      </c>
      <c r="D2525" t="inlineStr">
        <is>
          <t>KALMAR LÄN</t>
        </is>
      </c>
      <c r="E2525" t="inlineStr">
        <is>
          <t>MÖNSTERÅS</t>
        </is>
      </c>
      <c r="G2525" t="n">
        <v>10.3</v>
      </c>
      <c r="H2525" t="n">
        <v>0</v>
      </c>
      <c r="I2525" t="n">
        <v>0</v>
      </c>
      <c r="J2525" t="n">
        <v>0</v>
      </c>
      <c r="K2525" t="n">
        <v>0</v>
      </c>
      <c r="L2525" t="n">
        <v>0</v>
      </c>
      <c r="M2525" t="n">
        <v>0</v>
      </c>
      <c r="N2525" t="n">
        <v>0</v>
      </c>
      <c r="O2525" t="n">
        <v>0</v>
      </c>
      <c r="P2525" t="n">
        <v>0</v>
      </c>
      <c r="Q2525" t="n">
        <v>0</v>
      </c>
      <c r="R2525" s="2" t="inlineStr"/>
    </row>
    <row r="2526" ht="15" customHeight="1">
      <c r="A2526" t="inlineStr">
        <is>
          <t>A 43585-2019</t>
        </is>
      </c>
      <c r="B2526" s="1" t="n">
        <v>43706</v>
      </c>
      <c r="C2526" s="1" t="n">
        <v>45190</v>
      </c>
      <c r="D2526" t="inlineStr">
        <is>
          <t>KALMAR LÄN</t>
        </is>
      </c>
      <c r="E2526" t="inlineStr">
        <is>
          <t>KALMAR</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43702-2019</t>
        </is>
      </c>
      <c r="B2527" s="1" t="n">
        <v>43707</v>
      </c>
      <c r="C2527" s="1" t="n">
        <v>45190</v>
      </c>
      <c r="D2527" t="inlineStr">
        <is>
          <t>KALMAR LÄN</t>
        </is>
      </c>
      <c r="E2527" t="inlineStr">
        <is>
          <t>HÖGSBY</t>
        </is>
      </c>
      <c r="F2527" t="inlineStr">
        <is>
          <t>Sveaskog</t>
        </is>
      </c>
      <c r="G2527" t="n">
        <v>9.9</v>
      </c>
      <c r="H2527" t="n">
        <v>0</v>
      </c>
      <c r="I2527" t="n">
        <v>0</v>
      </c>
      <c r="J2527" t="n">
        <v>0</v>
      </c>
      <c r="K2527" t="n">
        <v>0</v>
      </c>
      <c r="L2527" t="n">
        <v>0</v>
      </c>
      <c r="M2527" t="n">
        <v>0</v>
      </c>
      <c r="N2527" t="n">
        <v>0</v>
      </c>
      <c r="O2527" t="n">
        <v>0</v>
      </c>
      <c r="P2527" t="n">
        <v>0</v>
      </c>
      <c r="Q2527" t="n">
        <v>0</v>
      </c>
      <c r="R2527" s="2" t="inlineStr"/>
    </row>
    <row r="2528" ht="15" customHeight="1">
      <c r="A2528" t="inlineStr">
        <is>
          <t>A 43817-2019</t>
        </is>
      </c>
      <c r="B2528" s="1" t="n">
        <v>43707</v>
      </c>
      <c r="C2528" s="1" t="n">
        <v>45190</v>
      </c>
      <c r="D2528" t="inlineStr">
        <is>
          <t>KALMAR LÄN</t>
        </is>
      </c>
      <c r="E2528" t="inlineStr">
        <is>
          <t>KALMAR</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43875-2019</t>
        </is>
      </c>
      <c r="B2529" s="1" t="n">
        <v>43707</v>
      </c>
      <c r="C2529" s="1" t="n">
        <v>45190</v>
      </c>
      <c r="D2529" t="inlineStr">
        <is>
          <t>KALMAR LÄN</t>
        </is>
      </c>
      <c r="E2529" t="inlineStr">
        <is>
          <t>HULTSFRED</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43839-2019</t>
        </is>
      </c>
      <c r="B2530" s="1" t="n">
        <v>43707</v>
      </c>
      <c r="C2530" s="1" t="n">
        <v>45190</v>
      </c>
      <c r="D2530" t="inlineStr">
        <is>
          <t>KALMAR LÄN</t>
        </is>
      </c>
      <c r="E2530" t="inlineStr">
        <is>
          <t>OSKARSHAMN</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43754-2019</t>
        </is>
      </c>
      <c r="B2531" s="1" t="n">
        <v>43707</v>
      </c>
      <c r="C2531" s="1" t="n">
        <v>45190</v>
      </c>
      <c r="D2531" t="inlineStr">
        <is>
          <t>KALMAR LÄN</t>
        </is>
      </c>
      <c r="E2531" t="inlineStr">
        <is>
          <t>HULTSFRED</t>
        </is>
      </c>
      <c r="G2531" t="n">
        <v>3.5</v>
      </c>
      <c r="H2531" t="n">
        <v>0</v>
      </c>
      <c r="I2531" t="n">
        <v>0</v>
      </c>
      <c r="J2531" t="n">
        <v>0</v>
      </c>
      <c r="K2531" t="n">
        <v>0</v>
      </c>
      <c r="L2531" t="n">
        <v>0</v>
      </c>
      <c r="M2531" t="n">
        <v>0</v>
      </c>
      <c r="N2531" t="n">
        <v>0</v>
      </c>
      <c r="O2531" t="n">
        <v>0</v>
      </c>
      <c r="P2531" t="n">
        <v>0</v>
      </c>
      <c r="Q2531" t="n">
        <v>0</v>
      </c>
      <c r="R2531" s="2" t="inlineStr"/>
    </row>
    <row r="2532" ht="15" customHeight="1">
      <c r="A2532" t="inlineStr">
        <is>
          <t>A 43983-2019</t>
        </is>
      </c>
      <c r="B2532" s="1" t="n">
        <v>43709</v>
      </c>
      <c r="C2532" s="1" t="n">
        <v>45190</v>
      </c>
      <c r="D2532" t="inlineStr">
        <is>
          <t>KALMAR LÄN</t>
        </is>
      </c>
      <c r="E2532" t="inlineStr">
        <is>
          <t>NYBRO</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43980-2019</t>
        </is>
      </c>
      <c r="B2533" s="1" t="n">
        <v>43709</v>
      </c>
      <c r="C2533" s="1" t="n">
        <v>45190</v>
      </c>
      <c r="D2533" t="inlineStr">
        <is>
          <t>KALMAR LÄN</t>
        </is>
      </c>
      <c r="E2533" t="inlineStr">
        <is>
          <t>OSKARSHAMN</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44183-2019</t>
        </is>
      </c>
      <c r="B2534" s="1" t="n">
        <v>43710</v>
      </c>
      <c r="C2534" s="1" t="n">
        <v>45190</v>
      </c>
      <c r="D2534" t="inlineStr">
        <is>
          <t>KALMAR LÄN</t>
        </is>
      </c>
      <c r="E2534" t="inlineStr">
        <is>
          <t>TORSÅS</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44192-2019</t>
        </is>
      </c>
      <c r="B2535" s="1" t="n">
        <v>43710</v>
      </c>
      <c r="C2535" s="1" t="n">
        <v>45190</v>
      </c>
      <c r="D2535" t="inlineStr">
        <is>
          <t>KALMAR LÄN</t>
        </is>
      </c>
      <c r="E2535" t="inlineStr">
        <is>
          <t>TORSÅS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44202-2019</t>
        </is>
      </c>
      <c r="B2536" s="1" t="n">
        <v>43710</v>
      </c>
      <c r="C2536" s="1" t="n">
        <v>45190</v>
      </c>
      <c r="D2536" t="inlineStr">
        <is>
          <t>KALMAR LÄN</t>
        </is>
      </c>
      <c r="E2536" t="inlineStr">
        <is>
          <t>VIMMERBY</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44179-2019</t>
        </is>
      </c>
      <c r="B2537" s="1" t="n">
        <v>43710</v>
      </c>
      <c r="C2537" s="1" t="n">
        <v>45190</v>
      </c>
      <c r="D2537" t="inlineStr">
        <is>
          <t>KALMAR LÄN</t>
        </is>
      </c>
      <c r="E2537" t="inlineStr">
        <is>
          <t>TORSÅS</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44238-2019</t>
        </is>
      </c>
      <c r="B2538" s="1" t="n">
        <v>43710</v>
      </c>
      <c r="C2538" s="1" t="n">
        <v>45190</v>
      </c>
      <c r="D2538" t="inlineStr">
        <is>
          <t>KALMAR LÄN</t>
        </is>
      </c>
      <c r="E2538" t="inlineStr">
        <is>
          <t>HULTSFRED</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45381-2019</t>
        </is>
      </c>
      <c r="B2539" s="1" t="n">
        <v>43710</v>
      </c>
      <c r="C2539" s="1" t="n">
        <v>45190</v>
      </c>
      <c r="D2539" t="inlineStr">
        <is>
          <t>KALMAR LÄN</t>
        </is>
      </c>
      <c r="E2539" t="inlineStr">
        <is>
          <t>NYBRO</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44154-2019</t>
        </is>
      </c>
      <c r="B2540" s="1" t="n">
        <v>43710</v>
      </c>
      <c r="C2540" s="1" t="n">
        <v>45190</v>
      </c>
      <c r="D2540" t="inlineStr">
        <is>
          <t>KALMAR LÄN</t>
        </is>
      </c>
      <c r="E2540" t="inlineStr">
        <is>
          <t>KALMAR</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44193-2019</t>
        </is>
      </c>
      <c r="B2541" s="1" t="n">
        <v>43710</v>
      </c>
      <c r="C2541" s="1" t="n">
        <v>45190</v>
      </c>
      <c r="D2541" t="inlineStr">
        <is>
          <t>KALMAR LÄN</t>
        </is>
      </c>
      <c r="E2541" t="inlineStr">
        <is>
          <t>TORSÅS</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45312-2019</t>
        </is>
      </c>
      <c r="B2542" s="1" t="n">
        <v>43710</v>
      </c>
      <c r="C2542" s="1" t="n">
        <v>45190</v>
      </c>
      <c r="D2542" t="inlineStr">
        <is>
          <t>KALMAR LÄN</t>
        </is>
      </c>
      <c r="E2542" t="inlineStr">
        <is>
          <t>NYBRO</t>
        </is>
      </c>
      <c r="G2542" t="n">
        <v>2.8</v>
      </c>
      <c r="H2542" t="n">
        <v>0</v>
      </c>
      <c r="I2542" t="n">
        <v>0</v>
      </c>
      <c r="J2542" t="n">
        <v>0</v>
      </c>
      <c r="K2542" t="n">
        <v>0</v>
      </c>
      <c r="L2542" t="n">
        <v>0</v>
      </c>
      <c r="M2542" t="n">
        <v>0</v>
      </c>
      <c r="N2542" t="n">
        <v>0</v>
      </c>
      <c r="O2542" t="n">
        <v>0</v>
      </c>
      <c r="P2542" t="n">
        <v>0</v>
      </c>
      <c r="Q2542" t="n">
        <v>0</v>
      </c>
      <c r="R2542" s="2" t="inlineStr"/>
    </row>
    <row r="2543" ht="15" customHeight="1">
      <c r="A2543" t="inlineStr">
        <is>
          <t>A 44352-2019</t>
        </is>
      </c>
      <c r="B2543" s="1" t="n">
        <v>43711</v>
      </c>
      <c r="C2543" s="1" t="n">
        <v>45190</v>
      </c>
      <c r="D2543" t="inlineStr">
        <is>
          <t>KALMAR LÄN</t>
        </is>
      </c>
      <c r="E2543" t="inlineStr">
        <is>
          <t>HÖGSBY</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44432-2019</t>
        </is>
      </c>
      <c r="B2544" s="1" t="n">
        <v>43711</v>
      </c>
      <c r="C2544" s="1" t="n">
        <v>45190</v>
      </c>
      <c r="D2544" t="inlineStr">
        <is>
          <t>KALMAR LÄN</t>
        </is>
      </c>
      <c r="E2544" t="inlineStr">
        <is>
          <t>EMMABODA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44467-2019</t>
        </is>
      </c>
      <c r="B2545" s="1" t="n">
        <v>43711</v>
      </c>
      <c r="C2545" s="1" t="n">
        <v>45190</v>
      </c>
      <c r="D2545" t="inlineStr">
        <is>
          <t>KALMAR LÄN</t>
        </is>
      </c>
      <c r="E2545" t="inlineStr">
        <is>
          <t>VÄSTERVIK</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44579-2019</t>
        </is>
      </c>
      <c r="B2546" s="1" t="n">
        <v>43711</v>
      </c>
      <c r="C2546" s="1" t="n">
        <v>45190</v>
      </c>
      <c r="D2546" t="inlineStr">
        <is>
          <t>KALMAR LÄN</t>
        </is>
      </c>
      <c r="E2546" t="inlineStr">
        <is>
          <t>TORSÅS</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44602-2019</t>
        </is>
      </c>
      <c r="B2547" s="1" t="n">
        <v>43711</v>
      </c>
      <c r="C2547" s="1" t="n">
        <v>45190</v>
      </c>
      <c r="D2547" t="inlineStr">
        <is>
          <t>KALMAR LÄN</t>
        </is>
      </c>
      <c r="E2547" t="inlineStr">
        <is>
          <t>EMMABODA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45624-2019</t>
        </is>
      </c>
      <c r="B2548" s="1" t="n">
        <v>43711</v>
      </c>
      <c r="C2548" s="1" t="n">
        <v>45190</v>
      </c>
      <c r="D2548" t="inlineStr">
        <is>
          <t>KALMAR LÄN</t>
        </is>
      </c>
      <c r="E2548" t="inlineStr">
        <is>
          <t>MÖNSTERÅS</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44476-2019</t>
        </is>
      </c>
      <c r="B2549" s="1" t="n">
        <v>43711</v>
      </c>
      <c r="C2549" s="1" t="n">
        <v>45190</v>
      </c>
      <c r="D2549" t="inlineStr">
        <is>
          <t>KALMAR LÄN</t>
        </is>
      </c>
      <c r="E2549" t="inlineStr">
        <is>
          <t>KALMAR</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44600-2019</t>
        </is>
      </c>
      <c r="B2550" s="1" t="n">
        <v>43711</v>
      </c>
      <c r="C2550" s="1" t="n">
        <v>45190</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44650-2019</t>
        </is>
      </c>
      <c r="B2551" s="1" t="n">
        <v>43712</v>
      </c>
      <c r="C2551" s="1" t="n">
        <v>45190</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44685-2019</t>
        </is>
      </c>
      <c r="B2552" s="1" t="n">
        <v>43712</v>
      </c>
      <c r="C2552" s="1" t="n">
        <v>45190</v>
      </c>
      <c r="D2552" t="inlineStr">
        <is>
          <t>KALMAR LÄN</t>
        </is>
      </c>
      <c r="E2552" t="inlineStr">
        <is>
          <t>KALMAR</t>
        </is>
      </c>
      <c r="G2552" t="n">
        <v>3.9</v>
      </c>
      <c r="H2552" t="n">
        <v>0</v>
      </c>
      <c r="I2552" t="n">
        <v>0</v>
      </c>
      <c r="J2552" t="n">
        <v>0</v>
      </c>
      <c r="K2552" t="n">
        <v>0</v>
      </c>
      <c r="L2552" t="n">
        <v>0</v>
      </c>
      <c r="M2552" t="n">
        <v>0</v>
      </c>
      <c r="N2552" t="n">
        <v>0</v>
      </c>
      <c r="O2552" t="n">
        <v>0</v>
      </c>
      <c r="P2552" t="n">
        <v>0</v>
      </c>
      <c r="Q2552" t="n">
        <v>0</v>
      </c>
      <c r="R2552" s="2" t="inlineStr"/>
    </row>
    <row r="2553" ht="15" customHeight="1">
      <c r="A2553" t="inlineStr">
        <is>
          <t>A 44654-2019</t>
        </is>
      </c>
      <c r="B2553" s="1" t="n">
        <v>43712</v>
      </c>
      <c r="C2553" s="1" t="n">
        <v>45190</v>
      </c>
      <c r="D2553" t="inlineStr">
        <is>
          <t>KALMAR LÄN</t>
        </is>
      </c>
      <c r="E2553" t="inlineStr">
        <is>
          <t>TORSÅS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44760-2019</t>
        </is>
      </c>
      <c r="B2554" s="1" t="n">
        <v>43712</v>
      </c>
      <c r="C2554" s="1" t="n">
        <v>45190</v>
      </c>
      <c r="D2554" t="inlineStr">
        <is>
          <t>KALMAR LÄN</t>
        </is>
      </c>
      <c r="E2554" t="inlineStr">
        <is>
          <t>HÖGSBY</t>
        </is>
      </c>
      <c r="G2554" t="n">
        <v>2.5</v>
      </c>
      <c r="H2554" t="n">
        <v>0</v>
      </c>
      <c r="I2554" t="n">
        <v>0</v>
      </c>
      <c r="J2554" t="n">
        <v>0</v>
      </c>
      <c r="K2554" t="n">
        <v>0</v>
      </c>
      <c r="L2554" t="n">
        <v>0</v>
      </c>
      <c r="M2554" t="n">
        <v>0</v>
      </c>
      <c r="N2554" t="n">
        <v>0</v>
      </c>
      <c r="O2554" t="n">
        <v>0</v>
      </c>
      <c r="P2554" t="n">
        <v>0</v>
      </c>
      <c r="Q2554" t="n">
        <v>0</v>
      </c>
      <c r="R2554" s="2" t="inlineStr"/>
    </row>
    <row r="2555" ht="15" customHeight="1">
      <c r="A2555" t="inlineStr">
        <is>
          <t>A 44616-2019</t>
        </is>
      </c>
      <c r="B2555" s="1" t="n">
        <v>43712</v>
      </c>
      <c r="C2555" s="1" t="n">
        <v>45190</v>
      </c>
      <c r="D2555" t="inlineStr">
        <is>
          <t>KALMAR LÄN</t>
        </is>
      </c>
      <c r="E2555" t="inlineStr">
        <is>
          <t>HULTSFRED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44630-2019</t>
        </is>
      </c>
      <c r="B2556" s="1" t="n">
        <v>43712</v>
      </c>
      <c r="C2556" s="1" t="n">
        <v>45190</v>
      </c>
      <c r="D2556" t="inlineStr">
        <is>
          <t>KALMAR LÄN</t>
        </is>
      </c>
      <c r="E2556" t="inlineStr">
        <is>
          <t>VIMMERBY</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44661-2019</t>
        </is>
      </c>
      <c r="B2557" s="1" t="n">
        <v>43712</v>
      </c>
      <c r="C2557" s="1" t="n">
        <v>45190</v>
      </c>
      <c r="D2557" t="inlineStr">
        <is>
          <t>KALMAR LÄN</t>
        </is>
      </c>
      <c r="E2557" t="inlineStr">
        <is>
          <t>TORSÅS</t>
        </is>
      </c>
      <c r="F2557" t="inlineStr">
        <is>
          <t>Övriga Aktiebolag</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44775-2019</t>
        </is>
      </c>
      <c r="B2558" s="1" t="n">
        <v>43712</v>
      </c>
      <c r="C2558" s="1" t="n">
        <v>45190</v>
      </c>
      <c r="D2558" t="inlineStr">
        <is>
          <t>KALMAR LÄN</t>
        </is>
      </c>
      <c r="E2558" t="inlineStr">
        <is>
          <t>HULTSFRED</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44639-2019</t>
        </is>
      </c>
      <c r="B2559" s="1" t="n">
        <v>43712</v>
      </c>
      <c r="C2559" s="1" t="n">
        <v>45190</v>
      </c>
      <c r="D2559" t="inlineStr">
        <is>
          <t>KALMAR LÄN</t>
        </is>
      </c>
      <c r="E2559" t="inlineStr">
        <is>
          <t>VÄSTERVIK</t>
        </is>
      </c>
      <c r="F2559" t="inlineStr">
        <is>
          <t>Övriga Aktiebolag</t>
        </is>
      </c>
      <c r="G2559" t="n">
        <v>5.9</v>
      </c>
      <c r="H2559" t="n">
        <v>0</v>
      </c>
      <c r="I2559" t="n">
        <v>0</v>
      </c>
      <c r="J2559" t="n">
        <v>0</v>
      </c>
      <c r="K2559" t="n">
        <v>0</v>
      </c>
      <c r="L2559" t="n">
        <v>0</v>
      </c>
      <c r="M2559" t="n">
        <v>0</v>
      </c>
      <c r="N2559" t="n">
        <v>0</v>
      </c>
      <c r="O2559" t="n">
        <v>0</v>
      </c>
      <c r="P2559" t="n">
        <v>0</v>
      </c>
      <c r="Q2559" t="n">
        <v>0</v>
      </c>
      <c r="R2559" s="2" t="inlineStr"/>
    </row>
    <row r="2560" ht="15" customHeight="1">
      <c r="A2560" t="inlineStr">
        <is>
          <t>A 44682-2019</t>
        </is>
      </c>
      <c r="B2560" s="1" t="n">
        <v>43712</v>
      </c>
      <c r="C2560" s="1" t="n">
        <v>45190</v>
      </c>
      <c r="D2560" t="inlineStr">
        <is>
          <t>KALMAR LÄN</t>
        </is>
      </c>
      <c r="E2560" t="inlineStr">
        <is>
          <t>KALMAR</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44713-2019</t>
        </is>
      </c>
      <c r="B2561" s="1" t="n">
        <v>43712</v>
      </c>
      <c r="C2561" s="1" t="n">
        <v>45190</v>
      </c>
      <c r="D2561" t="inlineStr">
        <is>
          <t>KALMAR LÄN</t>
        </is>
      </c>
      <c r="E2561" t="inlineStr">
        <is>
          <t>TORSÅS</t>
        </is>
      </c>
      <c r="G2561" t="n">
        <v>22.6</v>
      </c>
      <c r="H2561" t="n">
        <v>0</v>
      </c>
      <c r="I2561" t="n">
        <v>0</v>
      </c>
      <c r="J2561" t="n">
        <v>0</v>
      </c>
      <c r="K2561" t="n">
        <v>0</v>
      </c>
      <c r="L2561" t="n">
        <v>0</v>
      </c>
      <c r="M2561" t="n">
        <v>0</v>
      </c>
      <c r="N2561" t="n">
        <v>0</v>
      </c>
      <c r="O2561" t="n">
        <v>0</v>
      </c>
      <c r="P2561" t="n">
        <v>0</v>
      </c>
      <c r="Q2561" t="n">
        <v>0</v>
      </c>
      <c r="R2561" s="2" t="inlineStr"/>
    </row>
    <row r="2562" ht="15" customHeight="1">
      <c r="A2562" t="inlineStr">
        <is>
          <t>A 44755-2019</t>
        </is>
      </c>
      <c r="B2562" s="1" t="n">
        <v>43712</v>
      </c>
      <c r="C2562" s="1" t="n">
        <v>45190</v>
      </c>
      <c r="D2562" t="inlineStr">
        <is>
          <t>KALMAR LÄN</t>
        </is>
      </c>
      <c r="E2562" t="inlineStr">
        <is>
          <t>KALMAR</t>
        </is>
      </c>
      <c r="G2562" t="n">
        <v>7</v>
      </c>
      <c r="H2562" t="n">
        <v>0</v>
      </c>
      <c r="I2562" t="n">
        <v>0</v>
      </c>
      <c r="J2562" t="n">
        <v>0</v>
      </c>
      <c r="K2562" t="n">
        <v>0</v>
      </c>
      <c r="L2562" t="n">
        <v>0</v>
      </c>
      <c r="M2562" t="n">
        <v>0</v>
      </c>
      <c r="N2562" t="n">
        <v>0</v>
      </c>
      <c r="O2562" t="n">
        <v>0</v>
      </c>
      <c r="P2562" t="n">
        <v>0</v>
      </c>
      <c r="Q2562" t="n">
        <v>0</v>
      </c>
      <c r="R2562" s="2" t="inlineStr"/>
    </row>
    <row r="2563" ht="15" customHeight="1">
      <c r="A2563" t="inlineStr">
        <is>
          <t>A 44761-2019</t>
        </is>
      </c>
      <c r="B2563" s="1" t="n">
        <v>43712</v>
      </c>
      <c r="C2563" s="1" t="n">
        <v>45190</v>
      </c>
      <c r="D2563" t="inlineStr">
        <is>
          <t>KALMAR LÄN</t>
        </is>
      </c>
      <c r="E2563" t="inlineStr">
        <is>
          <t>KALMAR</t>
        </is>
      </c>
      <c r="G2563" t="n">
        <v>0.8</v>
      </c>
      <c r="H2563" t="n">
        <v>0</v>
      </c>
      <c r="I2563" t="n">
        <v>0</v>
      </c>
      <c r="J2563" t="n">
        <v>0</v>
      </c>
      <c r="K2563" t="n">
        <v>0</v>
      </c>
      <c r="L2563" t="n">
        <v>0</v>
      </c>
      <c r="M2563" t="n">
        <v>0</v>
      </c>
      <c r="N2563" t="n">
        <v>0</v>
      </c>
      <c r="O2563" t="n">
        <v>0</v>
      </c>
      <c r="P2563" t="n">
        <v>0</v>
      </c>
      <c r="Q2563" t="n">
        <v>0</v>
      </c>
      <c r="R2563" s="2" t="inlineStr"/>
      <c r="U2563">
        <f>HYPERLINK("https://klasma.github.io/Logging_KALMAR/knärot/A 44761-2019.png", "A 44761-2019")</f>
        <v/>
      </c>
      <c r="V2563">
        <f>HYPERLINK("https://klasma.github.io/Logging_KALMAR/klagomål/A 44761-2019.docx", "A 44761-2019")</f>
        <v/>
      </c>
      <c r="W2563">
        <f>HYPERLINK("https://klasma.github.io/Logging_KALMAR/klagomålsmail/A 44761-2019.docx", "A 44761-2019")</f>
        <v/>
      </c>
      <c r="X2563">
        <f>HYPERLINK("https://klasma.github.io/Logging_KALMAR/tillsyn/A 44761-2019.docx", "A 44761-2019")</f>
        <v/>
      </c>
      <c r="Y2563">
        <f>HYPERLINK("https://klasma.github.io/Logging_KALMAR/tillsynsmail/A 44761-2019.docx", "A 44761-2019")</f>
        <v/>
      </c>
    </row>
    <row r="2564" ht="15" customHeight="1">
      <c r="A2564" t="inlineStr">
        <is>
          <t>A 46173-2019</t>
        </is>
      </c>
      <c r="B2564" s="1" t="n">
        <v>43712</v>
      </c>
      <c r="C2564" s="1" t="n">
        <v>45190</v>
      </c>
      <c r="D2564" t="inlineStr">
        <is>
          <t>KALMAR LÄN</t>
        </is>
      </c>
      <c r="E2564" t="inlineStr">
        <is>
          <t>VÄSTERVIK</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44924-2019</t>
        </is>
      </c>
      <c r="B2565" s="1" t="n">
        <v>43713</v>
      </c>
      <c r="C2565" s="1" t="n">
        <v>45190</v>
      </c>
      <c r="D2565" t="inlineStr">
        <is>
          <t>KALMAR LÄN</t>
        </is>
      </c>
      <c r="E2565" t="inlineStr">
        <is>
          <t>OSKARSHAMN</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45011-2019</t>
        </is>
      </c>
      <c r="B2566" s="1" t="n">
        <v>43713</v>
      </c>
      <c r="C2566" s="1" t="n">
        <v>45190</v>
      </c>
      <c r="D2566" t="inlineStr">
        <is>
          <t>KALMAR LÄN</t>
        </is>
      </c>
      <c r="E2566" t="inlineStr">
        <is>
          <t>NYBRO</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45162-2019</t>
        </is>
      </c>
      <c r="B2567" s="1" t="n">
        <v>43713</v>
      </c>
      <c r="C2567" s="1" t="n">
        <v>45190</v>
      </c>
      <c r="D2567" t="inlineStr">
        <is>
          <t>KALMAR LÄN</t>
        </is>
      </c>
      <c r="E2567" t="inlineStr">
        <is>
          <t>VÄSTERVIK</t>
        </is>
      </c>
      <c r="F2567" t="inlineStr">
        <is>
          <t>Holmen skog AB</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45256-2019</t>
        </is>
      </c>
      <c r="B2568" s="1" t="n">
        <v>43713</v>
      </c>
      <c r="C2568" s="1" t="n">
        <v>45190</v>
      </c>
      <c r="D2568" t="inlineStr">
        <is>
          <t>KALMAR LÄN</t>
        </is>
      </c>
      <c r="E2568" t="inlineStr">
        <is>
          <t>TORSÅS</t>
        </is>
      </c>
      <c r="G2568" t="n">
        <v>5.4</v>
      </c>
      <c r="H2568" t="n">
        <v>0</v>
      </c>
      <c r="I2568" t="n">
        <v>0</v>
      </c>
      <c r="J2568" t="n">
        <v>0</v>
      </c>
      <c r="K2568" t="n">
        <v>0</v>
      </c>
      <c r="L2568" t="n">
        <v>0</v>
      </c>
      <c r="M2568" t="n">
        <v>0</v>
      </c>
      <c r="N2568" t="n">
        <v>0</v>
      </c>
      <c r="O2568" t="n">
        <v>0</v>
      </c>
      <c r="P2568" t="n">
        <v>0</v>
      </c>
      <c r="Q2568" t="n">
        <v>0</v>
      </c>
      <c r="R2568" s="2" t="inlineStr"/>
    </row>
    <row r="2569" ht="15" customHeight="1">
      <c r="A2569" t="inlineStr">
        <is>
          <t>A 45108-2019</t>
        </is>
      </c>
      <c r="B2569" s="1" t="n">
        <v>43713</v>
      </c>
      <c r="C2569" s="1" t="n">
        <v>45190</v>
      </c>
      <c r="D2569" t="inlineStr">
        <is>
          <t>KALMAR LÄN</t>
        </is>
      </c>
      <c r="E2569" t="inlineStr">
        <is>
          <t>HULTSFRED</t>
        </is>
      </c>
      <c r="F2569" t="inlineStr">
        <is>
          <t>Sveaskog</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45103-2019</t>
        </is>
      </c>
      <c r="B2570" s="1" t="n">
        <v>43713</v>
      </c>
      <c r="C2570" s="1" t="n">
        <v>45190</v>
      </c>
      <c r="D2570" t="inlineStr">
        <is>
          <t>KALMAR LÄN</t>
        </is>
      </c>
      <c r="E2570" t="inlineStr">
        <is>
          <t>HULTSFRED</t>
        </is>
      </c>
      <c r="F2570" t="inlineStr">
        <is>
          <t>Sveaskog</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45223-2019</t>
        </is>
      </c>
      <c r="B2571" s="1" t="n">
        <v>43713</v>
      </c>
      <c r="C2571" s="1" t="n">
        <v>45190</v>
      </c>
      <c r="D2571" t="inlineStr">
        <is>
          <t>KALMAR LÄN</t>
        </is>
      </c>
      <c r="E2571" t="inlineStr">
        <is>
          <t>KALMAR</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45232-2019</t>
        </is>
      </c>
      <c r="B2572" s="1" t="n">
        <v>43713</v>
      </c>
      <c r="C2572" s="1" t="n">
        <v>45190</v>
      </c>
      <c r="D2572" t="inlineStr">
        <is>
          <t>KALMAR LÄN</t>
        </is>
      </c>
      <c r="E2572" t="inlineStr">
        <is>
          <t>NYBRO</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45386-2019</t>
        </is>
      </c>
      <c r="B2573" s="1" t="n">
        <v>43713</v>
      </c>
      <c r="C2573" s="1" t="n">
        <v>45190</v>
      </c>
      <c r="D2573" t="inlineStr">
        <is>
          <t>KALMAR LÄN</t>
        </is>
      </c>
      <c r="E2573" t="inlineStr">
        <is>
          <t>VÄSTERVIK</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45101-2019</t>
        </is>
      </c>
      <c r="B2574" s="1" t="n">
        <v>43713</v>
      </c>
      <c r="C2574" s="1" t="n">
        <v>45190</v>
      </c>
      <c r="D2574" t="inlineStr">
        <is>
          <t>KALMAR LÄN</t>
        </is>
      </c>
      <c r="E2574" t="inlineStr">
        <is>
          <t>HULTSFRED</t>
        </is>
      </c>
      <c r="F2574" t="inlineStr">
        <is>
          <t>Sveaskog</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45210-2019</t>
        </is>
      </c>
      <c r="B2575" s="1" t="n">
        <v>43713</v>
      </c>
      <c r="C2575" s="1" t="n">
        <v>45190</v>
      </c>
      <c r="D2575" t="inlineStr">
        <is>
          <t>KALMAR LÄN</t>
        </is>
      </c>
      <c r="E2575" t="inlineStr">
        <is>
          <t>MÖNSTERÅS</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45220-2019</t>
        </is>
      </c>
      <c r="B2576" s="1" t="n">
        <v>43713</v>
      </c>
      <c r="C2576" s="1" t="n">
        <v>45190</v>
      </c>
      <c r="D2576" t="inlineStr">
        <is>
          <t>KALMAR LÄN</t>
        </is>
      </c>
      <c r="E2576" t="inlineStr">
        <is>
          <t>KALMAR</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45230-2019</t>
        </is>
      </c>
      <c r="B2577" s="1" t="n">
        <v>43713</v>
      </c>
      <c r="C2577" s="1" t="n">
        <v>45190</v>
      </c>
      <c r="D2577" t="inlineStr">
        <is>
          <t>KALMAR LÄN</t>
        </is>
      </c>
      <c r="E2577" t="inlineStr">
        <is>
          <t>NYBRO</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45379-2019</t>
        </is>
      </c>
      <c r="B2578" s="1" t="n">
        <v>43713</v>
      </c>
      <c r="C2578" s="1" t="n">
        <v>45190</v>
      </c>
      <c r="D2578" t="inlineStr">
        <is>
          <t>KALMAR LÄN</t>
        </is>
      </c>
      <c r="E2578" t="inlineStr">
        <is>
          <t>VÄSTERVIK</t>
        </is>
      </c>
      <c r="G2578" t="n">
        <v>6.3</v>
      </c>
      <c r="H2578" t="n">
        <v>0</v>
      </c>
      <c r="I2578" t="n">
        <v>0</v>
      </c>
      <c r="J2578" t="n">
        <v>0</v>
      </c>
      <c r="K2578" t="n">
        <v>0</v>
      </c>
      <c r="L2578" t="n">
        <v>0</v>
      </c>
      <c r="M2578" t="n">
        <v>0</v>
      </c>
      <c r="N2578" t="n">
        <v>0</v>
      </c>
      <c r="O2578" t="n">
        <v>0</v>
      </c>
      <c r="P2578" t="n">
        <v>0</v>
      </c>
      <c r="Q2578" t="n">
        <v>0</v>
      </c>
      <c r="R2578" s="2" t="inlineStr"/>
    </row>
    <row r="2579" ht="15" customHeight="1">
      <c r="A2579" t="inlineStr">
        <is>
          <t>A 45313-2019</t>
        </is>
      </c>
      <c r="B2579" s="1" t="n">
        <v>43714</v>
      </c>
      <c r="C2579" s="1" t="n">
        <v>45190</v>
      </c>
      <c r="D2579" t="inlineStr">
        <is>
          <t>KALMAR LÄN</t>
        </is>
      </c>
      <c r="E2579" t="inlineStr">
        <is>
          <t>EMMABODA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45413-2019</t>
        </is>
      </c>
      <c r="B2580" s="1" t="n">
        <v>43714</v>
      </c>
      <c r="C2580" s="1" t="n">
        <v>45190</v>
      </c>
      <c r="D2580" t="inlineStr">
        <is>
          <t>KALMAR LÄN</t>
        </is>
      </c>
      <c r="E2580" t="inlineStr">
        <is>
          <t>VIMMERBY</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45461-2019</t>
        </is>
      </c>
      <c r="B2581" s="1" t="n">
        <v>43714</v>
      </c>
      <c r="C2581" s="1" t="n">
        <v>45190</v>
      </c>
      <c r="D2581" t="inlineStr">
        <is>
          <t>KALMAR LÄN</t>
        </is>
      </c>
      <c r="E2581" t="inlineStr">
        <is>
          <t>MÖNSTERÅS</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45521-2019</t>
        </is>
      </c>
      <c r="B2582" s="1" t="n">
        <v>43714</v>
      </c>
      <c r="C2582" s="1" t="n">
        <v>45190</v>
      </c>
      <c r="D2582" t="inlineStr">
        <is>
          <t>KALMAR LÄN</t>
        </is>
      </c>
      <c r="E2582" t="inlineStr">
        <is>
          <t>KALMAR</t>
        </is>
      </c>
      <c r="G2582" t="n">
        <v>4</v>
      </c>
      <c r="H2582" t="n">
        <v>0</v>
      </c>
      <c r="I2582" t="n">
        <v>0</v>
      </c>
      <c r="J2582" t="n">
        <v>0</v>
      </c>
      <c r="K2582" t="n">
        <v>0</v>
      </c>
      <c r="L2582" t="n">
        <v>0</v>
      </c>
      <c r="M2582" t="n">
        <v>0</v>
      </c>
      <c r="N2582" t="n">
        <v>0</v>
      </c>
      <c r="O2582" t="n">
        <v>0</v>
      </c>
      <c r="P2582" t="n">
        <v>0</v>
      </c>
      <c r="Q2582" t="n">
        <v>0</v>
      </c>
      <c r="R2582" s="2" t="inlineStr"/>
    </row>
    <row r="2583" ht="15" customHeight="1">
      <c r="A2583" t="inlineStr">
        <is>
          <t>A 45535-2019</t>
        </is>
      </c>
      <c r="B2583" s="1" t="n">
        <v>43714</v>
      </c>
      <c r="C2583" s="1" t="n">
        <v>45190</v>
      </c>
      <c r="D2583" t="inlineStr">
        <is>
          <t>KALMAR LÄN</t>
        </is>
      </c>
      <c r="E2583" t="inlineStr">
        <is>
          <t>HULTSFRED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45282-2019</t>
        </is>
      </c>
      <c r="B2584" s="1" t="n">
        <v>43714</v>
      </c>
      <c r="C2584" s="1" t="n">
        <v>45190</v>
      </c>
      <c r="D2584" t="inlineStr">
        <is>
          <t>KALMAR LÄN</t>
        </is>
      </c>
      <c r="E2584" t="inlineStr">
        <is>
          <t>MÖNSTERÅS</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45354-2019</t>
        </is>
      </c>
      <c r="B2585" s="1" t="n">
        <v>43714</v>
      </c>
      <c r="C2585" s="1" t="n">
        <v>45190</v>
      </c>
      <c r="D2585" t="inlineStr">
        <is>
          <t>KALMAR LÄN</t>
        </is>
      </c>
      <c r="E2585" t="inlineStr">
        <is>
          <t>TORSÅS</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45446-2019</t>
        </is>
      </c>
      <c r="B2586" s="1" t="n">
        <v>43714</v>
      </c>
      <c r="C2586" s="1" t="n">
        <v>45190</v>
      </c>
      <c r="D2586" t="inlineStr">
        <is>
          <t>KALMAR LÄN</t>
        </is>
      </c>
      <c r="E2586" t="inlineStr">
        <is>
          <t>VIMMERBY</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45515-2019</t>
        </is>
      </c>
      <c r="B2587" s="1" t="n">
        <v>43714</v>
      </c>
      <c r="C2587" s="1" t="n">
        <v>45190</v>
      </c>
      <c r="D2587" t="inlineStr">
        <is>
          <t>KALMAR LÄN</t>
        </is>
      </c>
      <c r="E2587" t="inlineStr">
        <is>
          <t>VIMMERBY</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46190-2019</t>
        </is>
      </c>
      <c r="B2588" s="1" t="n">
        <v>43714</v>
      </c>
      <c r="C2588" s="1" t="n">
        <v>45190</v>
      </c>
      <c r="D2588" t="inlineStr">
        <is>
          <t>KALMAR LÄN</t>
        </is>
      </c>
      <c r="E2588" t="inlineStr">
        <is>
          <t>NYBRO</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45579-2019</t>
        </is>
      </c>
      <c r="B2589" s="1" t="n">
        <v>43717</v>
      </c>
      <c r="C2589" s="1" t="n">
        <v>45190</v>
      </c>
      <c r="D2589" t="inlineStr">
        <is>
          <t>KALMAR LÄN</t>
        </is>
      </c>
      <c r="E2589" t="inlineStr">
        <is>
          <t>KALMAR</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45596-2019</t>
        </is>
      </c>
      <c r="B2590" s="1" t="n">
        <v>43717</v>
      </c>
      <c r="C2590" s="1" t="n">
        <v>45190</v>
      </c>
      <c r="D2590" t="inlineStr">
        <is>
          <t>KALMAR LÄN</t>
        </is>
      </c>
      <c r="E2590" t="inlineStr">
        <is>
          <t>EMMABODA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45607-2019</t>
        </is>
      </c>
      <c r="B2591" s="1" t="n">
        <v>43717</v>
      </c>
      <c r="C2591" s="1" t="n">
        <v>45190</v>
      </c>
      <c r="D2591" t="inlineStr">
        <is>
          <t>KALMAR LÄN</t>
        </is>
      </c>
      <c r="E2591" t="inlineStr">
        <is>
          <t>KALMAR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45720-2019</t>
        </is>
      </c>
      <c r="B2592" s="1" t="n">
        <v>43717</v>
      </c>
      <c r="C2592" s="1" t="n">
        <v>45190</v>
      </c>
      <c r="D2592" t="inlineStr">
        <is>
          <t>KALMAR LÄN</t>
        </is>
      </c>
      <c r="E2592" t="inlineStr">
        <is>
          <t>KALMAR</t>
        </is>
      </c>
      <c r="G2592" t="n">
        <v>7.1</v>
      </c>
      <c r="H2592" t="n">
        <v>0</v>
      </c>
      <c r="I2592" t="n">
        <v>0</v>
      </c>
      <c r="J2592" t="n">
        <v>0</v>
      </c>
      <c r="K2592" t="n">
        <v>0</v>
      </c>
      <c r="L2592" t="n">
        <v>0</v>
      </c>
      <c r="M2592" t="n">
        <v>0</v>
      </c>
      <c r="N2592" t="n">
        <v>0</v>
      </c>
      <c r="O2592" t="n">
        <v>0</v>
      </c>
      <c r="P2592" t="n">
        <v>0</v>
      </c>
      <c r="Q2592" t="n">
        <v>0</v>
      </c>
      <c r="R2592" s="2" t="inlineStr"/>
    </row>
    <row r="2593" ht="15" customHeight="1">
      <c r="A2593" t="inlineStr">
        <is>
          <t>A 46993-2019</t>
        </is>
      </c>
      <c r="B2593" s="1" t="n">
        <v>43717</v>
      </c>
      <c r="C2593" s="1" t="n">
        <v>45190</v>
      </c>
      <c r="D2593" t="inlineStr">
        <is>
          <t>KALMAR LÄN</t>
        </is>
      </c>
      <c r="E2593" t="inlineStr">
        <is>
          <t>NYBRO</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45591-2019</t>
        </is>
      </c>
      <c r="B2594" s="1" t="n">
        <v>43717</v>
      </c>
      <c r="C2594" s="1" t="n">
        <v>45190</v>
      </c>
      <c r="D2594" t="inlineStr">
        <is>
          <t>KALMAR LÄN</t>
        </is>
      </c>
      <c r="E2594" t="inlineStr">
        <is>
          <t>TORSÅS</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45709-2019</t>
        </is>
      </c>
      <c r="B2595" s="1" t="n">
        <v>43717</v>
      </c>
      <c r="C2595" s="1" t="n">
        <v>45190</v>
      </c>
      <c r="D2595" t="inlineStr">
        <is>
          <t>KALMAR LÄN</t>
        </is>
      </c>
      <c r="E2595" t="inlineStr">
        <is>
          <t>KALMAR</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45897-2019</t>
        </is>
      </c>
      <c r="B2596" s="1" t="n">
        <v>43717</v>
      </c>
      <c r="C2596" s="1" t="n">
        <v>45190</v>
      </c>
      <c r="D2596" t="inlineStr">
        <is>
          <t>KALMAR LÄN</t>
        </is>
      </c>
      <c r="E2596" t="inlineStr">
        <is>
          <t>VÄSTERVIK</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46557-2019</t>
        </is>
      </c>
      <c r="B2597" s="1" t="n">
        <v>43717</v>
      </c>
      <c r="C2597" s="1" t="n">
        <v>45190</v>
      </c>
      <c r="D2597" t="inlineStr">
        <is>
          <t>KALMAR LÄN</t>
        </is>
      </c>
      <c r="E2597" t="inlineStr">
        <is>
          <t>NYBRO</t>
        </is>
      </c>
      <c r="G2597" t="n">
        <v>11.1</v>
      </c>
      <c r="H2597" t="n">
        <v>0</v>
      </c>
      <c r="I2597" t="n">
        <v>0</v>
      </c>
      <c r="J2597" t="n">
        <v>0</v>
      </c>
      <c r="K2597" t="n">
        <v>0</v>
      </c>
      <c r="L2597" t="n">
        <v>0</v>
      </c>
      <c r="M2597" t="n">
        <v>0</v>
      </c>
      <c r="N2597" t="n">
        <v>0</v>
      </c>
      <c r="O2597" t="n">
        <v>0</v>
      </c>
      <c r="P2597" t="n">
        <v>0</v>
      </c>
      <c r="Q2597" t="n">
        <v>0</v>
      </c>
      <c r="R2597" s="2" t="inlineStr"/>
    </row>
    <row r="2598" ht="15" customHeight="1">
      <c r="A2598" t="inlineStr">
        <is>
          <t>A 45593-2019</t>
        </is>
      </c>
      <c r="B2598" s="1" t="n">
        <v>43717</v>
      </c>
      <c r="C2598" s="1" t="n">
        <v>45190</v>
      </c>
      <c r="D2598" t="inlineStr">
        <is>
          <t>KALMAR LÄN</t>
        </is>
      </c>
      <c r="E2598" t="inlineStr">
        <is>
          <t>TORSÅS</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45715-2019</t>
        </is>
      </c>
      <c r="B2599" s="1" t="n">
        <v>43717</v>
      </c>
      <c r="C2599" s="1" t="n">
        <v>45190</v>
      </c>
      <c r="D2599" t="inlineStr">
        <is>
          <t>KALMAR LÄN</t>
        </is>
      </c>
      <c r="E2599" t="inlineStr">
        <is>
          <t>KALMAR</t>
        </is>
      </c>
      <c r="G2599" t="n">
        <v>5.3</v>
      </c>
      <c r="H2599" t="n">
        <v>0</v>
      </c>
      <c r="I2599" t="n">
        <v>0</v>
      </c>
      <c r="J2599" t="n">
        <v>0</v>
      </c>
      <c r="K2599" t="n">
        <v>0</v>
      </c>
      <c r="L2599" t="n">
        <v>0</v>
      </c>
      <c r="M2599" t="n">
        <v>0</v>
      </c>
      <c r="N2599" t="n">
        <v>0</v>
      </c>
      <c r="O2599" t="n">
        <v>0</v>
      </c>
      <c r="P2599" t="n">
        <v>0</v>
      </c>
      <c r="Q2599" t="n">
        <v>0</v>
      </c>
      <c r="R2599" s="2" t="inlineStr"/>
    </row>
    <row r="2600" ht="15" customHeight="1">
      <c r="A2600" t="inlineStr">
        <is>
          <t>A 45727-2019</t>
        </is>
      </c>
      <c r="B2600" s="1" t="n">
        <v>43717</v>
      </c>
      <c r="C2600" s="1" t="n">
        <v>45190</v>
      </c>
      <c r="D2600" t="inlineStr">
        <is>
          <t>KALMAR LÄN</t>
        </is>
      </c>
      <c r="E2600" t="inlineStr">
        <is>
          <t>NYBRO</t>
        </is>
      </c>
      <c r="G2600" t="n">
        <v>9.800000000000001</v>
      </c>
      <c r="H2600" t="n">
        <v>0</v>
      </c>
      <c r="I2600" t="n">
        <v>0</v>
      </c>
      <c r="J2600" t="n">
        <v>0</v>
      </c>
      <c r="K2600" t="n">
        <v>0</v>
      </c>
      <c r="L2600" t="n">
        <v>0</v>
      </c>
      <c r="M2600" t="n">
        <v>0</v>
      </c>
      <c r="N2600" t="n">
        <v>0</v>
      </c>
      <c r="O2600" t="n">
        <v>0</v>
      </c>
      <c r="P2600" t="n">
        <v>0</v>
      </c>
      <c r="Q2600" t="n">
        <v>0</v>
      </c>
      <c r="R2600" s="2" t="inlineStr"/>
    </row>
    <row r="2601" ht="15" customHeight="1">
      <c r="A2601" t="inlineStr">
        <is>
          <t>A 45757-2019</t>
        </is>
      </c>
      <c r="B2601" s="1" t="n">
        <v>43717</v>
      </c>
      <c r="C2601" s="1" t="n">
        <v>45190</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45772-2019</t>
        </is>
      </c>
      <c r="B2602" s="1" t="n">
        <v>43717</v>
      </c>
      <c r="C2602" s="1" t="n">
        <v>45190</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45962-2019</t>
        </is>
      </c>
      <c r="B2603" s="1" t="n">
        <v>43718</v>
      </c>
      <c r="C2603" s="1" t="n">
        <v>45190</v>
      </c>
      <c r="D2603" t="inlineStr">
        <is>
          <t>KALMAR LÄN</t>
        </is>
      </c>
      <c r="E2603" t="inlineStr">
        <is>
          <t>KALMAR</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45977-2019</t>
        </is>
      </c>
      <c r="B2604" s="1" t="n">
        <v>43718</v>
      </c>
      <c r="C2604" s="1" t="n">
        <v>45190</v>
      </c>
      <c r="D2604" t="inlineStr">
        <is>
          <t>KALMAR LÄN</t>
        </is>
      </c>
      <c r="E2604" t="inlineStr">
        <is>
          <t>VÄSTERVIK</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46050-2019</t>
        </is>
      </c>
      <c r="B2605" s="1" t="n">
        <v>43718</v>
      </c>
      <c r="C2605" s="1" t="n">
        <v>45190</v>
      </c>
      <c r="D2605" t="inlineStr">
        <is>
          <t>KALMAR LÄN</t>
        </is>
      </c>
      <c r="E2605" t="inlineStr">
        <is>
          <t>KALMAR</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46263-2019</t>
        </is>
      </c>
      <c r="B2606" s="1" t="n">
        <v>43718</v>
      </c>
      <c r="C2606" s="1" t="n">
        <v>45190</v>
      </c>
      <c r="D2606" t="inlineStr">
        <is>
          <t>KALMAR LÄN</t>
        </is>
      </c>
      <c r="E2606" t="inlineStr">
        <is>
          <t>HULTSFRED</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46333-2019</t>
        </is>
      </c>
      <c r="B2607" s="1" t="n">
        <v>43718</v>
      </c>
      <c r="C2607" s="1" t="n">
        <v>45190</v>
      </c>
      <c r="D2607" t="inlineStr">
        <is>
          <t>KALMAR LÄN</t>
        </is>
      </c>
      <c r="E2607" t="inlineStr">
        <is>
          <t>VÄSTERVIK</t>
        </is>
      </c>
      <c r="F2607" t="inlineStr">
        <is>
          <t>Sveaskog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46061-2019</t>
        </is>
      </c>
      <c r="B2608" s="1" t="n">
        <v>43718</v>
      </c>
      <c r="C2608" s="1" t="n">
        <v>45190</v>
      </c>
      <c r="D2608" t="inlineStr">
        <is>
          <t>KALMAR LÄN</t>
        </is>
      </c>
      <c r="E2608" t="inlineStr">
        <is>
          <t>NYBRO</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46045-2019</t>
        </is>
      </c>
      <c r="B2609" s="1" t="n">
        <v>43718</v>
      </c>
      <c r="C2609" s="1" t="n">
        <v>45190</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46056-2019</t>
        </is>
      </c>
      <c r="B2610" s="1" t="n">
        <v>43718</v>
      </c>
      <c r="C2610" s="1" t="n">
        <v>45190</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46087-2019</t>
        </is>
      </c>
      <c r="B2611" s="1" t="n">
        <v>43718</v>
      </c>
      <c r="C2611" s="1" t="n">
        <v>45190</v>
      </c>
      <c r="D2611" t="inlineStr">
        <is>
          <t>KALMAR LÄN</t>
        </is>
      </c>
      <c r="E2611" t="inlineStr">
        <is>
          <t>EMMABODA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46132-2019</t>
        </is>
      </c>
      <c r="B2612" s="1" t="n">
        <v>43718</v>
      </c>
      <c r="C2612" s="1" t="n">
        <v>45190</v>
      </c>
      <c r="D2612" t="inlineStr">
        <is>
          <t>KALMAR LÄN</t>
        </is>
      </c>
      <c r="E2612" t="inlineStr">
        <is>
          <t>TORSÅS</t>
        </is>
      </c>
      <c r="G2612" t="n">
        <v>9.800000000000001</v>
      </c>
      <c r="H2612" t="n">
        <v>0</v>
      </c>
      <c r="I2612" t="n">
        <v>0</v>
      </c>
      <c r="J2612" t="n">
        <v>0</v>
      </c>
      <c r="K2612" t="n">
        <v>0</v>
      </c>
      <c r="L2612" t="n">
        <v>0</v>
      </c>
      <c r="M2612" t="n">
        <v>0</v>
      </c>
      <c r="N2612" t="n">
        <v>0</v>
      </c>
      <c r="O2612" t="n">
        <v>0</v>
      </c>
      <c r="P2612" t="n">
        <v>0</v>
      </c>
      <c r="Q2612" t="n">
        <v>0</v>
      </c>
      <c r="R2612" s="2" t="inlineStr"/>
    </row>
    <row r="2613" ht="15" customHeight="1">
      <c r="A2613" t="inlineStr">
        <is>
          <t>A 46291-2019</t>
        </is>
      </c>
      <c r="B2613" s="1" t="n">
        <v>43718</v>
      </c>
      <c r="C2613" s="1" t="n">
        <v>45190</v>
      </c>
      <c r="D2613" t="inlineStr">
        <is>
          <t>KALMAR LÄN</t>
        </is>
      </c>
      <c r="E2613" t="inlineStr">
        <is>
          <t>VIMMERBY</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46845-2019</t>
        </is>
      </c>
      <c r="B2614" s="1" t="n">
        <v>43718</v>
      </c>
      <c r="C2614" s="1" t="n">
        <v>45190</v>
      </c>
      <c r="D2614" t="inlineStr">
        <is>
          <t>KALMAR LÄN</t>
        </is>
      </c>
      <c r="E2614" t="inlineStr">
        <is>
          <t>VIMMERBY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45968-2019</t>
        </is>
      </c>
      <c r="B2615" s="1" t="n">
        <v>43718</v>
      </c>
      <c r="C2615" s="1" t="n">
        <v>45190</v>
      </c>
      <c r="D2615" t="inlineStr">
        <is>
          <t>KALMAR LÄN</t>
        </is>
      </c>
      <c r="E2615" t="inlineStr">
        <is>
          <t>HÖGSBY</t>
        </is>
      </c>
      <c r="F2615" t="inlineStr">
        <is>
          <t>Sveaskog</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46040-2019</t>
        </is>
      </c>
      <c r="B2616" s="1" t="n">
        <v>43718</v>
      </c>
      <c r="C2616" s="1" t="n">
        <v>45190</v>
      </c>
      <c r="D2616" t="inlineStr">
        <is>
          <t>KALMAR LÄN</t>
        </is>
      </c>
      <c r="E2616" t="inlineStr">
        <is>
          <t>NYBRO</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46046-2019</t>
        </is>
      </c>
      <c r="B2617" s="1" t="n">
        <v>43718</v>
      </c>
      <c r="C2617" s="1" t="n">
        <v>45190</v>
      </c>
      <c r="D2617" t="inlineStr">
        <is>
          <t>KALMAR LÄN</t>
        </is>
      </c>
      <c r="E2617" t="inlineStr">
        <is>
          <t>TORSÅS</t>
        </is>
      </c>
      <c r="G2617" t="n">
        <v>5.7</v>
      </c>
      <c r="H2617" t="n">
        <v>0</v>
      </c>
      <c r="I2617" t="n">
        <v>0</v>
      </c>
      <c r="J2617" t="n">
        <v>0</v>
      </c>
      <c r="K2617" t="n">
        <v>0</v>
      </c>
      <c r="L2617" t="n">
        <v>0</v>
      </c>
      <c r="M2617" t="n">
        <v>0</v>
      </c>
      <c r="N2617" t="n">
        <v>0</v>
      </c>
      <c r="O2617" t="n">
        <v>0</v>
      </c>
      <c r="P2617" t="n">
        <v>0</v>
      </c>
      <c r="Q2617" t="n">
        <v>0</v>
      </c>
      <c r="R2617" s="2" t="inlineStr"/>
    </row>
    <row r="2618" ht="15" customHeight="1">
      <c r="A2618" t="inlineStr">
        <is>
          <t>A 46058-2019</t>
        </is>
      </c>
      <c r="B2618" s="1" t="n">
        <v>43718</v>
      </c>
      <c r="C2618" s="1" t="n">
        <v>45190</v>
      </c>
      <c r="D2618" t="inlineStr">
        <is>
          <t>KALMAR LÄN</t>
        </is>
      </c>
      <c r="E2618" t="inlineStr">
        <is>
          <t>NYBRO</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46092-2019</t>
        </is>
      </c>
      <c r="B2619" s="1" t="n">
        <v>43718</v>
      </c>
      <c r="C2619" s="1" t="n">
        <v>45190</v>
      </c>
      <c r="D2619" t="inlineStr">
        <is>
          <t>KALMAR LÄN</t>
        </is>
      </c>
      <c r="E2619" t="inlineStr">
        <is>
          <t>EMMABODA</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46103-2019</t>
        </is>
      </c>
      <c r="B2620" s="1" t="n">
        <v>43718</v>
      </c>
      <c r="C2620" s="1" t="n">
        <v>45190</v>
      </c>
      <c r="D2620" t="inlineStr">
        <is>
          <t>KALMAR LÄN</t>
        </is>
      </c>
      <c r="E2620" t="inlineStr">
        <is>
          <t>TORSÅS</t>
        </is>
      </c>
      <c r="G2620" t="n">
        <v>8.4</v>
      </c>
      <c r="H2620" t="n">
        <v>0</v>
      </c>
      <c r="I2620" t="n">
        <v>0</v>
      </c>
      <c r="J2620" t="n">
        <v>0</v>
      </c>
      <c r="K2620" t="n">
        <v>0</v>
      </c>
      <c r="L2620" t="n">
        <v>0</v>
      </c>
      <c r="M2620" t="n">
        <v>0</v>
      </c>
      <c r="N2620" t="n">
        <v>0</v>
      </c>
      <c r="O2620" t="n">
        <v>0</v>
      </c>
      <c r="P2620" t="n">
        <v>0</v>
      </c>
      <c r="Q2620" t="n">
        <v>0</v>
      </c>
      <c r="R2620" s="2" t="inlineStr"/>
    </row>
    <row r="2621" ht="15" customHeight="1">
      <c r="A2621" t="inlineStr">
        <is>
          <t>A 46175-2019</t>
        </is>
      </c>
      <c r="B2621" s="1" t="n">
        <v>43718</v>
      </c>
      <c r="C2621" s="1" t="n">
        <v>45190</v>
      </c>
      <c r="D2621" t="inlineStr">
        <is>
          <t>KALMAR LÄN</t>
        </is>
      </c>
      <c r="E2621" t="inlineStr">
        <is>
          <t>OSKARSHAMN</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46440-2019</t>
        </is>
      </c>
      <c r="B2622" s="1" t="n">
        <v>43719</v>
      </c>
      <c r="C2622" s="1" t="n">
        <v>45190</v>
      </c>
      <c r="D2622" t="inlineStr">
        <is>
          <t>KALMAR LÄN</t>
        </is>
      </c>
      <c r="E2622" t="inlineStr">
        <is>
          <t>HULTSFRED</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46503-2019</t>
        </is>
      </c>
      <c r="B2623" s="1" t="n">
        <v>43719</v>
      </c>
      <c r="C2623" s="1" t="n">
        <v>45190</v>
      </c>
      <c r="D2623" t="inlineStr">
        <is>
          <t>KALMAR LÄN</t>
        </is>
      </c>
      <c r="E2623" t="inlineStr">
        <is>
          <t>KALMAR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46942-2019</t>
        </is>
      </c>
      <c r="B2624" s="1" t="n">
        <v>43719</v>
      </c>
      <c r="C2624" s="1" t="n">
        <v>45190</v>
      </c>
      <c r="D2624" t="inlineStr">
        <is>
          <t>KALMAR LÄN</t>
        </is>
      </c>
      <c r="E2624" t="inlineStr">
        <is>
          <t>VÄSTERVIK</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46985-2019</t>
        </is>
      </c>
      <c r="B2625" s="1" t="n">
        <v>43719</v>
      </c>
      <c r="C2625" s="1" t="n">
        <v>45190</v>
      </c>
      <c r="D2625" t="inlineStr">
        <is>
          <t>KALMAR LÄN</t>
        </is>
      </c>
      <c r="E2625" t="inlineStr">
        <is>
          <t>HÖGSBY</t>
        </is>
      </c>
      <c r="G2625" t="n">
        <v>8.199999999999999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46529-2019</t>
        </is>
      </c>
      <c r="B2626" s="1" t="n">
        <v>43719</v>
      </c>
      <c r="C2626" s="1" t="n">
        <v>45190</v>
      </c>
      <c r="D2626" t="inlineStr">
        <is>
          <t>KALMAR LÄN</t>
        </is>
      </c>
      <c r="E2626" t="inlineStr">
        <is>
          <t>TORSÅS</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46619-2019</t>
        </is>
      </c>
      <c r="B2627" s="1" t="n">
        <v>43719</v>
      </c>
      <c r="C2627" s="1" t="n">
        <v>45190</v>
      </c>
      <c r="D2627" t="inlineStr">
        <is>
          <t>KALMAR LÄN</t>
        </is>
      </c>
      <c r="E2627" t="inlineStr">
        <is>
          <t>VIMMERBY</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46742-2019</t>
        </is>
      </c>
      <c r="B2628" s="1" t="n">
        <v>43719</v>
      </c>
      <c r="C2628" s="1" t="n">
        <v>45190</v>
      </c>
      <c r="D2628" t="inlineStr">
        <is>
          <t>KALMAR LÄN</t>
        </is>
      </c>
      <c r="E2628" t="inlineStr">
        <is>
          <t>EMMABODA</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47187-2019</t>
        </is>
      </c>
      <c r="B2629" s="1" t="n">
        <v>43719</v>
      </c>
      <c r="C2629" s="1" t="n">
        <v>45190</v>
      </c>
      <c r="D2629" t="inlineStr">
        <is>
          <t>KALMAR LÄN</t>
        </is>
      </c>
      <c r="E2629" t="inlineStr">
        <is>
          <t>VIMMERBY</t>
        </is>
      </c>
      <c r="G2629" t="n">
        <v>1</v>
      </c>
      <c r="H2629" t="n">
        <v>0</v>
      </c>
      <c r="I2629" t="n">
        <v>0</v>
      </c>
      <c r="J2629" t="n">
        <v>0</v>
      </c>
      <c r="K2629" t="n">
        <v>0</v>
      </c>
      <c r="L2629" t="n">
        <v>0</v>
      </c>
      <c r="M2629" t="n">
        <v>0</v>
      </c>
      <c r="N2629" t="n">
        <v>0</v>
      </c>
      <c r="O2629" t="n">
        <v>0</v>
      </c>
      <c r="P2629" t="n">
        <v>0</v>
      </c>
      <c r="Q2629" t="n">
        <v>0</v>
      </c>
      <c r="R2629" s="2" t="inlineStr"/>
    </row>
    <row r="2630" ht="15" customHeight="1">
      <c r="A2630" t="inlineStr">
        <is>
          <t>A 46510-2019</t>
        </is>
      </c>
      <c r="B2630" s="1" t="n">
        <v>43719</v>
      </c>
      <c r="C2630" s="1" t="n">
        <v>45190</v>
      </c>
      <c r="D2630" t="inlineStr">
        <is>
          <t>KALMAR LÄN</t>
        </is>
      </c>
      <c r="E2630" t="inlineStr">
        <is>
          <t>KALMAR</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46614-2019</t>
        </is>
      </c>
      <c r="B2631" s="1" t="n">
        <v>43719</v>
      </c>
      <c r="C2631" s="1" t="n">
        <v>45190</v>
      </c>
      <c r="D2631" t="inlineStr">
        <is>
          <t>KALMAR LÄN</t>
        </is>
      </c>
      <c r="E2631" t="inlineStr">
        <is>
          <t>OSKARSHAMN</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46729-2019</t>
        </is>
      </c>
      <c r="B2632" s="1" t="n">
        <v>43719</v>
      </c>
      <c r="C2632" s="1" t="n">
        <v>45190</v>
      </c>
      <c r="D2632" t="inlineStr">
        <is>
          <t>KALMAR LÄN</t>
        </is>
      </c>
      <c r="E2632" t="inlineStr">
        <is>
          <t>HÖGSBY</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46470-2019</t>
        </is>
      </c>
      <c r="B2633" s="1" t="n">
        <v>43719</v>
      </c>
      <c r="C2633" s="1" t="n">
        <v>45190</v>
      </c>
      <c r="D2633" t="inlineStr">
        <is>
          <t>KALMAR LÄN</t>
        </is>
      </c>
      <c r="E2633" t="inlineStr">
        <is>
          <t>NYBRO</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46505-2019</t>
        </is>
      </c>
      <c r="B2634" s="1" t="n">
        <v>43719</v>
      </c>
      <c r="C2634" s="1" t="n">
        <v>45190</v>
      </c>
      <c r="D2634" t="inlineStr">
        <is>
          <t>KALMAR LÄN</t>
        </is>
      </c>
      <c r="E2634" t="inlineStr">
        <is>
          <t>HULTSFRED</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46815-2019</t>
        </is>
      </c>
      <c r="B2635" s="1" t="n">
        <v>43719</v>
      </c>
      <c r="C2635" s="1" t="n">
        <v>45190</v>
      </c>
      <c r="D2635" t="inlineStr">
        <is>
          <t>KALMAR LÄN</t>
        </is>
      </c>
      <c r="E2635" t="inlineStr">
        <is>
          <t>NYBRO</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46847-2019</t>
        </is>
      </c>
      <c r="B2636" s="1" t="n">
        <v>43720</v>
      </c>
      <c r="C2636" s="1" t="n">
        <v>45190</v>
      </c>
      <c r="D2636" t="inlineStr">
        <is>
          <t>KALMAR LÄN</t>
        </is>
      </c>
      <c r="E2636" t="inlineStr">
        <is>
          <t>MÖNSTERÅS</t>
        </is>
      </c>
      <c r="G2636" t="n">
        <v>7.2</v>
      </c>
      <c r="H2636" t="n">
        <v>0</v>
      </c>
      <c r="I2636" t="n">
        <v>0</v>
      </c>
      <c r="J2636" t="n">
        <v>0</v>
      </c>
      <c r="K2636" t="n">
        <v>0</v>
      </c>
      <c r="L2636" t="n">
        <v>0</v>
      </c>
      <c r="M2636" t="n">
        <v>0</v>
      </c>
      <c r="N2636" t="n">
        <v>0</v>
      </c>
      <c r="O2636" t="n">
        <v>0</v>
      </c>
      <c r="P2636" t="n">
        <v>0</v>
      </c>
      <c r="Q2636" t="n">
        <v>0</v>
      </c>
      <c r="R2636" s="2" t="inlineStr"/>
    </row>
    <row r="2637" ht="15" customHeight="1">
      <c r="A2637" t="inlineStr">
        <is>
          <t>A 46840-2019</t>
        </is>
      </c>
      <c r="B2637" s="1" t="n">
        <v>43720</v>
      </c>
      <c r="C2637" s="1" t="n">
        <v>45190</v>
      </c>
      <c r="D2637" t="inlineStr">
        <is>
          <t>KALMAR LÄN</t>
        </is>
      </c>
      <c r="E2637" t="inlineStr">
        <is>
          <t>KALMAR</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47029-2019</t>
        </is>
      </c>
      <c r="B2638" s="1" t="n">
        <v>43720</v>
      </c>
      <c r="C2638" s="1" t="n">
        <v>45190</v>
      </c>
      <c r="D2638" t="inlineStr">
        <is>
          <t>KALMAR LÄN</t>
        </is>
      </c>
      <c r="E2638" t="inlineStr">
        <is>
          <t>HÖGSBY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46988-2019</t>
        </is>
      </c>
      <c r="B2639" s="1" t="n">
        <v>43720</v>
      </c>
      <c r="C2639" s="1" t="n">
        <v>45190</v>
      </c>
      <c r="D2639" t="inlineStr">
        <is>
          <t>KALMAR LÄN</t>
        </is>
      </c>
      <c r="E2639" t="inlineStr">
        <is>
          <t>VIMMERBY</t>
        </is>
      </c>
      <c r="F2639" t="inlineStr">
        <is>
          <t>Kommuner</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47013-2019</t>
        </is>
      </c>
      <c r="B2640" s="1" t="n">
        <v>43720</v>
      </c>
      <c r="C2640" s="1" t="n">
        <v>45190</v>
      </c>
      <c r="D2640" t="inlineStr">
        <is>
          <t>KALMAR LÄN</t>
        </is>
      </c>
      <c r="E2640" t="inlineStr">
        <is>
          <t>EMMABODA</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47021-2019</t>
        </is>
      </c>
      <c r="B2641" s="1" t="n">
        <v>43720</v>
      </c>
      <c r="C2641" s="1" t="n">
        <v>45190</v>
      </c>
      <c r="D2641" t="inlineStr">
        <is>
          <t>KALMAR LÄN</t>
        </is>
      </c>
      <c r="E2641" t="inlineStr">
        <is>
          <t>EMMABODA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47065-2019</t>
        </is>
      </c>
      <c r="B2642" s="1" t="n">
        <v>43720</v>
      </c>
      <c r="C2642" s="1" t="n">
        <v>45190</v>
      </c>
      <c r="D2642" t="inlineStr">
        <is>
          <t>KALMAR LÄN</t>
        </is>
      </c>
      <c r="E2642" t="inlineStr">
        <is>
          <t>BORGHOLM</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47243-2019</t>
        </is>
      </c>
      <c r="B2643" s="1" t="n">
        <v>43721</v>
      </c>
      <c r="C2643" s="1" t="n">
        <v>45190</v>
      </c>
      <c r="D2643" t="inlineStr">
        <is>
          <t>KALMAR LÄN</t>
        </is>
      </c>
      <c r="E2643" t="inlineStr">
        <is>
          <t>NYBRO</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47237-2019</t>
        </is>
      </c>
      <c r="B2644" s="1" t="n">
        <v>43721</v>
      </c>
      <c r="C2644" s="1" t="n">
        <v>45190</v>
      </c>
      <c r="D2644" t="inlineStr">
        <is>
          <t>KALMAR LÄN</t>
        </is>
      </c>
      <c r="E2644" t="inlineStr">
        <is>
          <t>KALMAR</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47246-2019</t>
        </is>
      </c>
      <c r="B2645" s="1" t="n">
        <v>43721</v>
      </c>
      <c r="C2645" s="1" t="n">
        <v>45190</v>
      </c>
      <c r="D2645" t="inlineStr">
        <is>
          <t>KALMAR LÄN</t>
        </is>
      </c>
      <c r="E2645" t="inlineStr">
        <is>
          <t>NYBRO</t>
        </is>
      </c>
      <c r="G2645" t="n">
        <v>9.800000000000001</v>
      </c>
      <c r="H2645" t="n">
        <v>0</v>
      </c>
      <c r="I2645" t="n">
        <v>0</v>
      </c>
      <c r="J2645" t="n">
        <v>0</v>
      </c>
      <c r="K2645" t="n">
        <v>0</v>
      </c>
      <c r="L2645" t="n">
        <v>0</v>
      </c>
      <c r="M2645" t="n">
        <v>0</v>
      </c>
      <c r="N2645" t="n">
        <v>0</v>
      </c>
      <c r="O2645" t="n">
        <v>0</v>
      </c>
      <c r="P2645" t="n">
        <v>0</v>
      </c>
      <c r="Q2645" t="n">
        <v>0</v>
      </c>
      <c r="R2645" s="2" t="inlineStr"/>
    </row>
    <row r="2646" ht="15" customHeight="1">
      <c r="A2646" t="inlineStr">
        <is>
          <t>A 47353-2019</t>
        </is>
      </c>
      <c r="B2646" s="1" t="n">
        <v>43721</v>
      </c>
      <c r="C2646" s="1" t="n">
        <v>45190</v>
      </c>
      <c r="D2646" t="inlineStr">
        <is>
          <t>KALMAR LÄN</t>
        </is>
      </c>
      <c r="E2646" t="inlineStr">
        <is>
          <t>OSKARSHAMN</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47240-2019</t>
        </is>
      </c>
      <c r="B2647" s="1" t="n">
        <v>43721</v>
      </c>
      <c r="C2647" s="1" t="n">
        <v>45190</v>
      </c>
      <c r="D2647" t="inlineStr">
        <is>
          <t>KALMAR LÄN</t>
        </is>
      </c>
      <c r="E2647" t="inlineStr">
        <is>
          <t>KALMAR</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47261-2019</t>
        </is>
      </c>
      <c r="B2648" s="1" t="n">
        <v>43721</v>
      </c>
      <c r="C2648" s="1" t="n">
        <v>45190</v>
      </c>
      <c r="D2648" t="inlineStr">
        <is>
          <t>KALMAR LÄN</t>
        </is>
      </c>
      <c r="E2648" t="inlineStr">
        <is>
          <t>HÖGSBY</t>
        </is>
      </c>
      <c r="G2648" t="n">
        <v>11.7</v>
      </c>
      <c r="H2648" t="n">
        <v>0</v>
      </c>
      <c r="I2648" t="n">
        <v>0</v>
      </c>
      <c r="J2648" t="n">
        <v>0</v>
      </c>
      <c r="K2648" t="n">
        <v>0</v>
      </c>
      <c r="L2648" t="n">
        <v>0</v>
      </c>
      <c r="M2648" t="n">
        <v>0</v>
      </c>
      <c r="N2648" t="n">
        <v>0</v>
      </c>
      <c r="O2648" t="n">
        <v>0</v>
      </c>
      <c r="P2648" t="n">
        <v>0</v>
      </c>
      <c r="Q2648" t="n">
        <v>0</v>
      </c>
      <c r="R2648" s="2" t="inlineStr"/>
    </row>
    <row r="2649" ht="15" customHeight="1">
      <c r="A2649" t="inlineStr">
        <is>
          <t>A 47401-2019</t>
        </is>
      </c>
      <c r="B2649" s="1" t="n">
        <v>43722</v>
      </c>
      <c r="C2649" s="1" t="n">
        <v>45190</v>
      </c>
      <c r="D2649" t="inlineStr">
        <is>
          <t>KALMAR LÄN</t>
        </is>
      </c>
      <c r="E2649" t="inlineStr">
        <is>
          <t>HULTSFRED</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47438-2019</t>
        </is>
      </c>
      <c r="B2650" s="1" t="n">
        <v>43723</v>
      </c>
      <c r="C2650" s="1" t="n">
        <v>45190</v>
      </c>
      <c r="D2650" t="inlineStr">
        <is>
          <t>KALMAR LÄN</t>
        </is>
      </c>
      <c r="E2650" t="inlineStr">
        <is>
          <t>VÄSTERVIK</t>
        </is>
      </c>
      <c r="F2650" t="inlineStr">
        <is>
          <t>Sveaskog</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47435-2019</t>
        </is>
      </c>
      <c r="B2651" s="1" t="n">
        <v>43723</v>
      </c>
      <c r="C2651" s="1" t="n">
        <v>45190</v>
      </c>
      <c r="D2651" t="inlineStr">
        <is>
          <t>KALMAR LÄN</t>
        </is>
      </c>
      <c r="E2651" t="inlineStr">
        <is>
          <t>VÄSTERVIK</t>
        </is>
      </c>
      <c r="F2651" t="inlineStr">
        <is>
          <t>Sveaskog</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47499-2019</t>
        </is>
      </c>
      <c r="B2652" s="1" t="n">
        <v>43724</v>
      </c>
      <c r="C2652" s="1" t="n">
        <v>45190</v>
      </c>
      <c r="D2652" t="inlineStr">
        <is>
          <t>KALMAR LÄN</t>
        </is>
      </c>
      <c r="E2652" t="inlineStr">
        <is>
          <t>HÖGSBY</t>
        </is>
      </c>
      <c r="G2652" t="n">
        <v>1.7</v>
      </c>
      <c r="H2652" t="n">
        <v>0</v>
      </c>
      <c r="I2652" t="n">
        <v>0</v>
      </c>
      <c r="J2652" t="n">
        <v>0</v>
      </c>
      <c r="K2652" t="n">
        <v>0</v>
      </c>
      <c r="L2652" t="n">
        <v>0</v>
      </c>
      <c r="M2652" t="n">
        <v>0</v>
      </c>
      <c r="N2652" t="n">
        <v>0</v>
      </c>
      <c r="O2652" t="n">
        <v>0</v>
      </c>
      <c r="P2652" t="n">
        <v>0</v>
      </c>
      <c r="Q2652" t="n">
        <v>0</v>
      </c>
      <c r="R2652" s="2" t="inlineStr"/>
    </row>
    <row r="2653" ht="15" customHeight="1">
      <c r="A2653" t="inlineStr">
        <is>
          <t>A 47560-2019</t>
        </is>
      </c>
      <c r="B2653" s="1" t="n">
        <v>43724</v>
      </c>
      <c r="C2653" s="1" t="n">
        <v>45190</v>
      </c>
      <c r="D2653" t="inlineStr">
        <is>
          <t>KALMAR LÄN</t>
        </is>
      </c>
      <c r="E2653" t="inlineStr">
        <is>
          <t>EMMABODA</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47592-2019</t>
        </is>
      </c>
      <c r="B2654" s="1" t="n">
        <v>43724</v>
      </c>
      <c r="C2654" s="1" t="n">
        <v>45190</v>
      </c>
      <c r="D2654" t="inlineStr">
        <is>
          <t>KALMAR LÄN</t>
        </is>
      </c>
      <c r="E2654" t="inlineStr">
        <is>
          <t>HULTSFRED</t>
        </is>
      </c>
      <c r="G2654" t="n">
        <v>3.6</v>
      </c>
      <c r="H2654" t="n">
        <v>0</v>
      </c>
      <c r="I2654" t="n">
        <v>0</v>
      </c>
      <c r="J2654" t="n">
        <v>0</v>
      </c>
      <c r="K2654" t="n">
        <v>0</v>
      </c>
      <c r="L2654" t="n">
        <v>0</v>
      </c>
      <c r="M2654" t="n">
        <v>0</v>
      </c>
      <c r="N2654" t="n">
        <v>0</v>
      </c>
      <c r="O2654" t="n">
        <v>0</v>
      </c>
      <c r="P2654" t="n">
        <v>0</v>
      </c>
      <c r="Q2654" t="n">
        <v>0</v>
      </c>
      <c r="R2654" s="2" t="inlineStr"/>
    </row>
    <row r="2655" ht="15" customHeight="1">
      <c r="A2655" t="inlineStr">
        <is>
          <t>A 47659-2019</t>
        </is>
      </c>
      <c r="B2655" s="1" t="n">
        <v>43724</v>
      </c>
      <c r="C2655" s="1" t="n">
        <v>45190</v>
      </c>
      <c r="D2655" t="inlineStr">
        <is>
          <t>KALMAR LÄN</t>
        </is>
      </c>
      <c r="E2655" t="inlineStr">
        <is>
          <t>MÖNSTERÅS</t>
        </is>
      </c>
      <c r="G2655" t="n">
        <v>3.9</v>
      </c>
      <c r="H2655" t="n">
        <v>0</v>
      </c>
      <c r="I2655" t="n">
        <v>0</v>
      </c>
      <c r="J2655" t="n">
        <v>0</v>
      </c>
      <c r="K2655" t="n">
        <v>0</v>
      </c>
      <c r="L2655" t="n">
        <v>0</v>
      </c>
      <c r="M2655" t="n">
        <v>0</v>
      </c>
      <c r="N2655" t="n">
        <v>0</v>
      </c>
      <c r="O2655" t="n">
        <v>0</v>
      </c>
      <c r="P2655" t="n">
        <v>0</v>
      </c>
      <c r="Q2655" t="n">
        <v>0</v>
      </c>
      <c r="R2655" s="2" t="inlineStr"/>
    </row>
    <row r="2656" ht="15" customHeight="1">
      <c r="A2656" t="inlineStr">
        <is>
          <t>A 47610-2019</t>
        </is>
      </c>
      <c r="B2656" s="1" t="n">
        <v>43724</v>
      </c>
      <c r="C2656" s="1" t="n">
        <v>45190</v>
      </c>
      <c r="D2656" t="inlineStr">
        <is>
          <t>KALMAR LÄN</t>
        </is>
      </c>
      <c r="E2656" t="inlineStr">
        <is>
          <t>EMMABODA</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47710-2019</t>
        </is>
      </c>
      <c r="B2657" s="1" t="n">
        <v>43724</v>
      </c>
      <c r="C2657" s="1" t="n">
        <v>45190</v>
      </c>
      <c r="D2657" t="inlineStr">
        <is>
          <t>KALMAR LÄN</t>
        </is>
      </c>
      <c r="E2657" t="inlineStr">
        <is>
          <t>TORSÅS</t>
        </is>
      </c>
      <c r="G2657" t="n">
        <v>8.9</v>
      </c>
      <c r="H2657" t="n">
        <v>0</v>
      </c>
      <c r="I2657" t="n">
        <v>0</v>
      </c>
      <c r="J2657" t="n">
        <v>0</v>
      </c>
      <c r="K2657" t="n">
        <v>0</v>
      </c>
      <c r="L2657" t="n">
        <v>0</v>
      </c>
      <c r="M2657" t="n">
        <v>0</v>
      </c>
      <c r="N2657" t="n">
        <v>0</v>
      </c>
      <c r="O2657" t="n">
        <v>0</v>
      </c>
      <c r="P2657" t="n">
        <v>0</v>
      </c>
      <c r="Q2657" t="n">
        <v>0</v>
      </c>
      <c r="R2657" s="2" t="inlineStr"/>
    </row>
    <row r="2658" ht="15" customHeight="1">
      <c r="A2658" t="inlineStr">
        <is>
          <t>A 47508-2019</t>
        </is>
      </c>
      <c r="B2658" s="1" t="n">
        <v>43724</v>
      </c>
      <c r="C2658" s="1" t="n">
        <v>45190</v>
      </c>
      <c r="D2658" t="inlineStr">
        <is>
          <t>KALMAR LÄN</t>
        </is>
      </c>
      <c r="E2658" t="inlineStr">
        <is>
          <t>HÖGSBY</t>
        </is>
      </c>
      <c r="G2658" t="n">
        <v>2.6</v>
      </c>
      <c r="H2658" t="n">
        <v>0</v>
      </c>
      <c r="I2658" t="n">
        <v>0</v>
      </c>
      <c r="J2658" t="n">
        <v>0</v>
      </c>
      <c r="K2658" t="n">
        <v>0</v>
      </c>
      <c r="L2658" t="n">
        <v>0</v>
      </c>
      <c r="M2658" t="n">
        <v>0</v>
      </c>
      <c r="N2658" t="n">
        <v>0</v>
      </c>
      <c r="O2658" t="n">
        <v>0</v>
      </c>
      <c r="P2658" t="n">
        <v>0</v>
      </c>
      <c r="Q2658" t="n">
        <v>0</v>
      </c>
      <c r="R2658" s="2" t="inlineStr"/>
    </row>
    <row r="2659" ht="15" customHeight="1">
      <c r="A2659" t="inlineStr">
        <is>
          <t>A 47603-2019</t>
        </is>
      </c>
      <c r="B2659" s="1" t="n">
        <v>43724</v>
      </c>
      <c r="C2659" s="1" t="n">
        <v>45190</v>
      </c>
      <c r="D2659" t="inlineStr">
        <is>
          <t>KALMAR LÄN</t>
        </is>
      </c>
      <c r="E2659" t="inlineStr">
        <is>
          <t>HULTSFRED</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47626-2019</t>
        </is>
      </c>
      <c r="B2660" s="1" t="n">
        <v>43724</v>
      </c>
      <c r="C2660" s="1" t="n">
        <v>45190</v>
      </c>
      <c r="D2660" t="inlineStr">
        <is>
          <t>KALMAR LÄN</t>
        </is>
      </c>
      <c r="E2660" t="inlineStr">
        <is>
          <t>HULTSFRED</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47717-2019</t>
        </is>
      </c>
      <c r="B2661" s="1" t="n">
        <v>43724</v>
      </c>
      <c r="C2661" s="1" t="n">
        <v>45190</v>
      </c>
      <c r="D2661" t="inlineStr">
        <is>
          <t>KALMAR LÄN</t>
        </is>
      </c>
      <c r="E2661" t="inlineStr">
        <is>
          <t>KALMAR</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47715-2019</t>
        </is>
      </c>
      <c r="B2662" s="1" t="n">
        <v>43724</v>
      </c>
      <c r="C2662" s="1" t="n">
        <v>45190</v>
      </c>
      <c r="D2662" t="inlineStr">
        <is>
          <t>KALMAR LÄN</t>
        </is>
      </c>
      <c r="E2662" t="inlineStr">
        <is>
          <t>TORSÅS</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47954-2019</t>
        </is>
      </c>
      <c r="B2663" s="1" t="n">
        <v>43725</v>
      </c>
      <c r="C2663" s="1" t="n">
        <v>45190</v>
      </c>
      <c r="D2663" t="inlineStr">
        <is>
          <t>KALMAR LÄN</t>
        </is>
      </c>
      <c r="E2663" t="inlineStr">
        <is>
          <t>VÄSTERVIK</t>
        </is>
      </c>
      <c r="G2663" t="n">
        <v>6.8</v>
      </c>
      <c r="H2663" t="n">
        <v>0</v>
      </c>
      <c r="I2663" t="n">
        <v>0</v>
      </c>
      <c r="J2663" t="n">
        <v>0</v>
      </c>
      <c r="K2663" t="n">
        <v>0</v>
      </c>
      <c r="L2663" t="n">
        <v>0</v>
      </c>
      <c r="M2663" t="n">
        <v>0</v>
      </c>
      <c r="N2663" t="n">
        <v>0</v>
      </c>
      <c r="O2663" t="n">
        <v>0</v>
      </c>
      <c r="P2663" t="n">
        <v>0</v>
      </c>
      <c r="Q2663" t="n">
        <v>0</v>
      </c>
      <c r="R2663" s="2" t="inlineStr"/>
    </row>
    <row r="2664" ht="15" customHeight="1">
      <c r="A2664" t="inlineStr">
        <is>
          <t>A 48051-2019</t>
        </is>
      </c>
      <c r="B2664" s="1" t="n">
        <v>43725</v>
      </c>
      <c r="C2664" s="1" t="n">
        <v>45190</v>
      </c>
      <c r="D2664" t="inlineStr">
        <is>
          <t>KALMAR LÄN</t>
        </is>
      </c>
      <c r="E2664" t="inlineStr">
        <is>
          <t>VIMMERBY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48068-2019</t>
        </is>
      </c>
      <c r="B2665" s="1" t="n">
        <v>43725</v>
      </c>
      <c r="C2665" s="1" t="n">
        <v>45190</v>
      </c>
      <c r="D2665" t="inlineStr">
        <is>
          <t>KALMAR LÄN</t>
        </is>
      </c>
      <c r="E2665" t="inlineStr">
        <is>
          <t>NYBRO</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47870-2019</t>
        </is>
      </c>
      <c r="B2666" s="1" t="n">
        <v>43725</v>
      </c>
      <c r="C2666" s="1" t="n">
        <v>45190</v>
      </c>
      <c r="D2666" t="inlineStr">
        <is>
          <t>KALMAR LÄN</t>
        </is>
      </c>
      <c r="E2666" t="inlineStr">
        <is>
          <t>MÖRBYLÅNGA</t>
        </is>
      </c>
      <c r="G2666" t="n">
        <v>8.6</v>
      </c>
      <c r="H2666" t="n">
        <v>0</v>
      </c>
      <c r="I2666" t="n">
        <v>0</v>
      </c>
      <c r="J2666" t="n">
        <v>0</v>
      </c>
      <c r="K2666" t="n">
        <v>0</v>
      </c>
      <c r="L2666" t="n">
        <v>0</v>
      </c>
      <c r="M2666" t="n">
        <v>0</v>
      </c>
      <c r="N2666" t="n">
        <v>0</v>
      </c>
      <c r="O2666" t="n">
        <v>0</v>
      </c>
      <c r="P2666" t="n">
        <v>0</v>
      </c>
      <c r="Q2666" t="n">
        <v>0</v>
      </c>
      <c r="R2666" s="2" t="inlineStr"/>
    </row>
    <row r="2667" ht="15" customHeight="1">
      <c r="A2667" t="inlineStr">
        <is>
          <t>A 47956-2019</t>
        </is>
      </c>
      <c r="B2667" s="1" t="n">
        <v>43725</v>
      </c>
      <c r="C2667" s="1" t="n">
        <v>45190</v>
      </c>
      <c r="D2667" t="inlineStr">
        <is>
          <t>KALMAR LÄN</t>
        </is>
      </c>
      <c r="E2667" t="inlineStr">
        <is>
          <t>VÄSTERVIK</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48029-2019</t>
        </is>
      </c>
      <c r="B2668" s="1" t="n">
        <v>43725</v>
      </c>
      <c r="C2668" s="1" t="n">
        <v>45190</v>
      </c>
      <c r="D2668" t="inlineStr">
        <is>
          <t>KALMAR LÄN</t>
        </is>
      </c>
      <c r="E2668" t="inlineStr">
        <is>
          <t>VIMMERBY</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48102-2019</t>
        </is>
      </c>
      <c r="B2669" s="1" t="n">
        <v>43725</v>
      </c>
      <c r="C2669" s="1" t="n">
        <v>45190</v>
      </c>
      <c r="D2669" t="inlineStr">
        <is>
          <t>KALMAR LÄN</t>
        </is>
      </c>
      <c r="E2669" t="inlineStr">
        <is>
          <t>HÖGSBY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47897-2019</t>
        </is>
      </c>
      <c r="B2670" s="1" t="n">
        <v>43725</v>
      </c>
      <c r="C2670" s="1" t="n">
        <v>45190</v>
      </c>
      <c r="D2670" t="inlineStr">
        <is>
          <t>KALMAR LÄN</t>
        </is>
      </c>
      <c r="E2670" t="inlineStr">
        <is>
          <t>MÖRBYLÅNGA</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48101-2019</t>
        </is>
      </c>
      <c r="B2671" s="1" t="n">
        <v>43725</v>
      </c>
      <c r="C2671" s="1" t="n">
        <v>45190</v>
      </c>
      <c r="D2671" t="inlineStr">
        <is>
          <t>KALMAR LÄN</t>
        </is>
      </c>
      <c r="E2671" t="inlineStr">
        <is>
          <t>HÖGSBY</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48163-2019</t>
        </is>
      </c>
      <c r="B2672" s="1" t="n">
        <v>43726</v>
      </c>
      <c r="C2672" s="1" t="n">
        <v>45190</v>
      </c>
      <c r="D2672" t="inlineStr">
        <is>
          <t>KALMAR LÄN</t>
        </is>
      </c>
      <c r="E2672" t="inlineStr">
        <is>
          <t>OSKARSHAMN</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48172-2019</t>
        </is>
      </c>
      <c r="B2673" s="1" t="n">
        <v>43726</v>
      </c>
      <c r="C2673" s="1" t="n">
        <v>45190</v>
      </c>
      <c r="D2673" t="inlineStr">
        <is>
          <t>KALMAR LÄN</t>
        </is>
      </c>
      <c r="E2673" t="inlineStr">
        <is>
          <t>HÖGSBY</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48290-2019</t>
        </is>
      </c>
      <c r="B2674" s="1" t="n">
        <v>43726</v>
      </c>
      <c r="C2674" s="1" t="n">
        <v>45190</v>
      </c>
      <c r="D2674" t="inlineStr">
        <is>
          <t>KALMAR LÄN</t>
        </is>
      </c>
      <c r="E2674" t="inlineStr">
        <is>
          <t>TORSÅS</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48256-2019</t>
        </is>
      </c>
      <c r="B2675" s="1" t="n">
        <v>43726</v>
      </c>
      <c r="C2675" s="1" t="n">
        <v>45190</v>
      </c>
      <c r="D2675" t="inlineStr">
        <is>
          <t>KALMAR LÄN</t>
        </is>
      </c>
      <c r="E2675" t="inlineStr">
        <is>
          <t>KALMAR</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48381-2019</t>
        </is>
      </c>
      <c r="B2676" s="1" t="n">
        <v>43726</v>
      </c>
      <c r="C2676" s="1" t="n">
        <v>45190</v>
      </c>
      <c r="D2676" t="inlineStr">
        <is>
          <t>KALMAR LÄN</t>
        </is>
      </c>
      <c r="E2676" t="inlineStr">
        <is>
          <t>VIMMERBY</t>
        </is>
      </c>
      <c r="F2676" t="inlineStr">
        <is>
          <t>Sveaskog</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48164-2019</t>
        </is>
      </c>
      <c r="B2677" s="1" t="n">
        <v>43726</v>
      </c>
      <c r="C2677" s="1" t="n">
        <v>45190</v>
      </c>
      <c r="D2677" t="inlineStr">
        <is>
          <t>KALMAR LÄN</t>
        </is>
      </c>
      <c r="E2677" t="inlineStr">
        <is>
          <t>VIMMERBY</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48353-2019</t>
        </is>
      </c>
      <c r="B2678" s="1" t="n">
        <v>43726</v>
      </c>
      <c r="C2678" s="1" t="n">
        <v>45190</v>
      </c>
      <c r="D2678" t="inlineStr">
        <is>
          <t>KALMAR LÄN</t>
        </is>
      </c>
      <c r="E2678" t="inlineStr">
        <is>
          <t>HULTSFRED</t>
        </is>
      </c>
      <c r="G2678" t="n">
        <v>0.2</v>
      </c>
      <c r="H2678" t="n">
        <v>0</v>
      </c>
      <c r="I2678" t="n">
        <v>0</v>
      </c>
      <c r="J2678" t="n">
        <v>0</v>
      </c>
      <c r="K2678" t="n">
        <v>0</v>
      </c>
      <c r="L2678" t="n">
        <v>0</v>
      </c>
      <c r="M2678" t="n">
        <v>0</v>
      </c>
      <c r="N2678" t="n">
        <v>0</v>
      </c>
      <c r="O2678" t="n">
        <v>0</v>
      </c>
      <c r="P2678" t="n">
        <v>0</v>
      </c>
      <c r="Q2678" t="n">
        <v>0</v>
      </c>
      <c r="R2678" s="2" t="inlineStr"/>
    </row>
    <row r="2679" ht="15" customHeight="1">
      <c r="A2679" t="inlineStr">
        <is>
          <t>A 48380-2019</t>
        </is>
      </c>
      <c r="B2679" s="1" t="n">
        <v>43726</v>
      </c>
      <c r="C2679" s="1" t="n">
        <v>45190</v>
      </c>
      <c r="D2679" t="inlineStr">
        <is>
          <t>KALMAR LÄN</t>
        </is>
      </c>
      <c r="E2679" t="inlineStr">
        <is>
          <t>VIMMERBY</t>
        </is>
      </c>
      <c r="F2679" t="inlineStr">
        <is>
          <t>Sveaskog</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48333-2019</t>
        </is>
      </c>
      <c r="B2680" s="1" t="n">
        <v>43726</v>
      </c>
      <c r="C2680" s="1" t="n">
        <v>45190</v>
      </c>
      <c r="D2680" t="inlineStr">
        <is>
          <t>KALMAR LÄN</t>
        </is>
      </c>
      <c r="E2680" t="inlineStr">
        <is>
          <t>HULTSFRED</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48357-2019</t>
        </is>
      </c>
      <c r="B2681" s="1" t="n">
        <v>43726</v>
      </c>
      <c r="C2681" s="1" t="n">
        <v>45190</v>
      </c>
      <c r="D2681" t="inlineStr">
        <is>
          <t>KALMAR LÄN</t>
        </is>
      </c>
      <c r="E2681" t="inlineStr">
        <is>
          <t>VÄSTERVIK</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48367-2019</t>
        </is>
      </c>
      <c r="B2682" s="1" t="n">
        <v>43726</v>
      </c>
      <c r="C2682" s="1" t="n">
        <v>45190</v>
      </c>
      <c r="D2682" t="inlineStr">
        <is>
          <t>KALMAR LÄN</t>
        </is>
      </c>
      <c r="E2682" t="inlineStr">
        <is>
          <t>OSKARSHAMN</t>
        </is>
      </c>
      <c r="G2682" t="n">
        <v>5.2</v>
      </c>
      <c r="H2682" t="n">
        <v>0</v>
      </c>
      <c r="I2682" t="n">
        <v>0</v>
      </c>
      <c r="J2682" t="n">
        <v>0</v>
      </c>
      <c r="K2682" t="n">
        <v>0</v>
      </c>
      <c r="L2682" t="n">
        <v>0</v>
      </c>
      <c r="M2682" t="n">
        <v>0</v>
      </c>
      <c r="N2682" t="n">
        <v>0</v>
      </c>
      <c r="O2682" t="n">
        <v>0</v>
      </c>
      <c r="P2682" t="n">
        <v>0</v>
      </c>
      <c r="Q2682" t="n">
        <v>0</v>
      </c>
      <c r="R2682" s="2" t="inlineStr"/>
    </row>
    <row r="2683" ht="15" customHeight="1">
      <c r="A2683" t="inlineStr">
        <is>
          <t>A 48818-2019</t>
        </is>
      </c>
      <c r="B2683" s="1" t="n">
        <v>43727</v>
      </c>
      <c r="C2683" s="1" t="n">
        <v>45190</v>
      </c>
      <c r="D2683" t="inlineStr">
        <is>
          <t>KALMAR LÄN</t>
        </is>
      </c>
      <c r="E2683" t="inlineStr">
        <is>
          <t>KALMAR</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48600-2019</t>
        </is>
      </c>
      <c r="B2684" s="1" t="n">
        <v>43727</v>
      </c>
      <c r="C2684" s="1" t="n">
        <v>45190</v>
      </c>
      <c r="D2684" t="inlineStr">
        <is>
          <t>KALMAR LÄN</t>
        </is>
      </c>
      <c r="E2684" t="inlineStr">
        <is>
          <t>HÖGSBY</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48634-2019</t>
        </is>
      </c>
      <c r="B2685" s="1" t="n">
        <v>43727</v>
      </c>
      <c r="C2685" s="1" t="n">
        <v>45190</v>
      </c>
      <c r="D2685" t="inlineStr">
        <is>
          <t>KALMAR LÄN</t>
        </is>
      </c>
      <c r="E2685" t="inlineStr">
        <is>
          <t>KALMAR</t>
        </is>
      </c>
      <c r="G2685" t="n">
        <v>6.8</v>
      </c>
      <c r="H2685" t="n">
        <v>0</v>
      </c>
      <c r="I2685" t="n">
        <v>0</v>
      </c>
      <c r="J2685" t="n">
        <v>0</v>
      </c>
      <c r="K2685" t="n">
        <v>0</v>
      </c>
      <c r="L2685" t="n">
        <v>0</v>
      </c>
      <c r="M2685" t="n">
        <v>0</v>
      </c>
      <c r="N2685" t="n">
        <v>0</v>
      </c>
      <c r="O2685" t="n">
        <v>0</v>
      </c>
      <c r="P2685" t="n">
        <v>0</v>
      </c>
      <c r="Q2685" t="n">
        <v>0</v>
      </c>
      <c r="R2685" s="2" t="inlineStr"/>
    </row>
    <row r="2686" ht="15" customHeight="1">
      <c r="A2686" t="inlineStr">
        <is>
          <t>A 48750-2019</t>
        </is>
      </c>
      <c r="B2686" s="1" t="n">
        <v>43727</v>
      </c>
      <c r="C2686" s="1" t="n">
        <v>45190</v>
      </c>
      <c r="D2686" t="inlineStr">
        <is>
          <t>KALMAR LÄN</t>
        </is>
      </c>
      <c r="E2686" t="inlineStr">
        <is>
          <t>NYBRO</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48754-2019</t>
        </is>
      </c>
      <c r="B2687" s="1" t="n">
        <v>43727</v>
      </c>
      <c r="C2687" s="1" t="n">
        <v>45190</v>
      </c>
      <c r="D2687" t="inlineStr">
        <is>
          <t>KALMAR LÄN</t>
        </is>
      </c>
      <c r="E2687" t="inlineStr">
        <is>
          <t>KALMAR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48644-2019</t>
        </is>
      </c>
      <c r="B2688" s="1" t="n">
        <v>43728</v>
      </c>
      <c r="C2688" s="1" t="n">
        <v>45190</v>
      </c>
      <c r="D2688" t="inlineStr">
        <is>
          <t>KALMAR LÄN</t>
        </is>
      </c>
      <c r="E2688" t="inlineStr">
        <is>
          <t>HULTSFRED</t>
        </is>
      </c>
      <c r="F2688" t="inlineStr">
        <is>
          <t>Sveaskog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48648-2019</t>
        </is>
      </c>
      <c r="B2689" s="1" t="n">
        <v>43728</v>
      </c>
      <c r="C2689" s="1" t="n">
        <v>45190</v>
      </c>
      <c r="D2689" t="inlineStr">
        <is>
          <t>KALMAR LÄN</t>
        </is>
      </c>
      <c r="E2689" t="inlineStr">
        <is>
          <t>TORSÅS</t>
        </is>
      </c>
      <c r="G2689" t="n">
        <v>12.2</v>
      </c>
      <c r="H2689" t="n">
        <v>0</v>
      </c>
      <c r="I2689" t="n">
        <v>0</v>
      </c>
      <c r="J2689" t="n">
        <v>0</v>
      </c>
      <c r="K2689" t="n">
        <v>0</v>
      </c>
      <c r="L2689" t="n">
        <v>0</v>
      </c>
      <c r="M2689" t="n">
        <v>0</v>
      </c>
      <c r="N2689" t="n">
        <v>0</v>
      </c>
      <c r="O2689" t="n">
        <v>0</v>
      </c>
      <c r="P2689" t="n">
        <v>0</v>
      </c>
      <c r="Q2689" t="n">
        <v>0</v>
      </c>
      <c r="R2689" s="2" t="inlineStr"/>
    </row>
    <row r="2690" ht="15" customHeight="1">
      <c r="A2690" t="inlineStr">
        <is>
          <t>A 48646-2019</t>
        </is>
      </c>
      <c r="B2690" s="1" t="n">
        <v>43728</v>
      </c>
      <c r="C2690" s="1" t="n">
        <v>45190</v>
      </c>
      <c r="D2690" t="inlineStr">
        <is>
          <t>KALMAR LÄN</t>
        </is>
      </c>
      <c r="E2690" t="inlineStr">
        <is>
          <t>KALMAR</t>
        </is>
      </c>
      <c r="G2690" t="n">
        <v>11.5</v>
      </c>
      <c r="H2690" t="n">
        <v>0</v>
      </c>
      <c r="I2690" t="n">
        <v>0</v>
      </c>
      <c r="J2690" t="n">
        <v>0</v>
      </c>
      <c r="K2690" t="n">
        <v>0</v>
      </c>
      <c r="L2690" t="n">
        <v>0</v>
      </c>
      <c r="M2690" t="n">
        <v>0</v>
      </c>
      <c r="N2690" t="n">
        <v>0</v>
      </c>
      <c r="O2690" t="n">
        <v>0</v>
      </c>
      <c r="P2690" t="n">
        <v>0</v>
      </c>
      <c r="Q2690" t="n">
        <v>0</v>
      </c>
      <c r="R2690" s="2" t="inlineStr"/>
    </row>
    <row r="2691" ht="15" customHeight="1">
      <c r="A2691" t="inlineStr">
        <is>
          <t>A 48645-2019</t>
        </is>
      </c>
      <c r="B2691" s="1" t="n">
        <v>43728</v>
      </c>
      <c r="C2691" s="1" t="n">
        <v>45190</v>
      </c>
      <c r="D2691" t="inlineStr">
        <is>
          <t>KALMAR LÄN</t>
        </is>
      </c>
      <c r="E2691" t="inlineStr">
        <is>
          <t>KALMAR</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48834-2019</t>
        </is>
      </c>
      <c r="B2692" s="1" t="n">
        <v>43728</v>
      </c>
      <c r="C2692" s="1" t="n">
        <v>45190</v>
      </c>
      <c r="D2692" t="inlineStr">
        <is>
          <t>KALMAR LÄN</t>
        </is>
      </c>
      <c r="E2692" t="inlineStr">
        <is>
          <t>VIMMERBY</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48921-2019</t>
        </is>
      </c>
      <c r="B2693" s="1" t="n">
        <v>43728</v>
      </c>
      <c r="C2693" s="1" t="n">
        <v>45190</v>
      </c>
      <c r="D2693" t="inlineStr">
        <is>
          <t>KALMAR LÄN</t>
        </is>
      </c>
      <c r="E2693" t="inlineStr">
        <is>
          <t>VIMMERBY</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48983-2019</t>
        </is>
      </c>
      <c r="B2694" s="1" t="n">
        <v>43729</v>
      </c>
      <c r="C2694" s="1" t="n">
        <v>45190</v>
      </c>
      <c r="D2694" t="inlineStr">
        <is>
          <t>KALMAR LÄN</t>
        </is>
      </c>
      <c r="E2694" t="inlineStr">
        <is>
          <t>VÄSTERVIK</t>
        </is>
      </c>
      <c r="F2694" t="inlineStr">
        <is>
          <t>Sveaskog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48982-2019</t>
        </is>
      </c>
      <c r="B2695" s="1" t="n">
        <v>43729</v>
      </c>
      <c r="C2695" s="1" t="n">
        <v>45190</v>
      </c>
      <c r="D2695" t="inlineStr">
        <is>
          <t>KALMAR LÄN</t>
        </is>
      </c>
      <c r="E2695" t="inlineStr">
        <is>
          <t>VÄSTERVIK</t>
        </is>
      </c>
      <c r="F2695" t="inlineStr">
        <is>
          <t>Sveaskog</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48981-2019</t>
        </is>
      </c>
      <c r="B2696" s="1" t="n">
        <v>43729</v>
      </c>
      <c r="C2696" s="1" t="n">
        <v>45190</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49326-2019</t>
        </is>
      </c>
      <c r="B2697" s="1" t="n">
        <v>43730</v>
      </c>
      <c r="C2697" s="1" t="n">
        <v>45190</v>
      </c>
      <c r="D2697" t="inlineStr">
        <is>
          <t>KALMAR LÄN</t>
        </is>
      </c>
      <c r="E2697" t="inlineStr">
        <is>
          <t>HÖGSBY</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49317-2019</t>
        </is>
      </c>
      <c r="B2698" s="1" t="n">
        <v>43730</v>
      </c>
      <c r="C2698" s="1" t="n">
        <v>45190</v>
      </c>
      <c r="D2698" t="inlineStr">
        <is>
          <t>KALMAR LÄN</t>
        </is>
      </c>
      <c r="E2698" t="inlineStr">
        <is>
          <t>HÖGSBY</t>
        </is>
      </c>
      <c r="G2698" t="n">
        <v>12.5</v>
      </c>
      <c r="H2698" t="n">
        <v>0</v>
      </c>
      <c r="I2698" t="n">
        <v>0</v>
      </c>
      <c r="J2698" t="n">
        <v>0</v>
      </c>
      <c r="K2698" t="n">
        <v>0</v>
      </c>
      <c r="L2698" t="n">
        <v>0</v>
      </c>
      <c r="M2698" t="n">
        <v>0</v>
      </c>
      <c r="N2698" t="n">
        <v>0</v>
      </c>
      <c r="O2698" t="n">
        <v>0</v>
      </c>
      <c r="P2698" t="n">
        <v>0</v>
      </c>
      <c r="Q2698" t="n">
        <v>0</v>
      </c>
      <c r="R2698" s="2" t="inlineStr"/>
    </row>
    <row r="2699" ht="15" customHeight="1">
      <c r="A2699" t="inlineStr">
        <is>
          <t>A 49208-2019</t>
        </is>
      </c>
      <c r="B2699" s="1" t="n">
        <v>43731</v>
      </c>
      <c r="C2699" s="1" t="n">
        <v>45190</v>
      </c>
      <c r="D2699" t="inlineStr">
        <is>
          <t>KALMAR LÄN</t>
        </is>
      </c>
      <c r="E2699" t="inlineStr">
        <is>
          <t>VIMMERBY</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49325-2019</t>
        </is>
      </c>
      <c r="B2700" s="1" t="n">
        <v>43731</v>
      </c>
      <c r="C2700" s="1" t="n">
        <v>45190</v>
      </c>
      <c r="D2700" t="inlineStr">
        <is>
          <t>KALMAR LÄN</t>
        </is>
      </c>
      <c r="E2700" t="inlineStr">
        <is>
          <t>HÖGSBY</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49212-2019</t>
        </is>
      </c>
      <c r="B2701" s="1" t="n">
        <v>43731</v>
      </c>
      <c r="C2701" s="1" t="n">
        <v>45190</v>
      </c>
      <c r="D2701" t="inlineStr">
        <is>
          <t>KALMAR LÄN</t>
        </is>
      </c>
      <c r="E2701" t="inlineStr">
        <is>
          <t>VIMMERBY</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49124-2019</t>
        </is>
      </c>
      <c r="B2702" s="1" t="n">
        <v>43731</v>
      </c>
      <c r="C2702" s="1" t="n">
        <v>45190</v>
      </c>
      <c r="D2702" t="inlineStr">
        <is>
          <t>KALMAR LÄN</t>
        </is>
      </c>
      <c r="E2702" t="inlineStr">
        <is>
          <t>MÖNSTERÅS</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49206-2019</t>
        </is>
      </c>
      <c r="B2703" s="1" t="n">
        <v>43731</v>
      </c>
      <c r="C2703" s="1" t="n">
        <v>45190</v>
      </c>
      <c r="D2703" t="inlineStr">
        <is>
          <t>KALMAR LÄN</t>
        </is>
      </c>
      <c r="E2703" t="inlineStr">
        <is>
          <t>VIMMERBY</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49319-2019</t>
        </is>
      </c>
      <c r="B2704" s="1" t="n">
        <v>43731</v>
      </c>
      <c r="C2704" s="1" t="n">
        <v>45190</v>
      </c>
      <c r="D2704" t="inlineStr">
        <is>
          <t>KALMAR LÄN</t>
        </is>
      </c>
      <c r="E2704" t="inlineStr">
        <is>
          <t>NYBRO</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49428-2019</t>
        </is>
      </c>
      <c r="B2705" s="1" t="n">
        <v>43732</v>
      </c>
      <c r="C2705" s="1" t="n">
        <v>45190</v>
      </c>
      <c r="D2705" t="inlineStr">
        <is>
          <t>KALMAR LÄN</t>
        </is>
      </c>
      <c r="E2705" t="inlineStr">
        <is>
          <t>HULTSFRED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49664-2019</t>
        </is>
      </c>
      <c r="B2706" s="1" t="n">
        <v>43732</v>
      </c>
      <c r="C2706" s="1" t="n">
        <v>45190</v>
      </c>
      <c r="D2706" t="inlineStr">
        <is>
          <t>KALMAR LÄN</t>
        </is>
      </c>
      <c r="E2706" t="inlineStr">
        <is>
          <t>TORSÅS</t>
        </is>
      </c>
      <c r="G2706" t="n">
        <v>5.8</v>
      </c>
      <c r="H2706" t="n">
        <v>0</v>
      </c>
      <c r="I2706" t="n">
        <v>0</v>
      </c>
      <c r="J2706" t="n">
        <v>0</v>
      </c>
      <c r="K2706" t="n">
        <v>0</v>
      </c>
      <c r="L2706" t="n">
        <v>0</v>
      </c>
      <c r="M2706" t="n">
        <v>0</v>
      </c>
      <c r="N2706" t="n">
        <v>0</v>
      </c>
      <c r="O2706" t="n">
        <v>0</v>
      </c>
      <c r="P2706" t="n">
        <v>0</v>
      </c>
      <c r="Q2706" t="n">
        <v>0</v>
      </c>
      <c r="R2706" s="2" t="inlineStr"/>
    </row>
    <row r="2707" ht="15" customHeight="1">
      <c r="A2707" t="inlineStr">
        <is>
          <t>A 51096-2019</t>
        </is>
      </c>
      <c r="B2707" s="1" t="n">
        <v>43732</v>
      </c>
      <c r="C2707" s="1" t="n">
        <v>45190</v>
      </c>
      <c r="D2707" t="inlineStr">
        <is>
          <t>KALMAR LÄN</t>
        </is>
      </c>
      <c r="E2707" t="inlineStr">
        <is>
          <t>OSKARSHAMN</t>
        </is>
      </c>
      <c r="G2707" t="n">
        <v>2.6</v>
      </c>
      <c r="H2707" t="n">
        <v>0</v>
      </c>
      <c r="I2707" t="n">
        <v>0</v>
      </c>
      <c r="J2707" t="n">
        <v>0</v>
      </c>
      <c r="K2707" t="n">
        <v>0</v>
      </c>
      <c r="L2707" t="n">
        <v>0</v>
      </c>
      <c r="M2707" t="n">
        <v>0</v>
      </c>
      <c r="N2707" t="n">
        <v>0</v>
      </c>
      <c r="O2707" t="n">
        <v>0</v>
      </c>
      <c r="P2707" t="n">
        <v>0</v>
      </c>
      <c r="Q2707" t="n">
        <v>0</v>
      </c>
      <c r="R2707" s="2" t="inlineStr"/>
    </row>
    <row r="2708" ht="15" customHeight="1">
      <c r="A2708" t="inlineStr">
        <is>
          <t>A 49575-2019</t>
        </is>
      </c>
      <c r="B2708" s="1" t="n">
        <v>43732</v>
      </c>
      <c r="C2708" s="1" t="n">
        <v>45190</v>
      </c>
      <c r="D2708" t="inlineStr">
        <is>
          <t>KALMAR LÄN</t>
        </is>
      </c>
      <c r="E2708" t="inlineStr">
        <is>
          <t>NYBRO</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49666-2019</t>
        </is>
      </c>
      <c r="B2709" s="1" t="n">
        <v>43732</v>
      </c>
      <c r="C2709" s="1" t="n">
        <v>45190</v>
      </c>
      <c r="D2709" t="inlineStr">
        <is>
          <t>KALMAR LÄN</t>
        </is>
      </c>
      <c r="E2709" t="inlineStr">
        <is>
          <t>TORSÅS</t>
        </is>
      </c>
      <c r="G2709" t="n">
        <v>4.2</v>
      </c>
      <c r="H2709" t="n">
        <v>0</v>
      </c>
      <c r="I2709" t="n">
        <v>0</v>
      </c>
      <c r="J2709" t="n">
        <v>0</v>
      </c>
      <c r="K2709" t="n">
        <v>0</v>
      </c>
      <c r="L2709" t="n">
        <v>0</v>
      </c>
      <c r="M2709" t="n">
        <v>0</v>
      </c>
      <c r="N2709" t="n">
        <v>0</v>
      </c>
      <c r="O2709" t="n">
        <v>0</v>
      </c>
      <c r="P2709" t="n">
        <v>0</v>
      </c>
      <c r="Q2709" t="n">
        <v>0</v>
      </c>
      <c r="R2709" s="2" t="inlineStr"/>
    </row>
    <row r="2710" ht="15" customHeight="1">
      <c r="A2710" t="inlineStr">
        <is>
          <t>A 51133-2019</t>
        </is>
      </c>
      <c r="B2710" s="1" t="n">
        <v>43732</v>
      </c>
      <c r="C2710" s="1" t="n">
        <v>45190</v>
      </c>
      <c r="D2710" t="inlineStr">
        <is>
          <t>KALMAR LÄN</t>
        </is>
      </c>
      <c r="E2710" t="inlineStr">
        <is>
          <t>KALMAR</t>
        </is>
      </c>
      <c r="G2710" t="n">
        <v>3.5</v>
      </c>
      <c r="H2710" t="n">
        <v>0</v>
      </c>
      <c r="I2710" t="n">
        <v>0</v>
      </c>
      <c r="J2710" t="n">
        <v>0</v>
      </c>
      <c r="K2710" t="n">
        <v>0</v>
      </c>
      <c r="L2710" t="n">
        <v>0</v>
      </c>
      <c r="M2710" t="n">
        <v>0</v>
      </c>
      <c r="N2710" t="n">
        <v>0</v>
      </c>
      <c r="O2710" t="n">
        <v>0</v>
      </c>
      <c r="P2710" t="n">
        <v>0</v>
      </c>
      <c r="Q2710" t="n">
        <v>0</v>
      </c>
      <c r="R2710" s="2" t="inlineStr"/>
    </row>
    <row r="2711" ht="15" customHeight="1">
      <c r="A2711" t="inlineStr">
        <is>
          <t>A 49663-2019</t>
        </is>
      </c>
      <c r="B2711" s="1" t="n">
        <v>43732</v>
      </c>
      <c r="C2711" s="1" t="n">
        <v>45190</v>
      </c>
      <c r="D2711" t="inlineStr">
        <is>
          <t>KALMAR LÄN</t>
        </is>
      </c>
      <c r="E2711" t="inlineStr">
        <is>
          <t>TORSÅS</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51085-2019</t>
        </is>
      </c>
      <c r="B2712" s="1" t="n">
        <v>43732</v>
      </c>
      <c r="C2712" s="1" t="n">
        <v>45190</v>
      </c>
      <c r="D2712" t="inlineStr">
        <is>
          <t>KALMAR LÄN</t>
        </is>
      </c>
      <c r="E2712" t="inlineStr">
        <is>
          <t>EMMABODA</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49389-2019</t>
        </is>
      </c>
      <c r="B2713" s="1" t="n">
        <v>43732</v>
      </c>
      <c r="C2713" s="1" t="n">
        <v>45190</v>
      </c>
      <c r="D2713" t="inlineStr">
        <is>
          <t>KALMAR LÄN</t>
        </is>
      </c>
      <c r="E2713" t="inlineStr">
        <is>
          <t>NYBRO</t>
        </is>
      </c>
      <c r="G2713" t="n">
        <v>6.1</v>
      </c>
      <c r="H2713" t="n">
        <v>0</v>
      </c>
      <c r="I2713" t="n">
        <v>0</v>
      </c>
      <c r="J2713" t="n">
        <v>0</v>
      </c>
      <c r="K2713" t="n">
        <v>0</v>
      </c>
      <c r="L2713" t="n">
        <v>0</v>
      </c>
      <c r="M2713" t="n">
        <v>0</v>
      </c>
      <c r="N2713" t="n">
        <v>0</v>
      </c>
      <c r="O2713" t="n">
        <v>0</v>
      </c>
      <c r="P2713" t="n">
        <v>0</v>
      </c>
      <c r="Q2713" t="n">
        <v>0</v>
      </c>
      <c r="R2713" s="2" t="inlineStr"/>
    </row>
    <row r="2714" ht="15" customHeight="1">
      <c r="A2714" t="inlineStr">
        <is>
          <t>A 49669-2019</t>
        </is>
      </c>
      <c r="B2714" s="1" t="n">
        <v>43732</v>
      </c>
      <c r="C2714" s="1" t="n">
        <v>45190</v>
      </c>
      <c r="D2714" t="inlineStr">
        <is>
          <t>KALMAR LÄN</t>
        </is>
      </c>
      <c r="E2714" t="inlineStr">
        <is>
          <t>TORSÅS</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49741-2019</t>
        </is>
      </c>
      <c r="B2715" s="1" t="n">
        <v>43733</v>
      </c>
      <c r="C2715" s="1" t="n">
        <v>45190</v>
      </c>
      <c r="D2715" t="inlineStr">
        <is>
          <t>KALMAR LÄN</t>
        </is>
      </c>
      <c r="E2715" t="inlineStr">
        <is>
          <t>VIMMERBY</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49760-2019</t>
        </is>
      </c>
      <c r="B2716" s="1" t="n">
        <v>43733</v>
      </c>
      <c r="C2716" s="1" t="n">
        <v>45190</v>
      </c>
      <c r="D2716" t="inlineStr">
        <is>
          <t>KALMAR LÄN</t>
        </is>
      </c>
      <c r="E2716" t="inlineStr">
        <is>
          <t>VIMMERBY</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51486-2019</t>
        </is>
      </c>
      <c r="B2717" s="1" t="n">
        <v>43733</v>
      </c>
      <c r="C2717" s="1" t="n">
        <v>45190</v>
      </c>
      <c r="D2717" t="inlineStr">
        <is>
          <t>KALMAR LÄN</t>
        </is>
      </c>
      <c r="E2717" t="inlineStr">
        <is>
          <t>KALMAR</t>
        </is>
      </c>
      <c r="G2717" t="n">
        <v>5.5</v>
      </c>
      <c r="H2717" t="n">
        <v>0</v>
      </c>
      <c r="I2717" t="n">
        <v>0</v>
      </c>
      <c r="J2717" t="n">
        <v>0</v>
      </c>
      <c r="K2717" t="n">
        <v>0</v>
      </c>
      <c r="L2717" t="n">
        <v>0</v>
      </c>
      <c r="M2717" t="n">
        <v>0</v>
      </c>
      <c r="N2717" t="n">
        <v>0</v>
      </c>
      <c r="O2717" t="n">
        <v>0</v>
      </c>
      <c r="P2717" t="n">
        <v>0</v>
      </c>
      <c r="Q2717" t="n">
        <v>0</v>
      </c>
      <c r="R2717" s="2" t="inlineStr"/>
    </row>
    <row r="2718" ht="15" customHeight="1">
      <c r="A2718" t="inlineStr">
        <is>
          <t>A 49746-2019</t>
        </is>
      </c>
      <c r="B2718" s="1" t="n">
        <v>43733</v>
      </c>
      <c r="C2718" s="1" t="n">
        <v>45190</v>
      </c>
      <c r="D2718" t="inlineStr">
        <is>
          <t>KALMAR LÄN</t>
        </is>
      </c>
      <c r="E2718" t="inlineStr">
        <is>
          <t>NYBRO</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49891-2019</t>
        </is>
      </c>
      <c r="B2719" s="1" t="n">
        <v>43733</v>
      </c>
      <c r="C2719" s="1" t="n">
        <v>45190</v>
      </c>
      <c r="D2719" t="inlineStr">
        <is>
          <t>KALMAR LÄN</t>
        </is>
      </c>
      <c r="E2719" t="inlineStr">
        <is>
          <t>VIMMERBY</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49901-2019</t>
        </is>
      </c>
      <c r="B2720" s="1" t="n">
        <v>43733</v>
      </c>
      <c r="C2720" s="1" t="n">
        <v>45190</v>
      </c>
      <c r="D2720" t="inlineStr">
        <is>
          <t>KALMAR LÄN</t>
        </is>
      </c>
      <c r="E2720" t="inlineStr">
        <is>
          <t>VIMMERBY</t>
        </is>
      </c>
      <c r="F2720" t="inlineStr">
        <is>
          <t>Sveaskog</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51500-2019</t>
        </is>
      </c>
      <c r="B2721" s="1" t="n">
        <v>43733</v>
      </c>
      <c r="C2721" s="1" t="n">
        <v>45190</v>
      </c>
      <c r="D2721" t="inlineStr">
        <is>
          <t>KALMAR LÄN</t>
        </is>
      </c>
      <c r="E2721" t="inlineStr">
        <is>
          <t>NYBRO</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49695-2019</t>
        </is>
      </c>
      <c r="B2722" s="1" t="n">
        <v>43733</v>
      </c>
      <c r="C2722" s="1" t="n">
        <v>45190</v>
      </c>
      <c r="D2722" t="inlineStr">
        <is>
          <t>KALMAR LÄN</t>
        </is>
      </c>
      <c r="E2722" t="inlineStr">
        <is>
          <t>VIMMERBY</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49855-2019</t>
        </is>
      </c>
      <c r="B2723" s="1" t="n">
        <v>43733</v>
      </c>
      <c r="C2723" s="1" t="n">
        <v>45190</v>
      </c>
      <c r="D2723" t="inlineStr">
        <is>
          <t>KALMAR LÄN</t>
        </is>
      </c>
      <c r="E2723" t="inlineStr">
        <is>
          <t>VIMMERBY</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49885-2019</t>
        </is>
      </c>
      <c r="B2724" s="1" t="n">
        <v>43733</v>
      </c>
      <c r="C2724" s="1" t="n">
        <v>45190</v>
      </c>
      <c r="D2724" t="inlineStr">
        <is>
          <t>KALMAR LÄN</t>
        </is>
      </c>
      <c r="E2724" t="inlineStr">
        <is>
          <t>VIMMERBY</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49904-2019</t>
        </is>
      </c>
      <c r="B2725" s="1" t="n">
        <v>43733</v>
      </c>
      <c r="C2725" s="1" t="n">
        <v>45190</v>
      </c>
      <c r="D2725" t="inlineStr">
        <is>
          <t>KALMAR LÄN</t>
        </is>
      </c>
      <c r="E2725" t="inlineStr">
        <is>
          <t>NYBRO</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51498-2019</t>
        </is>
      </c>
      <c r="B2726" s="1" t="n">
        <v>43733</v>
      </c>
      <c r="C2726" s="1" t="n">
        <v>45190</v>
      </c>
      <c r="D2726" t="inlineStr">
        <is>
          <t>KALMAR LÄN</t>
        </is>
      </c>
      <c r="E2726" t="inlineStr">
        <is>
          <t>EMMABODA</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49747-2019</t>
        </is>
      </c>
      <c r="B2727" s="1" t="n">
        <v>43733</v>
      </c>
      <c r="C2727" s="1" t="n">
        <v>45190</v>
      </c>
      <c r="D2727" t="inlineStr">
        <is>
          <t>KALMAR LÄN</t>
        </is>
      </c>
      <c r="E2727" t="inlineStr">
        <is>
          <t>VIMMERBY</t>
        </is>
      </c>
      <c r="G2727" t="n">
        <v>4.9</v>
      </c>
      <c r="H2727" t="n">
        <v>0</v>
      </c>
      <c r="I2727" t="n">
        <v>0</v>
      </c>
      <c r="J2727" t="n">
        <v>0</v>
      </c>
      <c r="K2727" t="n">
        <v>0</v>
      </c>
      <c r="L2727" t="n">
        <v>0</v>
      </c>
      <c r="M2727" t="n">
        <v>0</v>
      </c>
      <c r="N2727" t="n">
        <v>0</v>
      </c>
      <c r="O2727" t="n">
        <v>0</v>
      </c>
      <c r="P2727" t="n">
        <v>0</v>
      </c>
      <c r="Q2727" t="n">
        <v>0</v>
      </c>
      <c r="R2727" s="2" t="inlineStr"/>
    </row>
    <row r="2728" ht="15" customHeight="1">
      <c r="A2728" t="inlineStr">
        <is>
          <t>A 49810-2019</t>
        </is>
      </c>
      <c r="B2728" s="1" t="n">
        <v>43733</v>
      </c>
      <c r="C2728" s="1" t="n">
        <v>45190</v>
      </c>
      <c r="D2728" t="inlineStr">
        <is>
          <t>KALMAR LÄN</t>
        </is>
      </c>
      <c r="E2728" t="inlineStr">
        <is>
          <t>TORSÅS</t>
        </is>
      </c>
      <c r="G2728" t="n">
        <v>23.7</v>
      </c>
      <c r="H2728" t="n">
        <v>0</v>
      </c>
      <c r="I2728" t="n">
        <v>0</v>
      </c>
      <c r="J2728" t="n">
        <v>0</v>
      </c>
      <c r="K2728" t="n">
        <v>0</v>
      </c>
      <c r="L2728" t="n">
        <v>0</v>
      </c>
      <c r="M2728" t="n">
        <v>0</v>
      </c>
      <c r="N2728" t="n">
        <v>0</v>
      </c>
      <c r="O2728" t="n">
        <v>0</v>
      </c>
      <c r="P2728" t="n">
        <v>0</v>
      </c>
      <c r="Q2728" t="n">
        <v>0</v>
      </c>
      <c r="R2728" s="2" t="inlineStr"/>
    </row>
    <row r="2729" ht="15" customHeight="1">
      <c r="A2729" t="inlineStr">
        <is>
          <t>A 49871-2019</t>
        </is>
      </c>
      <c r="B2729" s="1" t="n">
        <v>43733</v>
      </c>
      <c r="C2729" s="1" t="n">
        <v>45190</v>
      </c>
      <c r="D2729" t="inlineStr">
        <is>
          <t>KALMAR LÄN</t>
        </is>
      </c>
      <c r="E2729" t="inlineStr">
        <is>
          <t>VIMMERBY</t>
        </is>
      </c>
      <c r="F2729" t="inlineStr">
        <is>
          <t>Sveaskog</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49880-2019</t>
        </is>
      </c>
      <c r="B2730" s="1" t="n">
        <v>43733</v>
      </c>
      <c r="C2730" s="1" t="n">
        <v>45190</v>
      </c>
      <c r="D2730" t="inlineStr">
        <is>
          <t>KALMAR LÄN</t>
        </is>
      </c>
      <c r="E2730" t="inlineStr">
        <is>
          <t>VIMMERBY</t>
        </is>
      </c>
      <c r="F2730" t="inlineStr">
        <is>
          <t>Sveaskog</t>
        </is>
      </c>
      <c r="G2730" t="n">
        <v>8.199999999999999</v>
      </c>
      <c r="H2730" t="n">
        <v>0</v>
      </c>
      <c r="I2730" t="n">
        <v>0</v>
      </c>
      <c r="J2730" t="n">
        <v>0</v>
      </c>
      <c r="K2730" t="n">
        <v>0</v>
      </c>
      <c r="L2730" t="n">
        <v>0</v>
      </c>
      <c r="M2730" t="n">
        <v>0</v>
      </c>
      <c r="N2730" t="n">
        <v>0</v>
      </c>
      <c r="O2730" t="n">
        <v>0</v>
      </c>
      <c r="P2730" t="n">
        <v>0</v>
      </c>
      <c r="Q2730" t="n">
        <v>0</v>
      </c>
      <c r="R2730" s="2" t="inlineStr"/>
    </row>
    <row r="2731" ht="15" customHeight="1">
      <c r="A2731" t="inlineStr">
        <is>
          <t>A 49894-2019</t>
        </is>
      </c>
      <c r="B2731" s="1" t="n">
        <v>43733</v>
      </c>
      <c r="C2731" s="1" t="n">
        <v>45190</v>
      </c>
      <c r="D2731" t="inlineStr">
        <is>
          <t>KALMAR LÄN</t>
        </is>
      </c>
      <c r="E2731" t="inlineStr">
        <is>
          <t>HULTSFRED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50051-2019</t>
        </is>
      </c>
      <c r="B2732" s="1" t="n">
        <v>43733</v>
      </c>
      <c r="C2732" s="1" t="n">
        <v>45190</v>
      </c>
      <c r="D2732" t="inlineStr">
        <is>
          <t>KALMAR LÄN</t>
        </is>
      </c>
      <c r="E2732" t="inlineStr">
        <is>
          <t>MÖNSTERÅS</t>
        </is>
      </c>
      <c r="G2732" t="n">
        <v>5.6</v>
      </c>
      <c r="H2732" t="n">
        <v>0</v>
      </c>
      <c r="I2732" t="n">
        <v>0</v>
      </c>
      <c r="J2732" t="n">
        <v>0</v>
      </c>
      <c r="K2732" t="n">
        <v>0</v>
      </c>
      <c r="L2732" t="n">
        <v>0</v>
      </c>
      <c r="M2732" t="n">
        <v>0</v>
      </c>
      <c r="N2732" t="n">
        <v>0</v>
      </c>
      <c r="O2732" t="n">
        <v>0</v>
      </c>
      <c r="P2732" t="n">
        <v>0</v>
      </c>
      <c r="Q2732" t="n">
        <v>0</v>
      </c>
      <c r="R2732" s="2" t="inlineStr"/>
    </row>
    <row r="2733" ht="15" customHeight="1">
      <c r="A2733" t="inlineStr">
        <is>
          <t>A 50113-2019</t>
        </is>
      </c>
      <c r="B2733" s="1" t="n">
        <v>43734</v>
      </c>
      <c r="C2733" s="1" t="n">
        <v>45190</v>
      </c>
      <c r="D2733" t="inlineStr">
        <is>
          <t>KALMAR LÄN</t>
        </is>
      </c>
      <c r="E2733" t="inlineStr">
        <is>
          <t>NYBRO</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50262-2019</t>
        </is>
      </c>
      <c r="B2734" s="1" t="n">
        <v>43734</v>
      </c>
      <c r="C2734" s="1" t="n">
        <v>45190</v>
      </c>
      <c r="D2734" t="inlineStr">
        <is>
          <t>KALMAR LÄN</t>
        </is>
      </c>
      <c r="E2734" t="inlineStr">
        <is>
          <t>TORSÅS</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51986-2019</t>
        </is>
      </c>
      <c r="B2735" s="1" t="n">
        <v>43734</v>
      </c>
      <c r="C2735" s="1" t="n">
        <v>45190</v>
      </c>
      <c r="D2735" t="inlineStr">
        <is>
          <t>KALMAR LÄN</t>
        </is>
      </c>
      <c r="E2735" t="inlineStr">
        <is>
          <t>HULTSFRED</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50214-2019</t>
        </is>
      </c>
      <c r="B2736" s="1" t="n">
        <v>43734</v>
      </c>
      <c r="C2736" s="1" t="n">
        <v>45190</v>
      </c>
      <c r="D2736" t="inlineStr">
        <is>
          <t>KALMAR LÄN</t>
        </is>
      </c>
      <c r="E2736" t="inlineStr">
        <is>
          <t>VIMMERBY</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50086-2019</t>
        </is>
      </c>
      <c r="B2737" s="1" t="n">
        <v>43734</v>
      </c>
      <c r="C2737" s="1" t="n">
        <v>45190</v>
      </c>
      <c r="D2737" t="inlineStr">
        <is>
          <t>KALMAR LÄN</t>
        </is>
      </c>
      <c r="E2737" t="inlineStr">
        <is>
          <t>EMMABODA</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50159-2019</t>
        </is>
      </c>
      <c r="B2738" s="1" t="n">
        <v>43734</v>
      </c>
      <c r="C2738" s="1" t="n">
        <v>45190</v>
      </c>
      <c r="D2738" t="inlineStr">
        <is>
          <t>KALMAR LÄN</t>
        </is>
      </c>
      <c r="E2738" t="inlineStr">
        <is>
          <t>NYBRO</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50167-2019</t>
        </is>
      </c>
      <c r="B2739" s="1" t="n">
        <v>43734</v>
      </c>
      <c r="C2739" s="1" t="n">
        <v>45190</v>
      </c>
      <c r="D2739" t="inlineStr">
        <is>
          <t>KALMAR LÄN</t>
        </is>
      </c>
      <c r="E2739" t="inlineStr">
        <is>
          <t>OSKARSHAMN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50336-2019</t>
        </is>
      </c>
      <c r="B2740" s="1" t="n">
        <v>43735</v>
      </c>
      <c r="C2740" s="1" t="n">
        <v>45190</v>
      </c>
      <c r="D2740" t="inlineStr">
        <is>
          <t>KALMAR LÄN</t>
        </is>
      </c>
      <c r="E2740" t="inlineStr">
        <is>
          <t>MÖNSTERÅS</t>
        </is>
      </c>
      <c r="G2740" t="n">
        <v>5.6</v>
      </c>
      <c r="H2740" t="n">
        <v>0</v>
      </c>
      <c r="I2740" t="n">
        <v>0</v>
      </c>
      <c r="J2740" t="n">
        <v>0</v>
      </c>
      <c r="K2740" t="n">
        <v>0</v>
      </c>
      <c r="L2740" t="n">
        <v>0</v>
      </c>
      <c r="M2740" t="n">
        <v>0</v>
      </c>
      <c r="N2740" t="n">
        <v>0</v>
      </c>
      <c r="O2740" t="n">
        <v>0</v>
      </c>
      <c r="P2740" t="n">
        <v>0</v>
      </c>
      <c r="Q2740" t="n">
        <v>0</v>
      </c>
      <c r="R2740" s="2" t="inlineStr"/>
    </row>
    <row r="2741" ht="15" customHeight="1">
      <c r="A2741" t="inlineStr">
        <is>
          <t>A 50461-2019</t>
        </is>
      </c>
      <c r="B2741" s="1" t="n">
        <v>43735</v>
      </c>
      <c r="C2741" s="1" t="n">
        <v>45190</v>
      </c>
      <c r="D2741" t="inlineStr">
        <is>
          <t>KALMAR LÄN</t>
        </is>
      </c>
      <c r="E2741" t="inlineStr">
        <is>
          <t>VÄSTERVIK</t>
        </is>
      </c>
      <c r="G2741" t="n">
        <v>5.1</v>
      </c>
      <c r="H2741" t="n">
        <v>0</v>
      </c>
      <c r="I2741" t="n">
        <v>0</v>
      </c>
      <c r="J2741" t="n">
        <v>0</v>
      </c>
      <c r="K2741" t="n">
        <v>0</v>
      </c>
      <c r="L2741" t="n">
        <v>0</v>
      </c>
      <c r="M2741" t="n">
        <v>0</v>
      </c>
      <c r="N2741" t="n">
        <v>0</v>
      </c>
      <c r="O2741" t="n">
        <v>0</v>
      </c>
      <c r="P2741" t="n">
        <v>0</v>
      </c>
      <c r="Q2741" t="n">
        <v>0</v>
      </c>
      <c r="R2741" s="2" t="inlineStr"/>
    </row>
    <row r="2742" ht="15" customHeight="1">
      <c r="A2742" t="inlineStr">
        <is>
          <t>A 50317-2019</t>
        </is>
      </c>
      <c r="B2742" s="1" t="n">
        <v>43735</v>
      </c>
      <c r="C2742" s="1" t="n">
        <v>45190</v>
      </c>
      <c r="D2742" t="inlineStr">
        <is>
          <t>KALMAR LÄN</t>
        </is>
      </c>
      <c r="E2742" t="inlineStr">
        <is>
          <t>VIMMERBY</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50445-2019</t>
        </is>
      </c>
      <c r="B2743" s="1" t="n">
        <v>43735</v>
      </c>
      <c r="C2743" s="1" t="n">
        <v>45190</v>
      </c>
      <c r="D2743" t="inlineStr">
        <is>
          <t>KALMAR LÄN</t>
        </is>
      </c>
      <c r="E2743" t="inlineStr">
        <is>
          <t>HÖGSBY</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50794-2019</t>
        </is>
      </c>
      <c r="B2744" s="1" t="n">
        <v>43735</v>
      </c>
      <c r="C2744" s="1" t="n">
        <v>45190</v>
      </c>
      <c r="D2744" t="inlineStr">
        <is>
          <t>KALMAR LÄN</t>
        </is>
      </c>
      <c r="E2744" t="inlineStr">
        <is>
          <t>HÖGSBY</t>
        </is>
      </c>
      <c r="G2744" t="n">
        <v>6.5</v>
      </c>
      <c r="H2744" t="n">
        <v>0</v>
      </c>
      <c r="I2744" t="n">
        <v>0</v>
      </c>
      <c r="J2744" t="n">
        <v>0</v>
      </c>
      <c r="K2744" t="n">
        <v>0</v>
      </c>
      <c r="L2744" t="n">
        <v>0</v>
      </c>
      <c r="M2744" t="n">
        <v>0</v>
      </c>
      <c r="N2744" t="n">
        <v>0</v>
      </c>
      <c r="O2744" t="n">
        <v>0</v>
      </c>
      <c r="P2744" t="n">
        <v>0</v>
      </c>
      <c r="Q2744" t="n">
        <v>0</v>
      </c>
      <c r="R2744" s="2" t="inlineStr"/>
    </row>
    <row r="2745" ht="15" customHeight="1">
      <c r="A2745" t="inlineStr">
        <is>
          <t>A 50394-2019</t>
        </is>
      </c>
      <c r="B2745" s="1" t="n">
        <v>43735</v>
      </c>
      <c r="C2745" s="1" t="n">
        <v>45190</v>
      </c>
      <c r="D2745" t="inlineStr">
        <is>
          <t>KALMAR LÄN</t>
        </is>
      </c>
      <c r="E2745" t="inlineStr">
        <is>
          <t>EMMABODA</t>
        </is>
      </c>
      <c r="F2745" t="inlineStr">
        <is>
          <t>Kommuner</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52154-2019</t>
        </is>
      </c>
      <c r="B2746" s="1" t="n">
        <v>43735</v>
      </c>
      <c r="C2746" s="1" t="n">
        <v>45190</v>
      </c>
      <c r="D2746" t="inlineStr">
        <is>
          <t>KALMAR LÄN</t>
        </is>
      </c>
      <c r="E2746" t="inlineStr">
        <is>
          <t>NYBRO</t>
        </is>
      </c>
      <c r="G2746" t="n">
        <v>1.8</v>
      </c>
      <c r="H2746" t="n">
        <v>0</v>
      </c>
      <c r="I2746" t="n">
        <v>0</v>
      </c>
      <c r="J2746" t="n">
        <v>0</v>
      </c>
      <c r="K2746" t="n">
        <v>0</v>
      </c>
      <c r="L2746" t="n">
        <v>0</v>
      </c>
      <c r="M2746" t="n">
        <v>0</v>
      </c>
      <c r="N2746" t="n">
        <v>0</v>
      </c>
      <c r="O2746" t="n">
        <v>0</v>
      </c>
      <c r="P2746" t="n">
        <v>0</v>
      </c>
      <c r="Q2746" t="n">
        <v>0</v>
      </c>
      <c r="R2746" s="2" t="inlineStr"/>
    </row>
    <row r="2747" ht="15" customHeight="1">
      <c r="A2747" t="inlineStr">
        <is>
          <t>A 50626-2019</t>
        </is>
      </c>
      <c r="B2747" s="1" t="n">
        <v>43736</v>
      </c>
      <c r="C2747" s="1" t="n">
        <v>45190</v>
      </c>
      <c r="D2747" t="inlineStr">
        <is>
          <t>KALMAR LÄN</t>
        </is>
      </c>
      <c r="E2747" t="inlineStr">
        <is>
          <t>VÄSTERVIK</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50627-2019</t>
        </is>
      </c>
      <c r="B2748" s="1" t="n">
        <v>43736</v>
      </c>
      <c r="C2748" s="1" t="n">
        <v>45190</v>
      </c>
      <c r="D2748" t="inlineStr">
        <is>
          <t>KALMAR LÄN</t>
        </is>
      </c>
      <c r="E2748" t="inlineStr">
        <is>
          <t>VÄSTERVIK</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50629-2019</t>
        </is>
      </c>
      <c r="B2749" s="1" t="n">
        <v>43737</v>
      </c>
      <c r="C2749" s="1" t="n">
        <v>45190</v>
      </c>
      <c r="D2749" t="inlineStr">
        <is>
          <t>KALMAR LÄN</t>
        </is>
      </c>
      <c r="E2749" t="inlineStr">
        <is>
          <t>OSKARSHAMN</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50764-2019</t>
        </is>
      </c>
      <c r="B2750" s="1" t="n">
        <v>43738</v>
      </c>
      <c r="C2750" s="1" t="n">
        <v>45190</v>
      </c>
      <c r="D2750" t="inlineStr">
        <is>
          <t>KALMAR LÄN</t>
        </is>
      </c>
      <c r="E2750" t="inlineStr">
        <is>
          <t>HÖGSBY</t>
        </is>
      </c>
      <c r="G2750" t="n">
        <v>4.6</v>
      </c>
      <c r="H2750" t="n">
        <v>0</v>
      </c>
      <c r="I2750" t="n">
        <v>0</v>
      </c>
      <c r="J2750" t="n">
        <v>0</v>
      </c>
      <c r="K2750" t="n">
        <v>0</v>
      </c>
      <c r="L2750" t="n">
        <v>0</v>
      </c>
      <c r="M2750" t="n">
        <v>0</v>
      </c>
      <c r="N2750" t="n">
        <v>0</v>
      </c>
      <c r="O2750" t="n">
        <v>0</v>
      </c>
      <c r="P2750" t="n">
        <v>0</v>
      </c>
      <c r="Q2750" t="n">
        <v>0</v>
      </c>
      <c r="R2750" s="2" t="inlineStr"/>
    </row>
    <row r="2751" ht="15" customHeight="1">
      <c r="A2751" t="inlineStr">
        <is>
          <t>A 50761-2019</t>
        </is>
      </c>
      <c r="B2751" s="1" t="n">
        <v>43738</v>
      </c>
      <c r="C2751" s="1" t="n">
        <v>45190</v>
      </c>
      <c r="D2751" t="inlineStr">
        <is>
          <t>KALMAR LÄN</t>
        </is>
      </c>
      <c r="E2751" t="inlineStr">
        <is>
          <t>VIMMERBY</t>
        </is>
      </c>
      <c r="G2751" t="n">
        <v>3.9</v>
      </c>
      <c r="H2751" t="n">
        <v>0</v>
      </c>
      <c r="I2751" t="n">
        <v>0</v>
      </c>
      <c r="J2751" t="n">
        <v>0</v>
      </c>
      <c r="K2751" t="n">
        <v>0</v>
      </c>
      <c r="L2751" t="n">
        <v>0</v>
      </c>
      <c r="M2751" t="n">
        <v>0</v>
      </c>
      <c r="N2751" t="n">
        <v>0</v>
      </c>
      <c r="O2751" t="n">
        <v>0</v>
      </c>
      <c r="P2751" t="n">
        <v>0</v>
      </c>
      <c r="Q2751" t="n">
        <v>0</v>
      </c>
      <c r="R2751" s="2" t="inlineStr"/>
    </row>
    <row r="2752" ht="15" customHeight="1">
      <c r="A2752" t="inlineStr">
        <is>
          <t>A 50774-2019</t>
        </is>
      </c>
      <c r="B2752" s="1" t="n">
        <v>43738</v>
      </c>
      <c r="C2752" s="1" t="n">
        <v>45190</v>
      </c>
      <c r="D2752" t="inlineStr">
        <is>
          <t>KALMAR LÄN</t>
        </is>
      </c>
      <c r="E2752" t="inlineStr">
        <is>
          <t>HÖGSBY</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50940-2019</t>
        </is>
      </c>
      <c r="B2753" s="1" t="n">
        <v>43738</v>
      </c>
      <c r="C2753" s="1" t="n">
        <v>45190</v>
      </c>
      <c r="D2753" t="inlineStr">
        <is>
          <t>KALMAR LÄN</t>
        </is>
      </c>
      <c r="E2753" t="inlineStr">
        <is>
          <t>EMMABODA</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50961-2019</t>
        </is>
      </c>
      <c r="B2754" s="1" t="n">
        <v>43738</v>
      </c>
      <c r="C2754" s="1" t="n">
        <v>45190</v>
      </c>
      <c r="D2754" t="inlineStr">
        <is>
          <t>KALMAR LÄN</t>
        </is>
      </c>
      <c r="E2754" t="inlineStr">
        <is>
          <t>TORSÅS</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51273-2019</t>
        </is>
      </c>
      <c r="B2755" s="1" t="n">
        <v>43739</v>
      </c>
      <c r="C2755" s="1" t="n">
        <v>45190</v>
      </c>
      <c r="D2755" t="inlineStr">
        <is>
          <t>KALMAR LÄN</t>
        </is>
      </c>
      <c r="E2755" t="inlineStr">
        <is>
          <t>VIMMERBY</t>
        </is>
      </c>
      <c r="F2755" t="inlineStr">
        <is>
          <t>Sveaskog</t>
        </is>
      </c>
      <c r="G2755" t="n">
        <v>2.2</v>
      </c>
      <c r="H2755" t="n">
        <v>0</v>
      </c>
      <c r="I2755" t="n">
        <v>0</v>
      </c>
      <c r="J2755" t="n">
        <v>0</v>
      </c>
      <c r="K2755" t="n">
        <v>0</v>
      </c>
      <c r="L2755" t="n">
        <v>0</v>
      </c>
      <c r="M2755" t="n">
        <v>0</v>
      </c>
      <c r="N2755" t="n">
        <v>0</v>
      </c>
      <c r="O2755" t="n">
        <v>0</v>
      </c>
      <c r="P2755" t="n">
        <v>0</v>
      </c>
      <c r="Q2755" t="n">
        <v>0</v>
      </c>
      <c r="R2755" s="2" t="inlineStr"/>
    </row>
    <row r="2756" ht="15" customHeight="1">
      <c r="A2756" t="inlineStr">
        <is>
          <t>A 51277-2019</t>
        </is>
      </c>
      <c r="B2756" s="1" t="n">
        <v>43739</v>
      </c>
      <c r="C2756" s="1" t="n">
        <v>45190</v>
      </c>
      <c r="D2756" t="inlineStr">
        <is>
          <t>KALMAR LÄN</t>
        </is>
      </c>
      <c r="E2756" t="inlineStr">
        <is>
          <t>VIMMERBY</t>
        </is>
      </c>
      <c r="F2756" t="inlineStr">
        <is>
          <t>Sveaskog</t>
        </is>
      </c>
      <c r="G2756" t="n">
        <v>7.9</v>
      </c>
      <c r="H2756" t="n">
        <v>0</v>
      </c>
      <c r="I2756" t="n">
        <v>0</v>
      </c>
      <c r="J2756" t="n">
        <v>0</v>
      </c>
      <c r="K2756" t="n">
        <v>0</v>
      </c>
      <c r="L2756" t="n">
        <v>0</v>
      </c>
      <c r="M2756" t="n">
        <v>0</v>
      </c>
      <c r="N2756" t="n">
        <v>0</v>
      </c>
      <c r="O2756" t="n">
        <v>0</v>
      </c>
      <c r="P2756" t="n">
        <v>0</v>
      </c>
      <c r="Q2756" t="n">
        <v>0</v>
      </c>
      <c r="R2756" s="2" t="inlineStr"/>
    </row>
    <row r="2757" ht="15" customHeight="1">
      <c r="A2757" t="inlineStr">
        <is>
          <t>A 51314-2019</t>
        </is>
      </c>
      <c r="B2757" s="1" t="n">
        <v>43739</v>
      </c>
      <c r="C2757" s="1" t="n">
        <v>45190</v>
      </c>
      <c r="D2757" t="inlineStr">
        <is>
          <t>KALMAR LÄN</t>
        </is>
      </c>
      <c r="E2757" t="inlineStr">
        <is>
          <t>NYBRO</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51429-2019</t>
        </is>
      </c>
      <c r="B2758" s="1" t="n">
        <v>43740</v>
      </c>
      <c r="C2758" s="1" t="n">
        <v>45190</v>
      </c>
      <c r="D2758" t="inlineStr">
        <is>
          <t>KALMAR LÄN</t>
        </is>
      </c>
      <c r="E2758" t="inlineStr">
        <is>
          <t>HULTSFRED</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51650-2019</t>
        </is>
      </c>
      <c r="B2759" s="1" t="n">
        <v>43740</v>
      </c>
      <c r="C2759" s="1" t="n">
        <v>45190</v>
      </c>
      <c r="D2759" t="inlineStr">
        <is>
          <t>KALMAR LÄN</t>
        </is>
      </c>
      <c r="E2759" t="inlineStr">
        <is>
          <t>HULTSFRED</t>
        </is>
      </c>
      <c r="G2759" t="n">
        <v>8.6</v>
      </c>
      <c r="H2759" t="n">
        <v>0</v>
      </c>
      <c r="I2759" t="n">
        <v>0</v>
      </c>
      <c r="J2759" t="n">
        <v>0</v>
      </c>
      <c r="K2759" t="n">
        <v>0</v>
      </c>
      <c r="L2759" t="n">
        <v>0</v>
      </c>
      <c r="M2759" t="n">
        <v>0</v>
      </c>
      <c r="N2759" t="n">
        <v>0</v>
      </c>
      <c r="O2759" t="n">
        <v>0</v>
      </c>
      <c r="P2759" t="n">
        <v>0</v>
      </c>
      <c r="Q2759" t="n">
        <v>0</v>
      </c>
      <c r="R2759" s="2" t="inlineStr"/>
    </row>
    <row r="2760" ht="15" customHeight="1">
      <c r="A2760" t="inlineStr">
        <is>
          <t>A 51493-2019</t>
        </is>
      </c>
      <c r="B2760" s="1" t="n">
        <v>43740</v>
      </c>
      <c r="C2760" s="1" t="n">
        <v>45190</v>
      </c>
      <c r="D2760" t="inlineStr">
        <is>
          <t>KALMAR LÄN</t>
        </is>
      </c>
      <c r="E2760" t="inlineStr">
        <is>
          <t>TORSÅS</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51616-2019</t>
        </is>
      </c>
      <c r="B2761" s="1" t="n">
        <v>43740</v>
      </c>
      <c r="C2761" s="1" t="n">
        <v>45190</v>
      </c>
      <c r="D2761" t="inlineStr">
        <is>
          <t>KALMAR LÄN</t>
        </is>
      </c>
      <c r="E2761" t="inlineStr">
        <is>
          <t>TORSÅS</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51408-2019</t>
        </is>
      </c>
      <c r="B2762" s="1" t="n">
        <v>43740</v>
      </c>
      <c r="C2762" s="1" t="n">
        <v>45190</v>
      </c>
      <c r="D2762" t="inlineStr">
        <is>
          <t>KALMAR LÄN</t>
        </is>
      </c>
      <c r="E2762" t="inlineStr">
        <is>
          <t>VÄSTERVIK</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51552-2019</t>
        </is>
      </c>
      <c r="B2763" s="1" t="n">
        <v>43740</v>
      </c>
      <c r="C2763" s="1" t="n">
        <v>45190</v>
      </c>
      <c r="D2763" t="inlineStr">
        <is>
          <t>KALMAR LÄN</t>
        </is>
      </c>
      <c r="E2763" t="inlineStr">
        <is>
          <t>VIMMERBY</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51362-2019</t>
        </is>
      </c>
      <c r="B2764" s="1" t="n">
        <v>43740</v>
      </c>
      <c r="C2764" s="1" t="n">
        <v>45190</v>
      </c>
      <c r="D2764" t="inlineStr">
        <is>
          <t>KALMAR LÄN</t>
        </is>
      </c>
      <c r="E2764" t="inlineStr">
        <is>
          <t>VIMMERBY</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51414-2019</t>
        </is>
      </c>
      <c r="B2765" s="1" t="n">
        <v>43740</v>
      </c>
      <c r="C2765" s="1" t="n">
        <v>45190</v>
      </c>
      <c r="D2765" t="inlineStr">
        <is>
          <t>KALMAR LÄN</t>
        </is>
      </c>
      <c r="E2765" t="inlineStr">
        <is>
          <t>HULTSFRED</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51731-2019</t>
        </is>
      </c>
      <c r="B2766" s="1" t="n">
        <v>43740</v>
      </c>
      <c r="C2766" s="1" t="n">
        <v>45190</v>
      </c>
      <c r="D2766" t="inlineStr">
        <is>
          <t>KALMAR LÄN</t>
        </is>
      </c>
      <c r="E2766" t="inlineStr">
        <is>
          <t>NYBRO</t>
        </is>
      </c>
      <c r="F2766" t="inlineStr">
        <is>
          <t>Kyrkan</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51893-2019</t>
        </is>
      </c>
      <c r="B2767" s="1" t="n">
        <v>43741</v>
      </c>
      <c r="C2767" s="1" t="n">
        <v>45190</v>
      </c>
      <c r="D2767" t="inlineStr">
        <is>
          <t>KALMAR LÄN</t>
        </is>
      </c>
      <c r="E2767" t="inlineStr">
        <is>
          <t>HÖGSBY</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51937-2019</t>
        </is>
      </c>
      <c r="B2768" s="1" t="n">
        <v>43741</v>
      </c>
      <c r="C2768" s="1" t="n">
        <v>45190</v>
      </c>
      <c r="D2768" t="inlineStr">
        <is>
          <t>KALMAR LÄN</t>
        </is>
      </c>
      <c r="E2768" t="inlineStr">
        <is>
          <t>NYBRO</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51719-2019</t>
        </is>
      </c>
      <c r="B2769" s="1" t="n">
        <v>43741</v>
      </c>
      <c r="C2769" s="1" t="n">
        <v>45190</v>
      </c>
      <c r="D2769" t="inlineStr">
        <is>
          <t>KALMAR LÄN</t>
        </is>
      </c>
      <c r="E2769" t="inlineStr">
        <is>
          <t>VIMMERBY</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51891-2019</t>
        </is>
      </c>
      <c r="B2770" s="1" t="n">
        <v>43741</v>
      </c>
      <c r="C2770" s="1" t="n">
        <v>45190</v>
      </c>
      <c r="D2770" t="inlineStr">
        <is>
          <t>KALMAR LÄN</t>
        </is>
      </c>
      <c r="E2770" t="inlineStr">
        <is>
          <t>HÖGSBY</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51998-2019</t>
        </is>
      </c>
      <c r="B2771" s="1" t="n">
        <v>43742</v>
      </c>
      <c r="C2771" s="1" t="n">
        <v>45190</v>
      </c>
      <c r="D2771" t="inlineStr">
        <is>
          <t>KALMAR LÄN</t>
        </is>
      </c>
      <c r="E2771" t="inlineStr">
        <is>
          <t>HULTSFRED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52119-2019</t>
        </is>
      </c>
      <c r="B2772" s="1" t="n">
        <v>43742</v>
      </c>
      <c r="C2772" s="1" t="n">
        <v>45190</v>
      </c>
      <c r="D2772" t="inlineStr">
        <is>
          <t>KALMAR LÄN</t>
        </is>
      </c>
      <c r="E2772" t="inlineStr">
        <is>
          <t>HULTSFRED</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52142-2019</t>
        </is>
      </c>
      <c r="B2773" s="1" t="n">
        <v>43742</v>
      </c>
      <c r="C2773" s="1" t="n">
        <v>45190</v>
      </c>
      <c r="D2773" t="inlineStr">
        <is>
          <t>KALMAR LÄN</t>
        </is>
      </c>
      <c r="E2773" t="inlineStr">
        <is>
          <t>HULTSFRED</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52173-2019</t>
        </is>
      </c>
      <c r="B2774" s="1" t="n">
        <v>43742</v>
      </c>
      <c r="C2774" s="1" t="n">
        <v>45190</v>
      </c>
      <c r="D2774" t="inlineStr">
        <is>
          <t>KALMAR LÄN</t>
        </is>
      </c>
      <c r="E2774" t="inlineStr">
        <is>
          <t>VIMMERBY</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52052-2019</t>
        </is>
      </c>
      <c r="B2775" s="1" t="n">
        <v>43742</v>
      </c>
      <c r="C2775" s="1" t="n">
        <v>45190</v>
      </c>
      <c r="D2775" t="inlineStr">
        <is>
          <t>KALMAR LÄN</t>
        </is>
      </c>
      <c r="E2775" t="inlineStr">
        <is>
          <t>OSKARSHAMN</t>
        </is>
      </c>
      <c r="G2775" t="n">
        <v>0.3</v>
      </c>
      <c r="H2775" t="n">
        <v>0</v>
      </c>
      <c r="I2775" t="n">
        <v>0</v>
      </c>
      <c r="J2775" t="n">
        <v>0</v>
      </c>
      <c r="K2775" t="n">
        <v>0</v>
      </c>
      <c r="L2775" t="n">
        <v>0</v>
      </c>
      <c r="M2775" t="n">
        <v>0</v>
      </c>
      <c r="N2775" t="n">
        <v>0</v>
      </c>
      <c r="O2775" t="n">
        <v>0</v>
      </c>
      <c r="P2775" t="n">
        <v>0</v>
      </c>
      <c r="Q2775" t="n">
        <v>0</v>
      </c>
      <c r="R2775" s="2" t="inlineStr"/>
    </row>
    <row r="2776" ht="15" customHeight="1">
      <c r="A2776" t="inlineStr">
        <is>
          <t>A 52318-2019</t>
        </is>
      </c>
      <c r="B2776" s="1" t="n">
        <v>43742</v>
      </c>
      <c r="C2776" s="1" t="n">
        <v>45190</v>
      </c>
      <c r="D2776" t="inlineStr">
        <is>
          <t>KALMAR LÄN</t>
        </is>
      </c>
      <c r="E2776" t="inlineStr">
        <is>
          <t>NYBRO</t>
        </is>
      </c>
      <c r="F2776" t="inlineStr">
        <is>
          <t>Kyrkan</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52109-2019</t>
        </is>
      </c>
      <c r="B2777" s="1" t="n">
        <v>43742</v>
      </c>
      <c r="C2777" s="1" t="n">
        <v>45190</v>
      </c>
      <c r="D2777" t="inlineStr">
        <is>
          <t>KALMAR LÄN</t>
        </is>
      </c>
      <c r="E2777" t="inlineStr">
        <is>
          <t>HULTSFRED</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52113-2019</t>
        </is>
      </c>
      <c r="B2778" s="1" t="n">
        <v>43742</v>
      </c>
      <c r="C2778" s="1" t="n">
        <v>45190</v>
      </c>
      <c r="D2778" t="inlineStr">
        <is>
          <t>KALMAR LÄN</t>
        </is>
      </c>
      <c r="E2778" t="inlineStr">
        <is>
          <t>HULTSFRED</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52312-2019</t>
        </is>
      </c>
      <c r="B2779" s="1" t="n">
        <v>43742</v>
      </c>
      <c r="C2779" s="1" t="n">
        <v>45190</v>
      </c>
      <c r="D2779" t="inlineStr">
        <is>
          <t>KALMAR LÄN</t>
        </is>
      </c>
      <c r="E2779" t="inlineStr">
        <is>
          <t>NYBRO</t>
        </is>
      </c>
      <c r="F2779" t="inlineStr">
        <is>
          <t>Kyrkan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51999-2019</t>
        </is>
      </c>
      <c r="B2780" s="1" t="n">
        <v>43742</v>
      </c>
      <c r="C2780" s="1" t="n">
        <v>45190</v>
      </c>
      <c r="D2780" t="inlineStr">
        <is>
          <t>KALMAR LÄN</t>
        </is>
      </c>
      <c r="E2780" t="inlineStr">
        <is>
          <t>HULTSFRED</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52072-2019</t>
        </is>
      </c>
      <c r="B2781" s="1" t="n">
        <v>43742</v>
      </c>
      <c r="C2781" s="1" t="n">
        <v>45190</v>
      </c>
      <c r="D2781" t="inlineStr">
        <is>
          <t>KALMAR LÄN</t>
        </is>
      </c>
      <c r="E2781" t="inlineStr">
        <is>
          <t>NYBRO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52292-2019</t>
        </is>
      </c>
      <c r="B2782" s="1" t="n">
        <v>43744</v>
      </c>
      <c r="C2782" s="1" t="n">
        <v>45190</v>
      </c>
      <c r="D2782" t="inlineStr">
        <is>
          <t>KALMAR LÄN</t>
        </is>
      </c>
      <c r="E2782" t="inlineStr">
        <is>
          <t>VÄSTERVIK</t>
        </is>
      </c>
      <c r="F2782" t="inlineStr">
        <is>
          <t>Sveaskog</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52356-2019</t>
        </is>
      </c>
      <c r="B2783" s="1" t="n">
        <v>43745</v>
      </c>
      <c r="C2783" s="1" t="n">
        <v>45190</v>
      </c>
      <c r="D2783" t="inlineStr">
        <is>
          <t>KALMAR LÄN</t>
        </is>
      </c>
      <c r="E2783" t="inlineStr">
        <is>
          <t>VIMMERBY</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52553-2019</t>
        </is>
      </c>
      <c r="B2784" s="1" t="n">
        <v>43745</v>
      </c>
      <c r="C2784" s="1" t="n">
        <v>45190</v>
      </c>
      <c r="D2784" t="inlineStr">
        <is>
          <t>KALMAR LÄN</t>
        </is>
      </c>
      <c r="E2784" t="inlineStr">
        <is>
          <t>MÖNSTERÅS</t>
        </is>
      </c>
      <c r="F2784" t="inlineStr">
        <is>
          <t>Kommuner</t>
        </is>
      </c>
      <c r="G2784" t="n">
        <v>3.5</v>
      </c>
      <c r="H2784" t="n">
        <v>0</v>
      </c>
      <c r="I2784" t="n">
        <v>0</v>
      </c>
      <c r="J2784" t="n">
        <v>0</v>
      </c>
      <c r="K2784" t="n">
        <v>0</v>
      </c>
      <c r="L2784" t="n">
        <v>0</v>
      </c>
      <c r="M2784" t="n">
        <v>0</v>
      </c>
      <c r="N2784" t="n">
        <v>0</v>
      </c>
      <c r="O2784" t="n">
        <v>0</v>
      </c>
      <c r="P2784" t="n">
        <v>0</v>
      </c>
      <c r="Q2784" t="n">
        <v>0</v>
      </c>
      <c r="R2784" s="2" t="inlineStr"/>
    </row>
    <row r="2785" ht="15" customHeight="1">
      <c r="A2785" t="inlineStr">
        <is>
          <t>A 52418-2019</t>
        </is>
      </c>
      <c r="B2785" s="1" t="n">
        <v>43745</v>
      </c>
      <c r="C2785" s="1" t="n">
        <v>45190</v>
      </c>
      <c r="D2785" t="inlineStr">
        <is>
          <t>KALMAR LÄN</t>
        </is>
      </c>
      <c r="E2785" t="inlineStr">
        <is>
          <t>HÖGSBY</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52554-2019</t>
        </is>
      </c>
      <c r="B2786" s="1" t="n">
        <v>43745</v>
      </c>
      <c r="C2786" s="1" t="n">
        <v>45190</v>
      </c>
      <c r="D2786" t="inlineStr">
        <is>
          <t>KALMAR LÄN</t>
        </is>
      </c>
      <c r="E2786" t="inlineStr">
        <is>
          <t>MÖNSTERÅS</t>
        </is>
      </c>
      <c r="F2786" t="inlineStr">
        <is>
          <t>Kommuner</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52633-2019</t>
        </is>
      </c>
      <c r="B2787" s="1" t="n">
        <v>43745</v>
      </c>
      <c r="C2787" s="1" t="n">
        <v>45190</v>
      </c>
      <c r="D2787" t="inlineStr">
        <is>
          <t>KALMAR LÄN</t>
        </is>
      </c>
      <c r="E2787" t="inlineStr">
        <is>
          <t>HÖGSBY</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52527-2019</t>
        </is>
      </c>
      <c r="B2788" s="1" t="n">
        <v>43745</v>
      </c>
      <c r="C2788" s="1" t="n">
        <v>45190</v>
      </c>
      <c r="D2788" t="inlineStr">
        <is>
          <t>KALMAR LÄN</t>
        </is>
      </c>
      <c r="E2788" t="inlineStr">
        <is>
          <t>VÄSTERVIK</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52376-2019</t>
        </is>
      </c>
      <c r="B2789" s="1" t="n">
        <v>43745</v>
      </c>
      <c r="C2789" s="1" t="n">
        <v>45190</v>
      </c>
      <c r="D2789" t="inlineStr">
        <is>
          <t>KALMAR LÄN</t>
        </is>
      </c>
      <c r="E2789" t="inlineStr">
        <is>
          <t>HULTSFRED</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54099-2019</t>
        </is>
      </c>
      <c r="B2790" s="1" t="n">
        <v>43745</v>
      </c>
      <c r="C2790" s="1" t="n">
        <v>45190</v>
      </c>
      <c r="D2790" t="inlineStr">
        <is>
          <t>KALMAR LÄN</t>
        </is>
      </c>
      <c r="E2790" t="inlineStr">
        <is>
          <t>OSKARSHAMN</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52780-2019</t>
        </is>
      </c>
      <c r="B2791" s="1" t="n">
        <v>43746</v>
      </c>
      <c r="C2791" s="1" t="n">
        <v>45190</v>
      </c>
      <c r="D2791" t="inlineStr">
        <is>
          <t>KALMAR LÄN</t>
        </is>
      </c>
      <c r="E2791" t="inlineStr">
        <is>
          <t>VIMMERBY</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52908-2019</t>
        </is>
      </c>
      <c r="B2792" s="1" t="n">
        <v>43746</v>
      </c>
      <c r="C2792" s="1" t="n">
        <v>45190</v>
      </c>
      <c r="D2792" t="inlineStr">
        <is>
          <t>KALMAR LÄN</t>
        </is>
      </c>
      <c r="E2792" t="inlineStr">
        <is>
          <t>VIMMERBY</t>
        </is>
      </c>
      <c r="G2792" t="n">
        <v>5.8</v>
      </c>
      <c r="H2792" t="n">
        <v>0</v>
      </c>
      <c r="I2792" t="n">
        <v>0</v>
      </c>
      <c r="J2792" t="n">
        <v>0</v>
      </c>
      <c r="K2792" t="n">
        <v>0</v>
      </c>
      <c r="L2792" t="n">
        <v>0</v>
      </c>
      <c r="M2792" t="n">
        <v>0</v>
      </c>
      <c r="N2792" t="n">
        <v>0</v>
      </c>
      <c r="O2792" t="n">
        <v>0</v>
      </c>
      <c r="P2792" t="n">
        <v>0</v>
      </c>
      <c r="Q2792" t="n">
        <v>0</v>
      </c>
      <c r="R2792" s="2" t="inlineStr"/>
    </row>
    <row r="2793" ht="15" customHeight="1">
      <c r="A2793" t="inlineStr">
        <is>
          <t>A 52608-2019</t>
        </is>
      </c>
      <c r="B2793" s="1" t="n">
        <v>43746</v>
      </c>
      <c r="C2793" s="1" t="n">
        <v>45190</v>
      </c>
      <c r="D2793" t="inlineStr">
        <is>
          <t>KALMAR LÄN</t>
        </is>
      </c>
      <c r="E2793" t="inlineStr">
        <is>
          <t>HULTSFRED</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52770-2019</t>
        </is>
      </c>
      <c r="B2794" s="1" t="n">
        <v>43746</v>
      </c>
      <c r="C2794" s="1" t="n">
        <v>45190</v>
      </c>
      <c r="D2794" t="inlineStr">
        <is>
          <t>KALMAR LÄN</t>
        </is>
      </c>
      <c r="E2794" t="inlineStr">
        <is>
          <t>NYBRO</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52909-2019</t>
        </is>
      </c>
      <c r="B2795" s="1" t="n">
        <v>43746</v>
      </c>
      <c r="C2795" s="1" t="n">
        <v>45190</v>
      </c>
      <c r="D2795" t="inlineStr">
        <is>
          <t>KALMAR LÄN</t>
        </is>
      </c>
      <c r="E2795" t="inlineStr">
        <is>
          <t>VIMMERBY</t>
        </is>
      </c>
      <c r="G2795" t="n">
        <v>5.8</v>
      </c>
      <c r="H2795" t="n">
        <v>0</v>
      </c>
      <c r="I2795" t="n">
        <v>0</v>
      </c>
      <c r="J2795" t="n">
        <v>0</v>
      </c>
      <c r="K2795" t="n">
        <v>0</v>
      </c>
      <c r="L2795" t="n">
        <v>0</v>
      </c>
      <c r="M2795" t="n">
        <v>0</v>
      </c>
      <c r="N2795" t="n">
        <v>0</v>
      </c>
      <c r="O2795" t="n">
        <v>0</v>
      </c>
      <c r="P2795" t="n">
        <v>0</v>
      </c>
      <c r="Q2795" t="n">
        <v>0</v>
      </c>
      <c r="R2795" s="2" t="inlineStr"/>
    </row>
    <row r="2796" ht="15" customHeight="1">
      <c r="A2796" t="inlineStr">
        <is>
          <t>A 54288-2019</t>
        </is>
      </c>
      <c r="B2796" s="1" t="n">
        <v>43746</v>
      </c>
      <c r="C2796" s="1" t="n">
        <v>45190</v>
      </c>
      <c r="D2796" t="inlineStr">
        <is>
          <t>KALMAR LÄN</t>
        </is>
      </c>
      <c r="E2796" t="inlineStr">
        <is>
          <t>KALMAR</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52800-2019</t>
        </is>
      </c>
      <c r="B2797" s="1" t="n">
        <v>43746</v>
      </c>
      <c r="C2797" s="1" t="n">
        <v>45190</v>
      </c>
      <c r="D2797" t="inlineStr">
        <is>
          <t>KALMAR LÄN</t>
        </is>
      </c>
      <c r="E2797" t="inlineStr">
        <is>
          <t>HULTSFRED</t>
        </is>
      </c>
      <c r="G2797" t="n">
        <v>13.8</v>
      </c>
      <c r="H2797" t="n">
        <v>0</v>
      </c>
      <c r="I2797" t="n">
        <v>0</v>
      </c>
      <c r="J2797" t="n">
        <v>0</v>
      </c>
      <c r="K2797" t="n">
        <v>0</v>
      </c>
      <c r="L2797" t="n">
        <v>0</v>
      </c>
      <c r="M2797" t="n">
        <v>0</v>
      </c>
      <c r="N2797" t="n">
        <v>0</v>
      </c>
      <c r="O2797" t="n">
        <v>0</v>
      </c>
      <c r="P2797" t="n">
        <v>0</v>
      </c>
      <c r="Q2797" t="n">
        <v>0</v>
      </c>
      <c r="R2797" s="2" t="inlineStr"/>
    </row>
    <row r="2798" ht="15" customHeight="1">
      <c r="A2798" t="inlineStr">
        <is>
          <t>A 52880-2019</t>
        </is>
      </c>
      <c r="B2798" s="1" t="n">
        <v>43746</v>
      </c>
      <c r="C2798" s="1" t="n">
        <v>45190</v>
      </c>
      <c r="D2798" t="inlineStr">
        <is>
          <t>KALMAR LÄN</t>
        </is>
      </c>
      <c r="E2798" t="inlineStr">
        <is>
          <t>NYBRO</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52895-2019</t>
        </is>
      </c>
      <c r="B2799" s="1" t="n">
        <v>43746</v>
      </c>
      <c r="C2799" s="1" t="n">
        <v>45190</v>
      </c>
      <c r="D2799" t="inlineStr">
        <is>
          <t>KALMAR LÄN</t>
        </is>
      </c>
      <c r="E2799" t="inlineStr">
        <is>
          <t>HULTSFRED</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53037-2019</t>
        </is>
      </c>
      <c r="B2800" s="1" t="n">
        <v>43747</v>
      </c>
      <c r="C2800" s="1" t="n">
        <v>45190</v>
      </c>
      <c r="D2800" t="inlineStr">
        <is>
          <t>KALMAR LÄN</t>
        </is>
      </c>
      <c r="E2800" t="inlineStr">
        <is>
          <t>NYBRO</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53129-2019</t>
        </is>
      </c>
      <c r="B2801" s="1" t="n">
        <v>43747</v>
      </c>
      <c r="C2801" s="1" t="n">
        <v>45190</v>
      </c>
      <c r="D2801" t="inlineStr">
        <is>
          <t>KALMAR LÄN</t>
        </is>
      </c>
      <c r="E2801" t="inlineStr">
        <is>
          <t>HÖGSBY</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53013-2019</t>
        </is>
      </c>
      <c r="B2802" s="1" t="n">
        <v>43747</v>
      </c>
      <c r="C2802" s="1" t="n">
        <v>45190</v>
      </c>
      <c r="D2802" t="inlineStr">
        <is>
          <t>KALMAR LÄN</t>
        </is>
      </c>
      <c r="E2802" t="inlineStr">
        <is>
          <t>TORSÅS</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53027-2019</t>
        </is>
      </c>
      <c r="B2803" s="1" t="n">
        <v>43747</v>
      </c>
      <c r="C2803" s="1" t="n">
        <v>45190</v>
      </c>
      <c r="D2803" t="inlineStr">
        <is>
          <t>KALMAR LÄN</t>
        </is>
      </c>
      <c r="E2803" t="inlineStr">
        <is>
          <t>HULTSFRED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53089-2019</t>
        </is>
      </c>
      <c r="B2804" s="1" t="n">
        <v>43747</v>
      </c>
      <c r="C2804" s="1" t="n">
        <v>45190</v>
      </c>
      <c r="D2804" t="inlineStr">
        <is>
          <t>KALMAR LÄN</t>
        </is>
      </c>
      <c r="E2804" t="inlineStr">
        <is>
          <t>EMMABODA</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53153-2019</t>
        </is>
      </c>
      <c r="B2805" s="1" t="n">
        <v>43747</v>
      </c>
      <c r="C2805" s="1" t="n">
        <v>45190</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53127-2019</t>
        </is>
      </c>
      <c r="B2806" s="1" t="n">
        <v>43747</v>
      </c>
      <c r="C2806" s="1" t="n">
        <v>45190</v>
      </c>
      <c r="D2806" t="inlineStr">
        <is>
          <t>KALMAR LÄN</t>
        </is>
      </c>
      <c r="E2806" t="inlineStr">
        <is>
          <t>HÖGSBY</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53260-2019</t>
        </is>
      </c>
      <c r="B2807" s="1" t="n">
        <v>43748</v>
      </c>
      <c r="C2807" s="1" t="n">
        <v>45190</v>
      </c>
      <c r="D2807" t="inlineStr">
        <is>
          <t>KALMAR LÄN</t>
        </is>
      </c>
      <c r="E2807" t="inlineStr">
        <is>
          <t>EMMABODA</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53432-2019</t>
        </is>
      </c>
      <c r="B2808" s="1" t="n">
        <v>43748</v>
      </c>
      <c r="C2808" s="1" t="n">
        <v>45190</v>
      </c>
      <c r="D2808" t="inlineStr">
        <is>
          <t>KALMAR LÄN</t>
        </is>
      </c>
      <c r="E2808" t="inlineStr">
        <is>
          <t>NYBRO</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54690-2019</t>
        </is>
      </c>
      <c r="B2809" s="1" t="n">
        <v>43748</v>
      </c>
      <c r="C2809" s="1" t="n">
        <v>45190</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53262-2019</t>
        </is>
      </c>
      <c r="B2810" s="1" t="n">
        <v>43748</v>
      </c>
      <c r="C2810" s="1" t="n">
        <v>45190</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54693-2019</t>
        </is>
      </c>
      <c r="B2811" s="1" t="n">
        <v>43748</v>
      </c>
      <c r="C2811" s="1" t="n">
        <v>45190</v>
      </c>
      <c r="D2811" t="inlineStr">
        <is>
          <t>KALMAR LÄN</t>
        </is>
      </c>
      <c r="E2811" t="inlineStr">
        <is>
          <t>EMMABODA</t>
        </is>
      </c>
      <c r="G2811" t="n">
        <v>6.4</v>
      </c>
      <c r="H2811" t="n">
        <v>0</v>
      </c>
      <c r="I2811" t="n">
        <v>0</v>
      </c>
      <c r="J2811" t="n">
        <v>0</v>
      </c>
      <c r="K2811" t="n">
        <v>0</v>
      </c>
      <c r="L2811" t="n">
        <v>0</v>
      </c>
      <c r="M2811" t="n">
        <v>0</v>
      </c>
      <c r="N2811" t="n">
        <v>0</v>
      </c>
      <c r="O2811" t="n">
        <v>0</v>
      </c>
      <c r="P2811" t="n">
        <v>0</v>
      </c>
      <c r="Q2811" t="n">
        <v>0</v>
      </c>
      <c r="R2811" s="2" t="inlineStr"/>
    </row>
    <row r="2812" ht="15" customHeight="1">
      <c r="A2812" t="inlineStr">
        <is>
          <t>A 53423-2019</t>
        </is>
      </c>
      <c r="B2812" s="1" t="n">
        <v>43748</v>
      </c>
      <c r="C2812" s="1" t="n">
        <v>45190</v>
      </c>
      <c r="D2812" t="inlineStr">
        <is>
          <t>KALMAR LÄN</t>
        </is>
      </c>
      <c r="E2812" t="inlineStr">
        <is>
          <t>HULTSFRED</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53567-2019</t>
        </is>
      </c>
      <c r="B2813" s="1" t="n">
        <v>43748</v>
      </c>
      <c r="C2813" s="1" t="n">
        <v>45190</v>
      </c>
      <c r="D2813" t="inlineStr">
        <is>
          <t>KALMAR LÄN</t>
        </is>
      </c>
      <c r="E2813" t="inlineStr">
        <is>
          <t>HÖGSBY</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54697-2019</t>
        </is>
      </c>
      <c r="B2814" s="1" t="n">
        <v>43748</v>
      </c>
      <c r="C2814" s="1" t="n">
        <v>45190</v>
      </c>
      <c r="D2814" t="inlineStr">
        <is>
          <t>KALMAR LÄN</t>
        </is>
      </c>
      <c r="E2814" t="inlineStr">
        <is>
          <t>EMMABODA</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53691-2019</t>
        </is>
      </c>
      <c r="B2815" s="1" t="n">
        <v>43749</v>
      </c>
      <c r="C2815" s="1" t="n">
        <v>45190</v>
      </c>
      <c r="D2815" t="inlineStr">
        <is>
          <t>KALMAR LÄN</t>
        </is>
      </c>
      <c r="E2815" t="inlineStr">
        <is>
          <t>VIMMERBY</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53705-2019</t>
        </is>
      </c>
      <c r="B2816" s="1" t="n">
        <v>43749</v>
      </c>
      <c r="C2816" s="1" t="n">
        <v>45190</v>
      </c>
      <c r="D2816" t="inlineStr">
        <is>
          <t>KALMAR LÄN</t>
        </is>
      </c>
      <c r="E2816" t="inlineStr">
        <is>
          <t>OSKARSHAMN</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53552-2019</t>
        </is>
      </c>
      <c r="B2817" s="1" t="n">
        <v>43749</v>
      </c>
      <c r="C2817" s="1" t="n">
        <v>45190</v>
      </c>
      <c r="D2817" t="inlineStr">
        <is>
          <t>KALMAR LÄN</t>
        </is>
      </c>
      <c r="E2817" t="inlineStr">
        <is>
          <t>MÖRBYLÅNGA</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53572-2019</t>
        </is>
      </c>
      <c r="B2818" s="1" t="n">
        <v>43749</v>
      </c>
      <c r="C2818" s="1" t="n">
        <v>45190</v>
      </c>
      <c r="D2818" t="inlineStr">
        <is>
          <t>KALMAR LÄN</t>
        </is>
      </c>
      <c r="E2818" t="inlineStr">
        <is>
          <t>KALMAR</t>
        </is>
      </c>
      <c r="F2818" t="inlineStr">
        <is>
          <t>Sveaskog</t>
        </is>
      </c>
      <c r="G2818" t="n">
        <v>10.2</v>
      </c>
      <c r="H2818" t="n">
        <v>0</v>
      </c>
      <c r="I2818" t="n">
        <v>0</v>
      </c>
      <c r="J2818" t="n">
        <v>0</v>
      </c>
      <c r="K2818" t="n">
        <v>0</v>
      </c>
      <c r="L2818" t="n">
        <v>0</v>
      </c>
      <c r="M2818" t="n">
        <v>0</v>
      </c>
      <c r="N2818" t="n">
        <v>0</v>
      </c>
      <c r="O2818" t="n">
        <v>0</v>
      </c>
      <c r="P2818" t="n">
        <v>0</v>
      </c>
      <c r="Q2818" t="n">
        <v>0</v>
      </c>
      <c r="R2818" s="2" t="inlineStr"/>
    </row>
    <row r="2819" ht="15" customHeight="1">
      <c r="A2819" t="inlineStr">
        <is>
          <t>A 53702-2019</t>
        </is>
      </c>
      <c r="B2819" s="1" t="n">
        <v>43749</v>
      </c>
      <c r="C2819" s="1" t="n">
        <v>45190</v>
      </c>
      <c r="D2819" t="inlineStr">
        <is>
          <t>KALMAR LÄN</t>
        </is>
      </c>
      <c r="E2819" t="inlineStr">
        <is>
          <t>OSKARSHAMN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53714-2019</t>
        </is>
      </c>
      <c r="B2820" s="1" t="n">
        <v>43749</v>
      </c>
      <c r="C2820" s="1" t="n">
        <v>45190</v>
      </c>
      <c r="D2820" t="inlineStr">
        <is>
          <t>KALMAR LÄN</t>
        </is>
      </c>
      <c r="E2820" t="inlineStr">
        <is>
          <t>VÄSTERVIK</t>
        </is>
      </c>
      <c r="F2820" t="inlineStr">
        <is>
          <t>Holmen skog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53538-2019</t>
        </is>
      </c>
      <c r="B2821" s="1" t="n">
        <v>43749</v>
      </c>
      <c r="C2821" s="1" t="n">
        <v>45190</v>
      </c>
      <c r="D2821" t="inlineStr">
        <is>
          <t>KALMAR LÄN</t>
        </is>
      </c>
      <c r="E2821" t="inlineStr">
        <is>
          <t>MÖNSTERÅS</t>
        </is>
      </c>
      <c r="G2821" t="n">
        <v>6</v>
      </c>
      <c r="H2821" t="n">
        <v>0</v>
      </c>
      <c r="I2821" t="n">
        <v>0</v>
      </c>
      <c r="J2821" t="n">
        <v>0</v>
      </c>
      <c r="K2821" t="n">
        <v>0</v>
      </c>
      <c r="L2821" t="n">
        <v>0</v>
      </c>
      <c r="M2821" t="n">
        <v>0</v>
      </c>
      <c r="N2821" t="n">
        <v>0</v>
      </c>
      <c r="O2821" t="n">
        <v>0</v>
      </c>
      <c r="P2821" t="n">
        <v>0</v>
      </c>
      <c r="Q2821" t="n">
        <v>0</v>
      </c>
      <c r="R2821" s="2" t="inlineStr"/>
    </row>
    <row r="2822" ht="15" customHeight="1">
      <c r="A2822" t="inlineStr">
        <is>
          <t>A 53546-2019</t>
        </is>
      </c>
      <c r="B2822" s="1" t="n">
        <v>43749</v>
      </c>
      <c r="C2822" s="1" t="n">
        <v>45190</v>
      </c>
      <c r="D2822" t="inlineStr">
        <is>
          <t>KALMAR LÄN</t>
        </is>
      </c>
      <c r="E2822" t="inlineStr">
        <is>
          <t>VÄSTERVIK</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53581-2019</t>
        </is>
      </c>
      <c r="B2823" s="1" t="n">
        <v>43749</v>
      </c>
      <c r="C2823" s="1" t="n">
        <v>45190</v>
      </c>
      <c r="D2823" t="inlineStr">
        <is>
          <t>KALMAR LÄN</t>
        </is>
      </c>
      <c r="E2823" t="inlineStr">
        <is>
          <t>OSKARSHAMN</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53805-2019</t>
        </is>
      </c>
      <c r="B2824" s="1" t="n">
        <v>43751</v>
      </c>
      <c r="C2824" s="1" t="n">
        <v>45190</v>
      </c>
      <c r="D2824" t="inlineStr">
        <is>
          <t>KALMAR LÄN</t>
        </is>
      </c>
      <c r="E2824" t="inlineStr">
        <is>
          <t>HULTSFRED</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53851-2019</t>
        </is>
      </c>
      <c r="B2825" s="1" t="n">
        <v>43752</v>
      </c>
      <c r="C2825" s="1" t="n">
        <v>45190</v>
      </c>
      <c r="D2825" t="inlineStr">
        <is>
          <t>KALMAR LÄN</t>
        </is>
      </c>
      <c r="E2825" t="inlineStr">
        <is>
          <t>EMMABODA</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53907-2019</t>
        </is>
      </c>
      <c r="B2826" s="1" t="n">
        <v>43752</v>
      </c>
      <c r="C2826" s="1" t="n">
        <v>45190</v>
      </c>
      <c r="D2826" t="inlineStr">
        <is>
          <t>KALMAR LÄN</t>
        </is>
      </c>
      <c r="E2826" t="inlineStr">
        <is>
          <t>TORSÅS</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53996-2019</t>
        </is>
      </c>
      <c r="B2827" s="1" t="n">
        <v>43752</v>
      </c>
      <c r="C2827" s="1" t="n">
        <v>45190</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54000-2019</t>
        </is>
      </c>
      <c r="B2828" s="1" t="n">
        <v>43752</v>
      </c>
      <c r="C2828" s="1" t="n">
        <v>45190</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54267-2019</t>
        </is>
      </c>
      <c r="B2829" s="1" t="n">
        <v>43753</v>
      </c>
      <c r="C2829" s="1" t="n">
        <v>45190</v>
      </c>
      <c r="D2829" t="inlineStr">
        <is>
          <t>KALMAR LÄN</t>
        </is>
      </c>
      <c r="E2829" t="inlineStr">
        <is>
          <t>TORSÅS</t>
        </is>
      </c>
      <c r="G2829" t="n">
        <v>5.7</v>
      </c>
      <c r="H2829" t="n">
        <v>0</v>
      </c>
      <c r="I2829" t="n">
        <v>0</v>
      </c>
      <c r="J2829" t="n">
        <v>0</v>
      </c>
      <c r="K2829" t="n">
        <v>0</v>
      </c>
      <c r="L2829" t="n">
        <v>0</v>
      </c>
      <c r="M2829" t="n">
        <v>0</v>
      </c>
      <c r="N2829" t="n">
        <v>0</v>
      </c>
      <c r="O2829" t="n">
        <v>0</v>
      </c>
      <c r="P2829" t="n">
        <v>0</v>
      </c>
      <c r="Q2829" t="n">
        <v>0</v>
      </c>
      <c r="R2829" s="2" t="inlineStr"/>
    </row>
    <row r="2830" ht="15" customHeight="1">
      <c r="A2830" t="inlineStr">
        <is>
          <t>A 54611-2019</t>
        </is>
      </c>
      <c r="B2830" s="1" t="n">
        <v>43754</v>
      </c>
      <c r="C2830" s="1" t="n">
        <v>45190</v>
      </c>
      <c r="D2830" t="inlineStr">
        <is>
          <t>KALMAR LÄN</t>
        </is>
      </c>
      <c r="E2830" t="inlineStr">
        <is>
          <t>HÖGSBY</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54684-2019</t>
        </is>
      </c>
      <c r="B2831" s="1" t="n">
        <v>43754</v>
      </c>
      <c r="C2831" s="1" t="n">
        <v>45190</v>
      </c>
      <c r="D2831" t="inlineStr">
        <is>
          <t>KALMAR LÄN</t>
        </is>
      </c>
      <c r="E2831" t="inlineStr">
        <is>
          <t>HÖGSBY</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54597-2019</t>
        </is>
      </c>
      <c r="B2832" s="1" t="n">
        <v>43754</v>
      </c>
      <c r="C2832" s="1" t="n">
        <v>45190</v>
      </c>
      <c r="D2832" t="inlineStr">
        <is>
          <t>KALMAR LÄN</t>
        </is>
      </c>
      <c r="E2832" t="inlineStr">
        <is>
          <t>VÄSTERVIK</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54593-2019</t>
        </is>
      </c>
      <c r="B2833" s="1" t="n">
        <v>43754</v>
      </c>
      <c r="C2833" s="1" t="n">
        <v>45190</v>
      </c>
      <c r="D2833" t="inlineStr">
        <is>
          <t>KALMAR LÄN</t>
        </is>
      </c>
      <c r="E2833" t="inlineStr">
        <is>
          <t>VIMMERBY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54651-2019</t>
        </is>
      </c>
      <c r="B2834" s="1" t="n">
        <v>43754</v>
      </c>
      <c r="C2834" s="1" t="n">
        <v>45190</v>
      </c>
      <c r="D2834" t="inlineStr">
        <is>
          <t>KALMAR LÄN</t>
        </is>
      </c>
      <c r="E2834" t="inlineStr">
        <is>
          <t>HULTSFRED</t>
        </is>
      </c>
      <c r="G2834" t="n">
        <v>7.6</v>
      </c>
      <c r="H2834" t="n">
        <v>0</v>
      </c>
      <c r="I2834" t="n">
        <v>0</v>
      </c>
      <c r="J2834" t="n">
        <v>0</v>
      </c>
      <c r="K2834" t="n">
        <v>0</v>
      </c>
      <c r="L2834" t="n">
        <v>0</v>
      </c>
      <c r="M2834" t="n">
        <v>0</v>
      </c>
      <c r="N2834" t="n">
        <v>0</v>
      </c>
      <c r="O2834" t="n">
        <v>0</v>
      </c>
      <c r="P2834" t="n">
        <v>0</v>
      </c>
      <c r="Q2834" t="n">
        <v>0</v>
      </c>
      <c r="R2834" s="2" t="inlineStr"/>
    </row>
    <row r="2835" ht="15" customHeight="1">
      <c r="A2835" t="inlineStr">
        <is>
          <t>A 54801-2019</t>
        </is>
      </c>
      <c r="B2835" s="1" t="n">
        <v>43755</v>
      </c>
      <c r="C2835" s="1" t="n">
        <v>45190</v>
      </c>
      <c r="D2835" t="inlineStr">
        <is>
          <t>KALMAR LÄN</t>
        </is>
      </c>
      <c r="E2835" t="inlineStr">
        <is>
          <t>TORSÅS</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54794-2019</t>
        </is>
      </c>
      <c r="B2836" s="1" t="n">
        <v>43755</v>
      </c>
      <c r="C2836" s="1" t="n">
        <v>45190</v>
      </c>
      <c r="D2836" t="inlineStr">
        <is>
          <t>KALMAR LÄN</t>
        </is>
      </c>
      <c r="E2836" t="inlineStr">
        <is>
          <t>VIMMERBY</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54793-2019</t>
        </is>
      </c>
      <c r="B2837" s="1" t="n">
        <v>43755</v>
      </c>
      <c r="C2837" s="1" t="n">
        <v>45190</v>
      </c>
      <c r="D2837" t="inlineStr">
        <is>
          <t>KALMAR LÄN</t>
        </is>
      </c>
      <c r="E2837" t="inlineStr">
        <is>
          <t>TORSÅS</t>
        </is>
      </c>
      <c r="G2837" t="n">
        <v>14.7</v>
      </c>
      <c r="H2837" t="n">
        <v>0</v>
      </c>
      <c r="I2837" t="n">
        <v>0</v>
      </c>
      <c r="J2837" t="n">
        <v>0</v>
      </c>
      <c r="K2837" t="n">
        <v>0</v>
      </c>
      <c r="L2837" t="n">
        <v>0</v>
      </c>
      <c r="M2837" t="n">
        <v>0</v>
      </c>
      <c r="N2837" t="n">
        <v>0</v>
      </c>
      <c r="O2837" t="n">
        <v>0</v>
      </c>
      <c r="P2837" t="n">
        <v>0</v>
      </c>
      <c r="Q2837" t="n">
        <v>0</v>
      </c>
      <c r="R2837" s="2" t="inlineStr"/>
    </row>
    <row r="2838" ht="15" customHeight="1">
      <c r="A2838" t="inlineStr">
        <is>
          <t>A 54814-2019</t>
        </is>
      </c>
      <c r="B2838" s="1" t="n">
        <v>43755</v>
      </c>
      <c r="C2838" s="1" t="n">
        <v>45190</v>
      </c>
      <c r="D2838" t="inlineStr">
        <is>
          <t>KALMAR LÄN</t>
        </is>
      </c>
      <c r="E2838" t="inlineStr">
        <is>
          <t>EMMABODA</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54785-2019</t>
        </is>
      </c>
      <c r="B2839" s="1" t="n">
        <v>43755</v>
      </c>
      <c r="C2839" s="1" t="n">
        <v>45190</v>
      </c>
      <c r="D2839" t="inlineStr">
        <is>
          <t>KALMAR LÄN</t>
        </is>
      </c>
      <c r="E2839" t="inlineStr">
        <is>
          <t>TORSÅS</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54795-2019</t>
        </is>
      </c>
      <c r="B2840" s="1" t="n">
        <v>43755</v>
      </c>
      <c r="C2840" s="1" t="n">
        <v>45190</v>
      </c>
      <c r="D2840" t="inlineStr">
        <is>
          <t>KALMAR LÄN</t>
        </is>
      </c>
      <c r="E2840" t="inlineStr">
        <is>
          <t>KALMAR</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54883-2019</t>
        </is>
      </c>
      <c r="B2841" s="1" t="n">
        <v>43755</v>
      </c>
      <c r="C2841" s="1" t="n">
        <v>45190</v>
      </c>
      <c r="D2841" t="inlineStr">
        <is>
          <t>KALMAR LÄN</t>
        </is>
      </c>
      <c r="E2841" t="inlineStr">
        <is>
          <t>EMMABODA</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55050-2019</t>
        </is>
      </c>
      <c r="B2842" s="1" t="n">
        <v>43756</v>
      </c>
      <c r="C2842" s="1" t="n">
        <v>45190</v>
      </c>
      <c r="D2842" t="inlineStr">
        <is>
          <t>KALMAR LÄN</t>
        </is>
      </c>
      <c r="E2842" t="inlineStr">
        <is>
          <t>KALMAR</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55118-2019</t>
        </is>
      </c>
      <c r="B2843" s="1" t="n">
        <v>43756</v>
      </c>
      <c r="C2843" s="1" t="n">
        <v>45190</v>
      </c>
      <c r="D2843" t="inlineStr">
        <is>
          <t>KALMAR LÄN</t>
        </is>
      </c>
      <c r="E2843" t="inlineStr">
        <is>
          <t>HULTSFRED</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56386-2019</t>
        </is>
      </c>
      <c r="B2844" s="1" t="n">
        <v>43756</v>
      </c>
      <c r="C2844" s="1" t="n">
        <v>45190</v>
      </c>
      <c r="D2844" t="inlineStr">
        <is>
          <t>KALMAR LÄN</t>
        </is>
      </c>
      <c r="E2844" t="inlineStr">
        <is>
          <t>HULTSFRED</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56449-2019</t>
        </is>
      </c>
      <c r="B2845" s="1" t="n">
        <v>43756</v>
      </c>
      <c r="C2845" s="1" t="n">
        <v>45190</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55165-2019</t>
        </is>
      </c>
      <c r="B2846" s="1" t="n">
        <v>43756</v>
      </c>
      <c r="C2846" s="1" t="n">
        <v>45190</v>
      </c>
      <c r="D2846" t="inlineStr">
        <is>
          <t>KALMAR LÄN</t>
        </is>
      </c>
      <c r="E2846" t="inlineStr">
        <is>
          <t>EMMABODA</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55368-2019</t>
        </is>
      </c>
      <c r="B2847" s="1" t="n">
        <v>43756</v>
      </c>
      <c r="C2847" s="1" t="n">
        <v>45190</v>
      </c>
      <c r="D2847" t="inlineStr">
        <is>
          <t>KALMAR LÄN</t>
        </is>
      </c>
      <c r="E2847" t="inlineStr">
        <is>
          <t>EMMABODA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56296-2019</t>
        </is>
      </c>
      <c r="B2848" s="1" t="n">
        <v>43756</v>
      </c>
      <c r="C2848" s="1" t="n">
        <v>45190</v>
      </c>
      <c r="D2848" t="inlineStr">
        <is>
          <t>KALMAR LÄN</t>
        </is>
      </c>
      <c r="E2848" t="inlineStr">
        <is>
          <t>HULTSFRED</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55161-2019</t>
        </is>
      </c>
      <c r="B2849" s="1" t="n">
        <v>43756</v>
      </c>
      <c r="C2849" s="1" t="n">
        <v>45190</v>
      </c>
      <c r="D2849" t="inlineStr">
        <is>
          <t>KALMAR LÄN</t>
        </is>
      </c>
      <c r="E2849" t="inlineStr">
        <is>
          <t>KALMAR</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55052-2019</t>
        </is>
      </c>
      <c r="B2850" s="1" t="n">
        <v>43756</v>
      </c>
      <c r="C2850" s="1" t="n">
        <v>45190</v>
      </c>
      <c r="D2850" t="inlineStr">
        <is>
          <t>KALMAR LÄN</t>
        </is>
      </c>
      <c r="E2850" t="inlineStr">
        <is>
          <t>EMMABODA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56392-2019</t>
        </is>
      </c>
      <c r="B2851" s="1" t="n">
        <v>43756</v>
      </c>
      <c r="C2851" s="1" t="n">
        <v>45190</v>
      </c>
      <c r="D2851" t="inlineStr">
        <is>
          <t>KALMAR LÄN</t>
        </is>
      </c>
      <c r="E2851" t="inlineStr">
        <is>
          <t>HULTSFRED</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55409-2019</t>
        </is>
      </c>
      <c r="B2852" s="1" t="n">
        <v>43758</v>
      </c>
      <c r="C2852" s="1" t="n">
        <v>45190</v>
      </c>
      <c r="D2852" t="inlineStr">
        <is>
          <t>KALMAR LÄN</t>
        </is>
      </c>
      <c r="E2852" t="inlineStr">
        <is>
          <t>OSKARSHAMN</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55596-2019</t>
        </is>
      </c>
      <c r="B2853" s="1" t="n">
        <v>43759</v>
      </c>
      <c r="C2853" s="1" t="n">
        <v>45190</v>
      </c>
      <c r="D2853" t="inlineStr">
        <is>
          <t>KALMAR LÄN</t>
        </is>
      </c>
      <c r="E2853" t="inlineStr">
        <is>
          <t>NYBRO</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56050-2019</t>
        </is>
      </c>
      <c r="B2854" s="1" t="n">
        <v>43759</v>
      </c>
      <c r="C2854" s="1" t="n">
        <v>45190</v>
      </c>
      <c r="D2854" t="inlineStr">
        <is>
          <t>KALMAR LÄN</t>
        </is>
      </c>
      <c r="E2854" t="inlineStr">
        <is>
          <t>OSKARSHAMN</t>
        </is>
      </c>
      <c r="F2854" t="inlineStr">
        <is>
          <t>Sveaskog</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56049-2019</t>
        </is>
      </c>
      <c r="B2855" s="1" t="n">
        <v>43759</v>
      </c>
      <c r="C2855" s="1" t="n">
        <v>45190</v>
      </c>
      <c r="D2855" t="inlineStr">
        <is>
          <t>KALMAR LÄN</t>
        </is>
      </c>
      <c r="E2855" t="inlineStr">
        <is>
          <t>OSKARSHAMN</t>
        </is>
      </c>
      <c r="F2855" t="inlineStr">
        <is>
          <t>Sveaskog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55638-2019</t>
        </is>
      </c>
      <c r="B2856" s="1" t="n">
        <v>43760</v>
      </c>
      <c r="C2856" s="1" t="n">
        <v>45190</v>
      </c>
      <c r="D2856" t="inlineStr">
        <is>
          <t>KALMAR LÄN</t>
        </is>
      </c>
      <c r="E2856" t="inlineStr">
        <is>
          <t>EMMABODA</t>
        </is>
      </c>
      <c r="G2856" t="n">
        <v>0.4</v>
      </c>
      <c r="H2856" t="n">
        <v>0</v>
      </c>
      <c r="I2856" t="n">
        <v>0</v>
      </c>
      <c r="J2856" t="n">
        <v>0</v>
      </c>
      <c r="K2856" t="n">
        <v>0</v>
      </c>
      <c r="L2856" t="n">
        <v>0</v>
      </c>
      <c r="M2856" t="n">
        <v>0</v>
      </c>
      <c r="N2856" t="n">
        <v>0</v>
      </c>
      <c r="O2856" t="n">
        <v>0</v>
      </c>
      <c r="P2856" t="n">
        <v>0</v>
      </c>
      <c r="Q2856" t="n">
        <v>0</v>
      </c>
      <c r="R2856" s="2" t="inlineStr"/>
    </row>
    <row r="2857" ht="15" customHeight="1">
      <c r="A2857" t="inlineStr">
        <is>
          <t>A 57293-2019</t>
        </is>
      </c>
      <c r="B2857" s="1" t="n">
        <v>43760</v>
      </c>
      <c r="C2857" s="1" t="n">
        <v>45190</v>
      </c>
      <c r="D2857" t="inlineStr">
        <is>
          <t>KALMAR LÄN</t>
        </is>
      </c>
      <c r="E2857" t="inlineStr">
        <is>
          <t>MÖNSTERÅS</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55501-2019</t>
        </is>
      </c>
      <c r="B2858" s="1" t="n">
        <v>43760</v>
      </c>
      <c r="C2858" s="1" t="n">
        <v>45190</v>
      </c>
      <c r="D2858" t="inlineStr">
        <is>
          <t>KALMAR LÄN</t>
        </is>
      </c>
      <c r="E2858" t="inlineStr">
        <is>
          <t>HULTSFRED</t>
        </is>
      </c>
      <c r="G2858" t="n">
        <v>7.5</v>
      </c>
      <c r="H2858" t="n">
        <v>0</v>
      </c>
      <c r="I2858" t="n">
        <v>0</v>
      </c>
      <c r="J2858" t="n">
        <v>0</v>
      </c>
      <c r="K2858" t="n">
        <v>0</v>
      </c>
      <c r="L2858" t="n">
        <v>0</v>
      </c>
      <c r="M2858" t="n">
        <v>0</v>
      </c>
      <c r="N2858" t="n">
        <v>0</v>
      </c>
      <c r="O2858" t="n">
        <v>0</v>
      </c>
      <c r="P2858" t="n">
        <v>0</v>
      </c>
      <c r="Q2858" t="n">
        <v>0</v>
      </c>
      <c r="R2858" s="2" t="inlineStr"/>
    </row>
    <row r="2859" ht="15" customHeight="1">
      <c r="A2859" t="inlineStr">
        <is>
          <t>A 55565-2019</t>
        </is>
      </c>
      <c r="B2859" s="1" t="n">
        <v>43760</v>
      </c>
      <c r="C2859" s="1" t="n">
        <v>45190</v>
      </c>
      <c r="D2859" t="inlineStr">
        <is>
          <t>KALMAR LÄN</t>
        </is>
      </c>
      <c r="E2859" t="inlineStr">
        <is>
          <t>NYBRO</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57285-2019</t>
        </is>
      </c>
      <c r="B2860" s="1" t="n">
        <v>43760</v>
      </c>
      <c r="C2860" s="1" t="n">
        <v>45190</v>
      </c>
      <c r="D2860" t="inlineStr">
        <is>
          <t>KALMAR LÄN</t>
        </is>
      </c>
      <c r="E2860" t="inlineStr">
        <is>
          <t>MÖNSTERÅS</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57308-2019</t>
        </is>
      </c>
      <c r="B2861" s="1" t="n">
        <v>43760</v>
      </c>
      <c r="C2861" s="1" t="n">
        <v>45190</v>
      </c>
      <c r="D2861" t="inlineStr">
        <is>
          <t>KALMAR LÄN</t>
        </is>
      </c>
      <c r="E2861" t="inlineStr">
        <is>
          <t>NYBRO</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55842-2019</t>
        </is>
      </c>
      <c r="B2862" s="1" t="n">
        <v>43760</v>
      </c>
      <c r="C2862" s="1" t="n">
        <v>45190</v>
      </c>
      <c r="D2862" t="inlineStr">
        <is>
          <t>KALMAR LÄN</t>
        </is>
      </c>
      <c r="E2862" t="inlineStr">
        <is>
          <t>NYBRO</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56141-2019</t>
        </is>
      </c>
      <c r="B2863" s="1" t="n">
        <v>43761</v>
      </c>
      <c r="C2863" s="1" t="n">
        <v>45190</v>
      </c>
      <c r="D2863" t="inlineStr">
        <is>
          <t>KALMAR LÄN</t>
        </is>
      </c>
      <c r="E2863" t="inlineStr">
        <is>
          <t>KALMAR</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57650-2019</t>
        </is>
      </c>
      <c r="B2864" s="1" t="n">
        <v>43761</v>
      </c>
      <c r="C2864" s="1" t="n">
        <v>45190</v>
      </c>
      <c r="D2864" t="inlineStr">
        <is>
          <t>KALMAR LÄN</t>
        </is>
      </c>
      <c r="E2864" t="inlineStr">
        <is>
          <t>VÄSTERVIK</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57601-2019</t>
        </is>
      </c>
      <c r="B2865" s="1" t="n">
        <v>43761</v>
      </c>
      <c r="C2865" s="1" t="n">
        <v>45190</v>
      </c>
      <c r="D2865" t="inlineStr">
        <is>
          <t>KALMAR LÄN</t>
        </is>
      </c>
      <c r="E2865" t="inlineStr">
        <is>
          <t>OSKARSHAMN</t>
        </is>
      </c>
      <c r="G2865" t="n">
        <v>5.8</v>
      </c>
      <c r="H2865" t="n">
        <v>0</v>
      </c>
      <c r="I2865" t="n">
        <v>0</v>
      </c>
      <c r="J2865" t="n">
        <v>0</v>
      </c>
      <c r="K2865" t="n">
        <v>0</v>
      </c>
      <c r="L2865" t="n">
        <v>0</v>
      </c>
      <c r="M2865" t="n">
        <v>0</v>
      </c>
      <c r="N2865" t="n">
        <v>0</v>
      </c>
      <c r="O2865" t="n">
        <v>0</v>
      </c>
      <c r="P2865" t="n">
        <v>0</v>
      </c>
      <c r="Q2865" t="n">
        <v>0</v>
      </c>
      <c r="R2865" s="2" t="inlineStr"/>
    </row>
    <row r="2866" ht="15" customHeight="1">
      <c r="A2866" t="inlineStr">
        <is>
          <t>A 57654-2019</t>
        </is>
      </c>
      <c r="B2866" s="1" t="n">
        <v>43761</v>
      </c>
      <c r="C2866" s="1" t="n">
        <v>45190</v>
      </c>
      <c r="D2866" t="inlineStr">
        <is>
          <t>KALMAR LÄN</t>
        </is>
      </c>
      <c r="E2866" t="inlineStr">
        <is>
          <t>VÄSTERVIK</t>
        </is>
      </c>
      <c r="G2866" t="n">
        <v>8.800000000000001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56459-2019</t>
        </is>
      </c>
      <c r="B2867" s="1" t="n">
        <v>43762</v>
      </c>
      <c r="C2867" s="1" t="n">
        <v>45190</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56458-2019</t>
        </is>
      </c>
      <c r="B2868" s="1" t="n">
        <v>43762</v>
      </c>
      <c r="C2868" s="1" t="n">
        <v>45190</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57998-2019</t>
        </is>
      </c>
      <c r="B2869" s="1" t="n">
        <v>43762</v>
      </c>
      <c r="C2869" s="1" t="n">
        <v>45190</v>
      </c>
      <c r="D2869" t="inlineStr">
        <is>
          <t>KALMAR LÄN</t>
        </is>
      </c>
      <c r="E2869" t="inlineStr">
        <is>
          <t>VIMMERBY</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56533-2019</t>
        </is>
      </c>
      <c r="B2870" s="1" t="n">
        <v>43763</v>
      </c>
      <c r="C2870" s="1" t="n">
        <v>45190</v>
      </c>
      <c r="D2870" t="inlineStr">
        <is>
          <t>KALMAR LÄN</t>
        </is>
      </c>
      <c r="E2870" t="inlineStr">
        <is>
          <t>KALMAR</t>
        </is>
      </c>
      <c r="G2870" t="n">
        <v>4.5</v>
      </c>
      <c r="H2870" t="n">
        <v>0</v>
      </c>
      <c r="I2870" t="n">
        <v>0</v>
      </c>
      <c r="J2870" t="n">
        <v>0</v>
      </c>
      <c r="K2870" t="n">
        <v>0</v>
      </c>
      <c r="L2870" t="n">
        <v>0</v>
      </c>
      <c r="M2870" t="n">
        <v>0</v>
      </c>
      <c r="N2870" t="n">
        <v>0</v>
      </c>
      <c r="O2870" t="n">
        <v>0</v>
      </c>
      <c r="P2870" t="n">
        <v>0</v>
      </c>
      <c r="Q2870" t="n">
        <v>0</v>
      </c>
      <c r="R2870" s="2" t="inlineStr"/>
    </row>
    <row r="2871" ht="15" customHeight="1">
      <c r="A2871" t="inlineStr">
        <is>
          <t>A 56560-2019</t>
        </is>
      </c>
      <c r="B2871" s="1" t="n">
        <v>43763</v>
      </c>
      <c r="C2871" s="1" t="n">
        <v>45190</v>
      </c>
      <c r="D2871" t="inlineStr">
        <is>
          <t>KALMAR LÄN</t>
        </is>
      </c>
      <c r="E2871" t="inlineStr">
        <is>
          <t>MÖNSTERÅS</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56575-2019</t>
        </is>
      </c>
      <c r="B2872" s="1" t="n">
        <v>43763</v>
      </c>
      <c r="C2872" s="1" t="n">
        <v>45190</v>
      </c>
      <c r="D2872" t="inlineStr">
        <is>
          <t>KALMAR LÄN</t>
        </is>
      </c>
      <c r="E2872" t="inlineStr">
        <is>
          <t>MÖNSTERÅS</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56632-2019</t>
        </is>
      </c>
      <c r="B2873" s="1" t="n">
        <v>43763</v>
      </c>
      <c r="C2873" s="1" t="n">
        <v>45190</v>
      </c>
      <c r="D2873" t="inlineStr">
        <is>
          <t>KALMAR LÄN</t>
        </is>
      </c>
      <c r="E2873" t="inlineStr">
        <is>
          <t>MÖNSTERÅS</t>
        </is>
      </c>
      <c r="G2873" t="n">
        <v>8.6</v>
      </c>
      <c r="H2873" t="n">
        <v>0</v>
      </c>
      <c r="I2873" t="n">
        <v>0</v>
      </c>
      <c r="J2873" t="n">
        <v>0</v>
      </c>
      <c r="K2873" t="n">
        <v>0</v>
      </c>
      <c r="L2873" t="n">
        <v>0</v>
      </c>
      <c r="M2873" t="n">
        <v>0</v>
      </c>
      <c r="N2873" t="n">
        <v>0</v>
      </c>
      <c r="O2873" t="n">
        <v>0</v>
      </c>
      <c r="P2873" t="n">
        <v>0</v>
      </c>
      <c r="Q2873" t="n">
        <v>0</v>
      </c>
      <c r="R2873" s="2" t="inlineStr"/>
    </row>
    <row r="2874" ht="15" customHeight="1">
      <c r="A2874" t="inlineStr">
        <is>
          <t>A 56642-2019</t>
        </is>
      </c>
      <c r="B2874" s="1" t="n">
        <v>43763</v>
      </c>
      <c r="C2874" s="1" t="n">
        <v>45190</v>
      </c>
      <c r="D2874" t="inlineStr">
        <is>
          <t>KALMAR LÄN</t>
        </is>
      </c>
      <c r="E2874" t="inlineStr">
        <is>
          <t>HÖGSBY</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56558-2019</t>
        </is>
      </c>
      <c r="B2875" s="1" t="n">
        <v>43763</v>
      </c>
      <c r="C2875" s="1" t="n">
        <v>45190</v>
      </c>
      <c r="D2875" t="inlineStr">
        <is>
          <t>KALMAR LÄN</t>
        </is>
      </c>
      <c r="E2875" t="inlineStr">
        <is>
          <t>MÖNSTERÅS</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56638-2019</t>
        </is>
      </c>
      <c r="B2876" s="1" t="n">
        <v>43763</v>
      </c>
      <c r="C2876" s="1" t="n">
        <v>45190</v>
      </c>
      <c r="D2876" t="inlineStr">
        <is>
          <t>KALMAR LÄN</t>
        </is>
      </c>
      <c r="E2876" t="inlineStr">
        <is>
          <t>BORGHOLM</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56530-2019</t>
        </is>
      </c>
      <c r="B2877" s="1" t="n">
        <v>43763</v>
      </c>
      <c r="C2877" s="1" t="n">
        <v>45190</v>
      </c>
      <c r="D2877" t="inlineStr">
        <is>
          <t>KALMAR LÄN</t>
        </is>
      </c>
      <c r="E2877" t="inlineStr">
        <is>
          <t>KALMAR</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56644-2019</t>
        </is>
      </c>
      <c r="B2878" s="1" t="n">
        <v>43763</v>
      </c>
      <c r="C2878" s="1" t="n">
        <v>45190</v>
      </c>
      <c r="D2878" t="inlineStr">
        <is>
          <t>KALMAR LÄN</t>
        </is>
      </c>
      <c r="E2878" t="inlineStr">
        <is>
          <t>KALMAR</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56828-2019</t>
        </is>
      </c>
      <c r="B2879" s="1" t="n">
        <v>43764</v>
      </c>
      <c r="C2879" s="1" t="n">
        <v>45190</v>
      </c>
      <c r="D2879" t="inlineStr">
        <is>
          <t>KALMAR LÄN</t>
        </is>
      </c>
      <c r="E2879" t="inlineStr">
        <is>
          <t>HULTSFRED</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56994-2019</t>
        </is>
      </c>
      <c r="B2880" s="1" t="n">
        <v>43766</v>
      </c>
      <c r="C2880" s="1" t="n">
        <v>45190</v>
      </c>
      <c r="D2880" t="inlineStr">
        <is>
          <t>KALMAR LÄN</t>
        </is>
      </c>
      <c r="E2880" t="inlineStr">
        <is>
          <t>KALMAR</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57092-2019</t>
        </is>
      </c>
      <c r="B2881" s="1" t="n">
        <v>43766</v>
      </c>
      <c r="C2881" s="1" t="n">
        <v>45190</v>
      </c>
      <c r="D2881" t="inlineStr">
        <is>
          <t>KALMAR LÄN</t>
        </is>
      </c>
      <c r="E2881" t="inlineStr">
        <is>
          <t>EMMABODA</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57108-2019</t>
        </is>
      </c>
      <c r="B2882" s="1" t="n">
        <v>43766</v>
      </c>
      <c r="C2882" s="1" t="n">
        <v>45190</v>
      </c>
      <c r="D2882" t="inlineStr">
        <is>
          <t>KALMAR LÄN</t>
        </is>
      </c>
      <c r="E2882" t="inlineStr">
        <is>
          <t>TORSÅS</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57131-2019</t>
        </is>
      </c>
      <c r="B2883" s="1" t="n">
        <v>43766</v>
      </c>
      <c r="C2883" s="1" t="n">
        <v>45190</v>
      </c>
      <c r="D2883" t="inlineStr">
        <is>
          <t>KALMAR LÄN</t>
        </is>
      </c>
      <c r="E2883" t="inlineStr">
        <is>
          <t>TORSÅS</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57133-2019</t>
        </is>
      </c>
      <c r="B2884" s="1" t="n">
        <v>43766</v>
      </c>
      <c r="C2884" s="1" t="n">
        <v>45190</v>
      </c>
      <c r="D2884" t="inlineStr">
        <is>
          <t>KALMAR LÄN</t>
        </is>
      </c>
      <c r="E2884" t="inlineStr">
        <is>
          <t>TORSÅS</t>
        </is>
      </c>
      <c r="G2884" t="n">
        <v>6.9</v>
      </c>
      <c r="H2884" t="n">
        <v>0</v>
      </c>
      <c r="I2884" t="n">
        <v>0</v>
      </c>
      <c r="J2884" t="n">
        <v>0</v>
      </c>
      <c r="K2884" t="n">
        <v>0</v>
      </c>
      <c r="L2884" t="n">
        <v>0</v>
      </c>
      <c r="M2884" t="n">
        <v>0</v>
      </c>
      <c r="N2884" t="n">
        <v>0</v>
      </c>
      <c r="O2884" t="n">
        <v>0</v>
      </c>
      <c r="P2884" t="n">
        <v>0</v>
      </c>
      <c r="Q2884" t="n">
        <v>0</v>
      </c>
      <c r="R2884" s="2" t="inlineStr"/>
    </row>
    <row r="2885" ht="15" customHeight="1">
      <c r="A2885" t="inlineStr">
        <is>
          <t>A 57154-2019</t>
        </is>
      </c>
      <c r="B2885" s="1" t="n">
        <v>43766</v>
      </c>
      <c r="C2885" s="1" t="n">
        <v>45190</v>
      </c>
      <c r="D2885" t="inlineStr">
        <is>
          <t>KALMAR LÄN</t>
        </is>
      </c>
      <c r="E2885" t="inlineStr">
        <is>
          <t>TORSÅS</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57165-2019</t>
        </is>
      </c>
      <c r="B2886" s="1" t="n">
        <v>43766</v>
      </c>
      <c r="C2886" s="1" t="n">
        <v>45190</v>
      </c>
      <c r="D2886" t="inlineStr">
        <is>
          <t>KALMAR LÄN</t>
        </is>
      </c>
      <c r="E2886" t="inlineStr">
        <is>
          <t>NYBRO</t>
        </is>
      </c>
      <c r="G2886" t="n">
        <v>2.9</v>
      </c>
      <c r="H2886" t="n">
        <v>0</v>
      </c>
      <c r="I2886" t="n">
        <v>0</v>
      </c>
      <c r="J2886" t="n">
        <v>0</v>
      </c>
      <c r="K2886" t="n">
        <v>0</v>
      </c>
      <c r="L2886" t="n">
        <v>0</v>
      </c>
      <c r="M2886" t="n">
        <v>0</v>
      </c>
      <c r="N2886" t="n">
        <v>0</v>
      </c>
      <c r="O2886" t="n">
        <v>0</v>
      </c>
      <c r="P2886" t="n">
        <v>0</v>
      </c>
      <c r="Q2886" t="n">
        <v>0</v>
      </c>
      <c r="R2886" s="2" t="inlineStr"/>
    </row>
    <row r="2887" ht="15" customHeight="1">
      <c r="A2887" t="inlineStr">
        <is>
          <t>A 56854-2019</t>
        </is>
      </c>
      <c r="B2887" s="1" t="n">
        <v>43766</v>
      </c>
      <c r="C2887" s="1" t="n">
        <v>45190</v>
      </c>
      <c r="D2887" t="inlineStr">
        <is>
          <t>KALMAR LÄN</t>
        </is>
      </c>
      <c r="E2887" t="inlineStr">
        <is>
          <t>TORSÅS</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56877-2019</t>
        </is>
      </c>
      <c r="B2888" s="1" t="n">
        <v>43766</v>
      </c>
      <c r="C2888" s="1" t="n">
        <v>45190</v>
      </c>
      <c r="D2888" t="inlineStr">
        <is>
          <t>KALMAR LÄN</t>
        </is>
      </c>
      <c r="E2888" t="inlineStr">
        <is>
          <t>NYBRO</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56899-2019</t>
        </is>
      </c>
      <c r="B2889" s="1" t="n">
        <v>43766</v>
      </c>
      <c r="C2889" s="1" t="n">
        <v>45190</v>
      </c>
      <c r="D2889" t="inlineStr">
        <is>
          <t>KALMAR LÄN</t>
        </is>
      </c>
      <c r="E2889" t="inlineStr">
        <is>
          <t>TORSÅS</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56987-2019</t>
        </is>
      </c>
      <c r="B2890" s="1" t="n">
        <v>43766</v>
      </c>
      <c r="C2890" s="1" t="n">
        <v>45190</v>
      </c>
      <c r="D2890" t="inlineStr">
        <is>
          <t>KALMAR LÄN</t>
        </is>
      </c>
      <c r="E2890" t="inlineStr">
        <is>
          <t>NYBRO</t>
        </is>
      </c>
      <c r="F2890" t="inlineStr">
        <is>
          <t>Sveaskog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57351-2019</t>
        </is>
      </c>
      <c r="B2891" s="1" t="n">
        <v>43767</v>
      </c>
      <c r="C2891" s="1" t="n">
        <v>45190</v>
      </c>
      <c r="D2891" t="inlineStr">
        <is>
          <t>KALMAR LÄN</t>
        </is>
      </c>
      <c r="E2891" t="inlineStr">
        <is>
          <t>HULTSFRED</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57525-2019</t>
        </is>
      </c>
      <c r="B2892" s="1" t="n">
        <v>43767</v>
      </c>
      <c r="C2892" s="1" t="n">
        <v>45190</v>
      </c>
      <c r="D2892" t="inlineStr">
        <is>
          <t>KALMAR LÄN</t>
        </is>
      </c>
      <c r="E2892" t="inlineStr">
        <is>
          <t>OSKARSHAMN</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57535-2019</t>
        </is>
      </c>
      <c r="B2893" s="1" t="n">
        <v>43767</v>
      </c>
      <c r="C2893" s="1" t="n">
        <v>45190</v>
      </c>
      <c r="D2893" t="inlineStr">
        <is>
          <t>KALMAR LÄN</t>
        </is>
      </c>
      <c r="E2893" t="inlineStr">
        <is>
          <t>HULTSFRED</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58604-2019</t>
        </is>
      </c>
      <c r="B2894" s="1" t="n">
        <v>43767</v>
      </c>
      <c r="C2894" s="1" t="n">
        <v>45190</v>
      </c>
      <c r="D2894" t="inlineStr">
        <is>
          <t>KALMAR LÄN</t>
        </is>
      </c>
      <c r="E2894" t="inlineStr">
        <is>
          <t>MÖNSTERÅS</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57532-2019</t>
        </is>
      </c>
      <c r="B2895" s="1" t="n">
        <v>43767</v>
      </c>
      <c r="C2895" s="1" t="n">
        <v>45190</v>
      </c>
      <c r="D2895" t="inlineStr">
        <is>
          <t>KALMAR LÄN</t>
        </is>
      </c>
      <c r="E2895" t="inlineStr">
        <is>
          <t>HULTSFRED</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57335-2019</t>
        </is>
      </c>
      <c r="B2896" s="1" t="n">
        <v>43767</v>
      </c>
      <c r="C2896" s="1" t="n">
        <v>45190</v>
      </c>
      <c r="D2896" t="inlineStr">
        <is>
          <t>KALMAR LÄN</t>
        </is>
      </c>
      <c r="E2896" t="inlineStr">
        <is>
          <t>MÖNSTERÅS</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57509-2019</t>
        </is>
      </c>
      <c r="B2897" s="1" t="n">
        <v>43767</v>
      </c>
      <c r="C2897" s="1" t="n">
        <v>45190</v>
      </c>
      <c r="D2897" t="inlineStr">
        <is>
          <t>KALMAR LÄN</t>
        </is>
      </c>
      <c r="E2897" t="inlineStr">
        <is>
          <t>VIMMERBY</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57770-2019</t>
        </is>
      </c>
      <c r="B2898" s="1" t="n">
        <v>43768</v>
      </c>
      <c r="C2898" s="1" t="n">
        <v>45190</v>
      </c>
      <c r="D2898" t="inlineStr">
        <is>
          <t>KALMAR LÄN</t>
        </is>
      </c>
      <c r="E2898" t="inlineStr">
        <is>
          <t>VÄSTERVIK</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57886-2019</t>
        </is>
      </c>
      <c r="B2899" s="1" t="n">
        <v>43768</v>
      </c>
      <c r="C2899" s="1" t="n">
        <v>45190</v>
      </c>
      <c r="D2899" t="inlineStr">
        <is>
          <t>KALMAR LÄN</t>
        </is>
      </c>
      <c r="E2899" t="inlineStr">
        <is>
          <t>VIMMERBY</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57902-2019</t>
        </is>
      </c>
      <c r="B2900" s="1" t="n">
        <v>43769</v>
      </c>
      <c r="C2900" s="1" t="n">
        <v>45190</v>
      </c>
      <c r="D2900" t="inlineStr">
        <is>
          <t>KALMAR LÄN</t>
        </is>
      </c>
      <c r="E2900" t="inlineStr">
        <is>
          <t>HULTSFRED</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58008-2019</t>
        </is>
      </c>
      <c r="B2901" s="1" t="n">
        <v>43769</v>
      </c>
      <c r="C2901" s="1" t="n">
        <v>45190</v>
      </c>
      <c r="D2901" t="inlineStr">
        <is>
          <t>KALMAR LÄN</t>
        </is>
      </c>
      <c r="E2901" t="inlineStr">
        <is>
          <t>HULTSFRED</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58026-2019</t>
        </is>
      </c>
      <c r="B2902" s="1" t="n">
        <v>43769</v>
      </c>
      <c r="C2902" s="1" t="n">
        <v>45190</v>
      </c>
      <c r="D2902" t="inlineStr">
        <is>
          <t>KALMAR LÄN</t>
        </is>
      </c>
      <c r="E2902" t="inlineStr">
        <is>
          <t>HULTSFRED</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58018-2019</t>
        </is>
      </c>
      <c r="B2903" s="1" t="n">
        <v>43769</v>
      </c>
      <c r="C2903" s="1" t="n">
        <v>45190</v>
      </c>
      <c r="D2903" t="inlineStr">
        <is>
          <t>KALMAR LÄN</t>
        </is>
      </c>
      <c r="E2903" t="inlineStr">
        <is>
          <t>KALMAR</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58888-2019</t>
        </is>
      </c>
      <c r="B2904" s="1" t="n">
        <v>43769</v>
      </c>
      <c r="C2904" s="1" t="n">
        <v>45190</v>
      </c>
      <c r="D2904" t="inlineStr">
        <is>
          <t>KALMAR LÄN</t>
        </is>
      </c>
      <c r="E2904" t="inlineStr">
        <is>
          <t>OSKARSHAMN</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57900-2019</t>
        </is>
      </c>
      <c r="B2905" s="1" t="n">
        <v>43769</v>
      </c>
      <c r="C2905" s="1" t="n">
        <v>45190</v>
      </c>
      <c r="D2905" t="inlineStr">
        <is>
          <t>KALMAR LÄN</t>
        </is>
      </c>
      <c r="E2905" t="inlineStr">
        <is>
          <t>HULTSFRED</t>
        </is>
      </c>
      <c r="F2905" t="inlineStr">
        <is>
          <t>Sveaskog</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58320-2019</t>
        </is>
      </c>
      <c r="B2906" s="1" t="n">
        <v>43770</v>
      </c>
      <c r="C2906" s="1" t="n">
        <v>45190</v>
      </c>
      <c r="D2906" t="inlineStr">
        <is>
          <t>KALMAR LÄN</t>
        </is>
      </c>
      <c r="E2906" t="inlineStr">
        <is>
          <t>NYBRO</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58323-2019</t>
        </is>
      </c>
      <c r="B2907" s="1" t="n">
        <v>43770</v>
      </c>
      <c r="C2907" s="1" t="n">
        <v>45190</v>
      </c>
      <c r="D2907" t="inlineStr">
        <is>
          <t>KALMAR LÄN</t>
        </is>
      </c>
      <c r="E2907" t="inlineStr">
        <is>
          <t>VÄSTERVIK</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58382-2019</t>
        </is>
      </c>
      <c r="B2908" s="1" t="n">
        <v>43771</v>
      </c>
      <c r="C2908" s="1" t="n">
        <v>45190</v>
      </c>
      <c r="D2908" t="inlineStr">
        <is>
          <t>KALMAR LÄN</t>
        </is>
      </c>
      <c r="E2908" t="inlineStr">
        <is>
          <t>NYBRO</t>
        </is>
      </c>
      <c r="G2908" t="n">
        <v>9.9</v>
      </c>
      <c r="H2908" t="n">
        <v>0</v>
      </c>
      <c r="I2908" t="n">
        <v>0</v>
      </c>
      <c r="J2908" t="n">
        <v>0</v>
      </c>
      <c r="K2908" t="n">
        <v>0</v>
      </c>
      <c r="L2908" t="n">
        <v>0</v>
      </c>
      <c r="M2908" t="n">
        <v>0</v>
      </c>
      <c r="N2908" t="n">
        <v>0</v>
      </c>
      <c r="O2908" t="n">
        <v>0</v>
      </c>
      <c r="P2908" t="n">
        <v>0</v>
      </c>
      <c r="Q2908" t="n">
        <v>0</v>
      </c>
      <c r="R2908" s="2" t="inlineStr"/>
    </row>
    <row r="2909" ht="15" customHeight="1">
      <c r="A2909" t="inlineStr">
        <is>
          <t>A 58380-2019</t>
        </is>
      </c>
      <c r="B2909" s="1" t="n">
        <v>43771</v>
      </c>
      <c r="C2909" s="1" t="n">
        <v>45190</v>
      </c>
      <c r="D2909" t="inlineStr">
        <is>
          <t>KALMAR LÄN</t>
        </is>
      </c>
      <c r="E2909" t="inlineStr">
        <is>
          <t>NYBRO</t>
        </is>
      </c>
      <c r="G2909" t="n">
        <v>10.2</v>
      </c>
      <c r="H2909" t="n">
        <v>0</v>
      </c>
      <c r="I2909" t="n">
        <v>0</v>
      </c>
      <c r="J2909" t="n">
        <v>0</v>
      </c>
      <c r="K2909" t="n">
        <v>0</v>
      </c>
      <c r="L2909" t="n">
        <v>0</v>
      </c>
      <c r="M2909" t="n">
        <v>0</v>
      </c>
      <c r="N2909" t="n">
        <v>0</v>
      </c>
      <c r="O2909" t="n">
        <v>0</v>
      </c>
      <c r="P2909" t="n">
        <v>0</v>
      </c>
      <c r="Q2909" t="n">
        <v>0</v>
      </c>
      <c r="R2909" s="2" t="inlineStr"/>
    </row>
    <row r="2910" ht="15" customHeight="1">
      <c r="A2910" t="inlineStr">
        <is>
          <t>A 58386-2019</t>
        </is>
      </c>
      <c r="B2910" s="1" t="n">
        <v>43772</v>
      </c>
      <c r="C2910" s="1" t="n">
        <v>45190</v>
      </c>
      <c r="D2910" t="inlineStr">
        <is>
          <t>KALMAR LÄN</t>
        </is>
      </c>
      <c r="E2910" t="inlineStr">
        <is>
          <t>VÄSTERVIK</t>
        </is>
      </c>
      <c r="F2910" t="inlineStr">
        <is>
          <t>Sveaskog</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58397-2019</t>
        </is>
      </c>
      <c r="B2911" s="1" t="n">
        <v>43772</v>
      </c>
      <c r="C2911" s="1" t="n">
        <v>45190</v>
      </c>
      <c r="D2911" t="inlineStr">
        <is>
          <t>KALMAR LÄN</t>
        </is>
      </c>
      <c r="E2911" t="inlineStr">
        <is>
          <t>HULTSFRED</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58633-2019</t>
        </is>
      </c>
      <c r="B2912" s="1" t="n">
        <v>43773</v>
      </c>
      <c r="C2912" s="1" t="n">
        <v>45190</v>
      </c>
      <c r="D2912" t="inlineStr">
        <is>
          <t>KALMAR LÄN</t>
        </is>
      </c>
      <c r="E2912" t="inlineStr">
        <is>
          <t>TORSÅS</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58658-2019</t>
        </is>
      </c>
      <c r="B2913" s="1" t="n">
        <v>43773</v>
      </c>
      <c r="C2913" s="1" t="n">
        <v>45190</v>
      </c>
      <c r="D2913" t="inlineStr">
        <is>
          <t>KALMAR LÄN</t>
        </is>
      </c>
      <c r="E2913" t="inlineStr">
        <is>
          <t>VÄSTERVIK</t>
        </is>
      </c>
      <c r="F2913" t="inlineStr">
        <is>
          <t>Kyrkan</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58479-2019</t>
        </is>
      </c>
      <c r="B2914" s="1" t="n">
        <v>43773</v>
      </c>
      <c r="C2914" s="1" t="n">
        <v>45190</v>
      </c>
      <c r="D2914" t="inlineStr">
        <is>
          <t>KALMAR LÄN</t>
        </is>
      </c>
      <c r="E2914" t="inlineStr">
        <is>
          <t>EMMABODA</t>
        </is>
      </c>
      <c r="G2914" t="n">
        <v>0.4</v>
      </c>
      <c r="H2914" t="n">
        <v>0</v>
      </c>
      <c r="I2914" t="n">
        <v>0</v>
      </c>
      <c r="J2914" t="n">
        <v>0</v>
      </c>
      <c r="K2914" t="n">
        <v>0</v>
      </c>
      <c r="L2914" t="n">
        <v>0</v>
      </c>
      <c r="M2914" t="n">
        <v>0</v>
      </c>
      <c r="N2914" t="n">
        <v>0</v>
      </c>
      <c r="O2914" t="n">
        <v>0</v>
      </c>
      <c r="P2914" t="n">
        <v>0</v>
      </c>
      <c r="Q2914" t="n">
        <v>0</v>
      </c>
      <c r="R2914" s="2" t="inlineStr"/>
    </row>
    <row r="2915" ht="15" customHeight="1">
      <c r="A2915" t="inlineStr">
        <is>
          <t>A 59256-2019</t>
        </is>
      </c>
      <c r="B2915" s="1" t="n">
        <v>43773</v>
      </c>
      <c r="C2915" s="1" t="n">
        <v>45190</v>
      </c>
      <c r="D2915" t="inlineStr">
        <is>
          <t>KALMAR LÄN</t>
        </is>
      </c>
      <c r="E2915" t="inlineStr">
        <is>
          <t>VIMMERBY</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58683-2019</t>
        </is>
      </c>
      <c r="B2916" s="1" t="n">
        <v>43773</v>
      </c>
      <c r="C2916" s="1" t="n">
        <v>45190</v>
      </c>
      <c r="D2916" t="inlineStr">
        <is>
          <t>KALMAR LÄN</t>
        </is>
      </c>
      <c r="E2916" t="inlineStr">
        <is>
          <t>EMMABODA</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58948-2019</t>
        </is>
      </c>
      <c r="B2917" s="1" t="n">
        <v>43774</v>
      </c>
      <c r="C2917" s="1" t="n">
        <v>45190</v>
      </c>
      <c r="D2917" t="inlineStr">
        <is>
          <t>KALMAR LÄN</t>
        </is>
      </c>
      <c r="E2917" t="inlineStr">
        <is>
          <t>OSKARSHAMN</t>
        </is>
      </c>
      <c r="G2917" t="n">
        <v>3.6</v>
      </c>
      <c r="H2917" t="n">
        <v>0</v>
      </c>
      <c r="I2917" t="n">
        <v>0</v>
      </c>
      <c r="J2917" t="n">
        <v>0</v>
      </c>
      <c r="K2917" t="n">
        <v>0</v>
      </c>
      <c r="L2917" t="n">
        <v>0</v>
      </c>
      <c r="M2917" t="n">
        <v>0</v>
      </c>
      <c r="N2917" t="n">
        <v>0</v>
      </c>
      <c r="O2917" t="n">
        <v>0</v>
      </c>
      <c r="P2917" t="n">
        <v>0</v>
      </c>
      <c r="Q2917" t="n">
        <v>0</v>
      </c>
      <c r="R2917" s="2" t="inlineStr"/>
    </row>
    <row r="2918" ht="15" customHeight="1">
      <c r="A2918" t="inlineStr">
        <is>
          <t>A 58856-2019</t>
        </is>
      </c>
      <c r="B2918" s="1" t="n">
        <v>43774</v>
      </c>
      <c r="C2918" s="1" t="n">
        <v>45190</v>
      </c>
      <c r="D2918" t="inlineStr">
        <is>
          <t>KALMAR LÄN</t>
        </is>
      </c>
      <c r="E2918" t="inlineStr">
        <is>
          <t>NYBRO</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59067-2019</t>
        </is>
      </c>
      <c r="B2919" s="1" t="n">
        <v>43774</v>
      </c>
      <c r="C2919" s="1" t="n">
        <v>45190</v>
      </c>
      <c r="D2919" t="inlineStr">
        <is>
          <t>KALMAR LÄN</t>
        </is>
      </c>
      <c r="E2919" t="inlineStr">
        <is>
          <t>KALMAR</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59041-2019</t>
        </is>
      </c>
      <c r="B2920" s="1" t="n">
        <v>43774</v>
      </c>
      <c r="C2920" s="1" t="n">
        <v>45190</v>
      </c>
      <c r="D2920" t="inlineStr">
        <is>
          <t>KALMAR LÄN</t>
        </is>
      </c>
      <c r="E2920" t="inlineStr">
        <is>
          <t>HULTSFRED</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59214-2019</t>
        </is>
      </c>
      <c r="B2921" s="1" t="n">
        <v>43774</v>
      </c>
      <c r="C2921" s="1" t="n">
        <v>45190</v>
      </c>
      <c r="D2921" t="inlineStr">
        <is>
          <t>KALMAR LÄN</t>
        </is>
      </c>
      <c r="E2921" t="inlineStr">
        <is>
          <t>OSKARSHAMN</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59479-2019</t>
        </is>
      </c>
      <c r="B2922" s="1" t="n">
        <v>43775</v>
      </c>
      <c r="C2922" s="1" t="n">
        <v>45190</v>
      </c>
      <c r="D2922" t="inlineStr">
        <is>
          <t>KALMAR LÄN</t>
        </is>
      </c>
      <c r="E2922" t="inlineStr">
        <is>
          <t>HÖGSBY</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59113-2019</t>
        </is>
      </c>
      <c r="B2923" s="1" t="n">
        <v>43775</v>
      </c>
      <c r="C2923" s="1" t="n">
        <v>45190</v>
      </c>
      <c r="D2923" t="inlineStr">
        <is>
          <t>KALMAR LÄN</t>
        </is>
      </c>
      <c r="E2923" t="inlineStr">
        <is>
          <t>NYBRO</t>
        </is>
      </c>
      <c r="G2923" t="n">
        <v>5</v>
      </c>
      <c r="H2923" t="n">
        <v>0</v>
      </c>
      <c r="I2923" t="n">
        <v>0</v>
      </c>
      <c r="J2923" t="n">
        <v>0</v>
      </c>
      <c r="K2923" t="n">
        <v>0</v>
      </c>
      <c r="L2923" t="n">
        <v>0</v>
      </c>
      <c r="M2923" t="n">
        <v>0</v>
      </c>
      <c r="N2923" t="n">
        <v>0</v>
      </c>
      <c r="O2923" t="n">
        <v>0</v>
      </c>
      <c r="P2923" t="n">
        <v>0</v>
      </c>
      <c r="Q2923" t="n">
        <v>0</v>
      </c>
      <c r="R2923" s="2" t="inlineStr"/>
    </row>
    <row r="2924" ht="15" customHeight="1">
      <c r="A2924" t="inlineStr">
        <is>
          <t>A 59300-2019</t>
        </is>
      </c>
      <c r="B2924" s="1" t="n">
        <v>43775</v>
      </c>
      <c r="C2924" s="1" t="n">
        <v>45190</v>
      </c>
      <c r="D2924" t="inlineStr">
        <is>
          <t>KALMAR LÄN</t>
        </is>
      </c>
      <c r="E2924" t="inlineStr">
        <is>
          <t>MÖNSTERÅS</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59341-2019</t>
        </is>
      </c>
      <c r="B2925" s="1" t="n">
        <v>43775</v>
      </c>
      <c r="C2925" s="1" t="n">
        <v>45190</v>
      </c>
      <c r="D2925" t="inlineStr">
        <is>
          <t>KALMAR LÄN</t>
        </is>
      </c>
      <c r="E2925" t="inlineStr">
        <is>
          <t>OSKARSHAMN</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59411-2019</t>
        </is>
      </c>
      <c r="B2926" s="1" t="n">
        <v>43775</v>
      </c>
      <c r="C2926" s="1" t="n">
        <v>45190</v>
      </c>
      <c r="D2926" t="inlineStr">
        <is>
          <t>KALMAR LÄN</t>
        </is>
      </c>
      <c r="E2926" t="inlineStr">
        <is>
          <t>TORSÅS</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59114-2019</t>
        </is>
      </c>
      <c r="B2927" s="1" t="n">
        <v>43775</v>
      </c>
      <c r="C2927" s="1" t="n">
        <v>45190</v>
      </c>
      <c r="D2927" t="inlineStr">
        <is>
          <t>KALMAR LÄN</t>
        </is>
      </c>
      <c r="E2927" t="inlineStr">
        <is>
          <t>NYBRO</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59303-2019</t>
        </is>
      </c>
      <c r="B2928" s="1" t="n">
        <v>43775</v>
      </c>
      <c r="C2928" s="1" t="n">
        <v>45190</v>
      </c>
      <c r="D2928" t="inlineStr">
        <is>
          <t>KALMAR LÄN</t>
        </is>
      </c>
      <c r="E2928" t="inlineStr">
        <is>
          <t>NYBRO</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59391-2019</t>
        </is>
      </c>
      <c r="B2929" s="1" t="n">
        <v>43775</v>
      </c>
      <c r="C2929" s="1" t="n">
        <v>45190</v>
      </c>
      <c r="D2929" t="inlineStr">
        <is>
          <t>KALMAR LÄN</t>
        </is>
      </c>
      <c r="E2929" t="inlineStr">
        <is>
          <t>NYBRO</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59369-2019</t>
        </is>
      </c>
      <c r="B2930" s="1" t="n">
        <v>43775</v>
      </c>
      <c r="C2930" s="1" t="n">
        <v>45190</v>
      </c>
      <c r="D2930" t="inlineStr">
        <is>
          <t>KALMAR LÄN</t>
        </is>
      </c>
      <c r="E2930" t="inlineStr">
        <is>
          <t>OSKARSHAMN</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59463-2019</t>
        </is>
      </c>
      <c r="B2931" s="1" t="n">
        <v>43776</v>
      </c>
      <c r="C2931" s="1" t="n">
        <v>45190</v>
      </c>
      <c r="D2931" t="inlineStr">
        <is>
          <t>KALMAR LÄN</t>
        </is>
      </c>
      <c r="E2931" t="inlineStr">
        <is>
          <t>KALMAR</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59705-2019</t>
        </is>
      </c>
      <c r="B2932" s="1" t="n">
        <v>43776</v>
      </c>
      <c r="C2932" s="1" t="n">
        <v>45190</v>
      </c>
      <c r="D2932" t="inlineStr">
        <is>
          <t>KALMAR LÄN</t>
        </is>
      </c>
      <c r="E2932" t="inlineStr">
        <is>
          <t>HULTSFRED</t>
        </is>
      </c>
      <c r="F2932" t="inlineStr">
        <is>
          <t>Kyrkan</t>
        </is>
      </c>
      <c r="G2932" t="n">
        <v>4</v>
      </c>
      <c r="H2932" t="n">
        <v>0</v>
      </c>
      <c r="I2932" t="n">
        <v>0</v>
      </c>
      <c r="J2932" t="n">
        <v>0</v>
      </c>
      <c r="K2932" t="n">
        <v>0</v>
      </c>
      <c r="L2932" t="n">
        <v>0</v>
      </c>
      <c r="M2932" t="n">
        <v>0</v>
      </c>
      <c r="N2932" t="n">
        <v>0</v>
      </c>
      <c r="O2932" t="n">
        <v>0</v>
      </c>
      <c r="P2932" t="n">
        <v>0</v>
      </c>
      <c r="Q2932" t="n">
        <v>0</v>
      </c>
      <c r="R2932" s="2" t="inlineStr"/>
    </row>
    <row r="2933" ht="15" customHeight="1">
      <c r="A2933" t="inlineStr">
        <is>
          <t>A 59616-2019</t>
        </is>
      </c>
      <c r="B2933" s="1" t="n">
        <v>43776</v>
      </c>
      <c r="C2933" s="1" t="n">
        <v>45190</v>
      </c>
      <c r="D2933" t="inlineStr">
        <is>
          <t>KALMAR LÄN</t>
        </is>
      </c>
      <c r="E2933" t="inlineStr">
        <is>
          <t>HULTSFRED</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59639-2019</t>
        </is>
      </c>
      <c r="B2934" s="1" t="n">
        <v>43776</v>
      </c>
      <c r="C2934" s="1" t="n">
        <v>45190</v>
      </c>
      <c r="D2934" t="inlineStr">
        <is>
          <t>KALMAR LÄN</t>
        </is>
      </c>
      <c r="E2934" t="inlineStr">
        <is>
          <t>HULTSFRED</t>
        </is>
      </c>
      <c r="F2934" t="inlineStr">
        <is>
          <t>Kyrkan</t>
        </is>
      </c>
      <c r="G2934" t="n">
        <v>3.9</v>
      </c>
      <c r="H2934" t="n">
        <v>0</v>
      </c>
      <c r="I2934" t="n">
        <v>0</v>
      </c>
      <c r="J2934" t="n">
        <v>0</v>
      </c>
      <c r="K2934" t="n">
        <v>0</v>
      </c>
      <c r="L2934" t="n">
        <v>0</v>
      </c>
      <c r="M2934" t="n">
        <v>0</v>
      </c>
      <c r="N2934" t="n">
        <v>0</v>
      </c>
      <c r="O2934" t="n">
        <v>0</v>
      </c>
      <c r="P2934" t="n">
        <v>0</v>
      </c>
      <c r="Q2934" t="n">
        <v>0</v>
      </c>
      <c r="R2934" s="2" t="inlineStr"/>
    </row>
    <row r="2935" ht="15" customHeight="1">
      <c r="A2935" t="inlineStr">
        <is>
          <t>A 59660-2019</t>
        </is>
      </c>
      <c r="B2935" s="1" t="n">
        <v>43776</v>
      </c>
      <c r="C2935" s="1" t="n">
        <v>45190</v>
      </c>
      <c r="D2935" t="inlineStr">
        <is>
          <t>KALMAR LÄN</t>
        </is>
      </c>
      <c r="E2935" t="inlineStr">
        <is>
          <t>MÖNSTERÅS</t>
        </is>
      </c>
      <c r="G2935" t="n">
        <v>13.9</v>
      </c>
      <c r="H2935" t="n">
        <v>0</v>
      </c>
      <c r="I2935" t="n">
        <v>0</v>
      </c>
      <c r="J2935" t="n">
        <v>0</v>
      </c>
      <c r="K2935" t="n">
        <v>0</v>
      </c>
      <c r="L2935" t="n">
        <v>0</v>
      </c>
      <c r="M2935" t="n">
        <v>0</v>
      </c>
      <c r="N2935" t="n">
        <v>0</v>
      </c>
      <c r="O2935" t="n">
        <v>0</v>
      </c>
      <c r="P2935" t="n">
        <v>0</v>
      </c>
      <c r="Q2935" t="n">
        <v>0</v>
      </c>
      <c r="R2935" s="2" t="inlineStr"/>
    </row>
    <row r="2936" ht="15" customHeight="1">
      <c r="A2936" t="inlineStr">
        <is>
          <t>A 59694-2019</t>
        </is>
      </c>
      <c r="B2936" s="1" t="n">
        <v>43776</v>
      </c>
      <c r="C2936" s="1" t="n">
        <v>45190</v>
      </c>
      <c r="D2936" t="inlineStr">
        <is>
          <t>KALMAR LÄN</t>
        </is>
      </c>
      <c r="E2936" t="inlineStr">
        <is>
          <t>HULTSFRED</t>
        </is>
      </c>
      <c r="F2936" t="inlineStr">
        <is>
          <t>Kyrkan</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59753-2019</t>
        </is>
      </c>
      <c r="B2937" s="1" t="n">
        <v>43776</v>
      </c>
      <c r="C2937" s="1" t="n">
        <v>45190</v>
      </c>
      <c r="D2937" t="inlineStr">
        <is>
          <t>KALMAR LÄN</t>
        </is>
      </c>
      <c r="E2937" t="inlineStr">
        <is>
          <t>VÄSTERVIK</t>
        </is>
      </c>
      <c r="F2937" t="inlineStr">
        <is>
          <t>Sveaskog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59630-2019</t>
        </is>
      </c>
      <c r="B2938" s="1" t="n">
        <v>43776</v>
      </c>
      <c r="C2938" s="1" t="n">
        <v>45190</v>
      </c>
      <c r="D2938" t="inlineStr">
        <is>
          <t>KALMAR LÄN</t>
        </is>
      </c>
      <c r="E2938" t="inlineStr">
        <is>
          <t>HULTSFRED</t>
        </is>
      </c>
      <c r="F2938" t="inlineStr">
        <is>
          <t>Kyrkan</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59645-2019</t>
        </is>
      </c>
      <c r="B2939" s="1" t="n">
        <v>43776</v>
      </c>
      <c r="C2939" s="1" t="n">
        <v>45190</v>
      </c>
      <c r="D2939" t="inlineStr">
        <is>
          <t>KALMAR LÄN</t>
        </is>
      </c>
      <c r="E2939" t="inlineStr">
        <is>
          <t>HULTSFRED</t>
        </is>
      </c>
      <c r="F2939" t="inlineStr">
        <is>
          <t>Kyrkan</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59746-2019</t>
        </is>
      </c>
      <c r="B2940" s="1" t="n">
        <v>43776</v>
      </c>
      <c r="C2940" s="1" t="n">
        <v>45190</v>
      </c>
      <c r="D2940" t="inlineStr">
        <is>
          <t>KALMAR LÄN</t>
        </is>
      </c>
      <c r="E2940" t="inlineStr">
        <is>
          <t>KALMAR</t>
        </is>
      </c>
      <c r="G2940" t="n">
        <v>3.2</v>
      </c>
      <c r="H2940" t="n">
        <v>0</v>
      </c>
      <c r="I2940" t="n">
        <v>0</v>
      </c>
      <c r="J2940" t="n">
        <v>0</v>
      </c>
      <c r="K2940" t="n">
        <v>0</v>
      </c>
      <c r="L2940" t="n">
        <v>0</v>
      </c>
      <c r="M2940" t="n">
        <v>0</v>
      </c>
      <c r="N2940" t="n">
        <v>0</v>
      </c>
      <c r="O2940" t="n">
        <v>0</v>
      </c>
      <c r="P2940" t="n">
        <v>0</v>
      </c>
      <c r="Q2940" t="n">
        <v>0</v>
      </c>
      <c r="R2940" s="2" t="inlineStr"/>
    </row>
    <row r="2941" ht="15" customHeight="1">
      <c r="A2941" t="inlineStr">
        <is>
          <t>A 59557-2019</t>
        </is>
      </c>
      <c r="B2941" s="1" t="n">
        <v>43776</v>
      </c>
      <c r="C2941" s="1" t="n">
        <v>45190</v>
      </c>
      <c r="D2941" t="inlineStr">
        <is>
          <t>KALMAR LÄN</t>
        </is>
      </c>
      <c r="E2941" t="inlineStr">
        <is>
          <t>HÖGSBY</t>
        </is>
      </c>
      <c r="G2941" t="n">
        <v>6.8</v>
      </c>
      <c r="H2941" t="n">
        <v>0</v>
      </c>
      <c r="I2941" t="n">
        <v>0</v>
      </c>
      <c r="J2941" t="n">
        <v>0</v>
      </c>
      <c r="K2941" t="n">
        <v>0</v>
      </c>
      <c r="L2941" t="n">
        <v>0</v>
      </c>
      <c r="M2941" t="n">
        <v>0</v>
      </c>
      <c r="N2941" t="n">
        <v>0</v>
      </c>
      <c r="O2941" t="n">
        <v>0</v>
      </c>
      <c r="P2941" t="n">
        <v>0</v>
      </c>
      <c r="Q2941" t="n">
        <v>0</v>
      </c>
      <c r="R2941" s="2" t="inlineStr"/>
    </row>
    <row r="2942" ht="15" customHeight="1">
      <c r="A2942" t="inlineStr">
        <is>
          <t>A 59622-2019</t>
        </is>
      </c>
      <c r="B2942" s="1" t="n">
        <v>43776</v>
      </c>
      <c r="C2942" s="1" t="n">
        <v>45190</v>
      </c>
      <c r="D2942" t="inlineStr">
        <is>
          <t>KALMAR LÄN</t>
        </is>
      </c>
      <c r="E2942" t="inlineStr">
        <is>
          <t>HULTSFRED</t>
        </is>
      </c>
      <c r="F2942" t="inlineStr">
        <is>
          <t>Kyrkan</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59755-2019</t>
        </is>
      </c>
      <c r="B2943" s="1" t="n">
        <v>43776</v>
      </c>
      <c r="C2943" s="1" t="n">
        <v>45190</v>
      </c>
      <c r="D2943" t="inlineStr">
        <is>
          <t>KALMAR LÄN</t>
        </is>
      </c>
      <c r="E2943" t="inlineStr">
        <is>
          <t>TORSÅS</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59812-2019</t>
        </is>
      </c>
      <c r="B2944" s="1" t="n">
        <v>43776</v>
      </c>
      <c r="C2944" s="1" t="n">
        <v>45190</v>
      </c>
      <c r="D2944" t="inlineStr">
        <is>
          <t>KALMAR LÄN</t>
        </is>
      </c>
      <c r="E2944" t="inlineStr">
        <is>
          <t>HULTSFRED</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59795-2019</t>
        </is>
      </c>
      <c r="B2945" s="1" t="n">
        <v>43777</v>
      </c>
      <c r="C2945" s="1" t="n">
        <v>45190</v>
      </c>
      <c r="D2945" t="inlineStr">
        <is>
          <t>KALMAR LÄN</t>
        </is>
      </c>
      <c r="E2945" t="inlineStr">
        <is>
          <t>NYBRO</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59899-2019</t>
        </is>
      </c>
      <c r="B2946" s="1" t="n">
        <v>43777</v>
      </c>
      <c r="C2946" s="1" t="n">
        <v>45190</v>
      </c>
      <c r="D2946" t="inlineStr">
        <is>
          <t>KALMAR LÄN</t>
        </is>
      </c>
      <c r="E2946" t="inlineStr">
        <is>
          <t>KALMAR</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59917-2019</t>
        </is>
      </c>
      <c r="B2947" s="1" t="n">
        <v>43777</v>
      </c>
      <c r="C2947" s="1" t="n">
        <v>45190</v>
      </c>
      <c r="D2947" t="inlineStr">
        <is>
          <t>KALMAR LÄN</t>
        </is>
      </c>
      <c r="E2947" t="inlineStr">
        <is>
          <t>EMMABODA</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60101-2019</t>
        </is>
      </c>
      <c r="B2948" s="1" t="n">
        <v>43777</v>
      </c>
      <c r="C2948" s="1" t="n">
        <v>45190</v>
      </c>
      <c r="D2948" t="inlineStr">
        <is>
          <t>KALMAR LÄN</t>
        </is>
      </c>
      <c r="E2948" t="inlineStr">
        <is>
          <t>HULTSFRED</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59923-2019</t>
        </is>
      </c>
      <c r="B2949" s="1" t="n">
        <v>43777</v>
      </c>
      <c r="C2949" s="1" t="n">
        <v>45190</v>
      </c>
      <c r="D2949" t="inlineStr">
        <is>
          <t>KALMAR LÄN</t>
        </is>
      </c>
      <c r="E2949" t="inlineStr">
        <is>
          <t>EMMABODA</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59814-2019</t>
        </is>
      </c>
      <c r="B2950" s="1" t="n">
        <v>43777</v>
      </c>
      <c r="C2950" s="1" t="n">
        <v>45190</v>
      </c>
      <c r="D2950" t="inlineStr">
        <is>
          <t>KALMAR LÄN</t>
        </is>
      </c>
      <c r="E2950" t="inlineStr">
        <is>
          <t>KALMAR</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59892-2019</t>
        </is>
      </c>
      <c r="B2951" s="1" t="n">
        <v>43777</v>
      </c>
      <c r="C2951" s="1" t="n">
        <v>45190</v>
      </c>
      <c r="D2951" t="inlineStr">
        <is>
          <t>KALMAR LÄN</t>
        </is>
      </c>
      <c r="E2951" t="inlineStr">
        <is>
          <t>VÄSTERVIK</t>
        </is>
      </c>
      <c r="G2951" t="n">
        <v>9.199999999999999</v>
      </c>
      <c r="H2951" t="n">
        <v>0</v>
      </c>
      <c r="I2951" t="n">
        <v>0</v>
      </c>
      <c r="J2951" t="n">
        <v>0</v>
      </c>
      <c r="K2951" t="n">
        <v>0</v>
      </c>
      <c r="L2951" t="n">
        <v>0</v>
      </c>
      <c r="M2951" t="n">
        <v>0</v>
      </c>
      <c r="N2951" t="n">
        <v>0</v>
      </c>
      <c r="O2951" t="n">
        <v>0</v>
      </c>
      <c r="P2951" t="n">
        <v>0</v>
      </c>
      <c r="Q2951" t="n">
        <v>0</v>
      </c>
      <c r="R2951" s="2" t="inlineStr"/>
    </row>
    <row r="2952" ht="15" customHeight="1">
      <c r="A2952" t="inlineStr">
        <is>
          <t>A 59910-2019</t>
        </is>
      </c>
      <c r="B2952" s="1" t="n">
        <v>43777</v>
      </c>
      <c r="C2952" s="1" t="n">
        <v>45190</v>
      </c>
      <c r="D2952" t="inlineStr">
        <is>
          <t>KALMAR LÄN</t>
        </is>
      </c>
      <c r="E2952" t="inlineStr">
        <is>
          <t>KALMAR</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59794-2019</t>
        </is>
      </c>
      <c r="B2953" s="1" t="n">
        <v>43777</v>
      </c>
      <c r="C2953" s="1" t="n">
        <v>45190</v>
      </c>
      <c r="D2953" t="inlineStr">
        <is>
          <t>KALMAR LÄN</t>
        </is>
      </c>
      <c r="E2953" t="inlineStr">
        <is>
          <t>NYBRO</t>
        </is>
      </c>
      <c r="G2953" t="n">
        <v>4.9</v>
      </c>
      <c r="H2953" t="n">
        <v>0</v>
      </c>
      <c r="I2953" t="n">
        <v>0</v>
      </c>
      <c r="J2953" t="n">
        <v>0</v>
      </c>
      <c r="K2953" t="n">
        <v>0</v>
      </c>
      <c r="L2953" t="n">
        <v>0</v>
      </c>
      <c r="M2953" t="n">
        <v>0</v>
      </c>
      <c r="N2953" t="n">
        <v>0</v>
      </c>
      <c r="O2953" t="n">
        <v>0</v>
      </c>
      <c r="P2953" t="n">
        <v>0</v>
      </c>
      <c r="Q2953" t="n">
        <v>0</v>
      </c>
      <c r="R2953" s="2" t="inlineStr"/>
    </row>
    <row r="2954" ht="15" customHeight="1">
      <c r="A2954" t="inlineStr">
        <is>
          <t>A 59898-2019</t>
        </is>
      </c>
      <c r="B2954" s="1" t="n">
        <v>43777</v>
      </c>
      <c r="C2954" s="1" t="n">
        <v>45190</v>
      </c>
      <c r="D2954" t="inlineStr">
        <is>
          <t>KALMAR LÄN</t>
        </is>
      </c>
      <c r="E2954" t="inlineStr">
        <is>
          <t>VÄSTERVIK</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59928-2019</t>
        </is>
      </c>
      <c r="B2955" s="1" t="n">
        <v>43777</v>
      </c>
      <c r="C2955" s="1" t="n">
        <v>45190</v>
      </c>
      <c r="D2955" t="inlineStr">
        <is>
          <t>KALMAR LÄN</t>
        </is>
      </c>
      <c r="E2955" t="inlineStr">
        <is>
          <t>KALMAR</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60311-2019</t>
        </is>
      </c>
      <c r="B2956" s="1" t="n">
        <v>43780</v>
      </c>
      <c r="C2956" s="1" t="n">
        <v>45190</v>
      </c>
      <c r="D2956" t="inlineStr">
        <is>
          <t>KALMAR LÄN</t>
        </is>
      </c>
      <c r="E2956" t="inlineStr">
        <is>
          <t>NYBRO</t>
        </is>
      </c>
      <c r="F2956" t="inlineStr">
        <is>
          <t>Sveaskog</t>
        </is>
      </c>
      <c r="G2956" t="n">
        <v>1.6</v>
      </c>
      <c r="H2956" t="n">
        <v>0</v>
      </c>
      <c r="I2956" t="n">
        <v>0</v>
      </c>
      <c r="J2956" t="n">
        <v>0</v>
      </c>
      <c r="K2956" t="n">
        <v>0</v>
      </c>
      <c r="L2956" t="n">
        <v>0</v>
      </c>
      <c r="M2956" t="n">
        <v>0</v>
      </c>
      <c r="N2956" t="n">
        <v>0</v>
      </c>
      <c r="O2956" t="n">
        <v>0</v>
      </c>
      <c r="P2956" t="n">
        <v>0</v>
      </c>
      <c r="Q2956" t="n">
        <v>0</v>
      </c>
      <c r="R2956" s="2" t="inlineStr"/>
    </row>
    <row r="2957" ht="15" customHeight="1">
      <c r="A2957" t="inlineStr">
        <is>
          <t>A 60439-2019</t>
        </is>
      </c>
      <c r="B2957" s="1" t="n">
        <v>43780</v>
      </c>
      <c r="C2957" s="1" t="n">
        <v>45190</v>
      </c>
      <c r="D2957" t="inlineStr">
        <is>
          <t>KALMAR LÄN</t>
        </is>
      </c>
      <c r="E2957" t="inlineStr">
        <is>
          <t>NYBRO</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60459-2019</t>
        </is>
      </c>
      <c r="B2958" s="1" t="n">
        <v>43780</v>
      </c>
      <c r="C2958" s="1" t="n">
        <v>45190</v>
      </c>
      <c r="D2958" t="inlineStr">
        <is>
          <t>KALMAR LÄN</t>
        </is>
      </c>
      <c r="E2958" t="inlineStr">
        <is>
          <t>OSKARSHAMN</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60191-2019</t>
        </is>
      </c>
      <c r="B2959" s="1" t="n">
        <v>43780</v>
      </c>
      <c r="C2959" s="1" t="n">
        <v>45190</v>
      </c>
      <c r="D2959" t="inlineStr">
        <is>
          <t>KALMAR LÄN</t>
        </is>
      </c>
      <c r="E2959" t="inlineStr">
        <is>
          <t>KALMAR</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60253-2019</t>
        </is>
      </c>
      <c r="B2960" s="1" t="n">
        <v>43780</v>
      </c>
      <c r="C2960" s="1" t="n">
        <v>45190</v>
      </c>
      <c r="D2960" t="inlineStr">
        <is>
          <t>KALMAR LÄN</t>
        </is>
      </c>
      <c r="E2960" t="inlineStr">
        <is>
          <t>VIMMERBY</t>
        </is>
      </c>
      <c r="G2960" t="n">
        <v>4.4</v>
      </c>
      <c r="H2960" t="n">
        <v>0</v>
      </c>
      <c r="I2960" t="n">
        <v>0</v>
      </c>
      <c r="J2960" t="n">
        <v>0</v>
      </c>
      <c r="K2960" t="n">
        <v>0</v>
      </c>
      <c r="L2960" t="n">
        <v>0</v>
      </c>
      <c r="M2960" t="n">
        <v>0</v>
      </c>
      <c r="N2960" t="n">
        <v>0</v>
      </c>
      <c r="O2960" t="n">
        <v>0</v>
      </c>
      <c r="P2960" t="n">
        <v>0</v>
      </c>
      <c r="Q2960" t="n">
        <v>0</v>
      </c>
      <c r="R2960" s="2" t="inlineStr"/>
    </row>
    <row r="2961" ht="15" customHeight="1">
      <c r="A2961" t="inlineStr">
        <is>
          <t>A 60463-2019</t>
        </is>
      </c>
      <c r="B2961" s="1" t="n">
        <v>43780</v>
      </c>
      <c r="C2961" s="1" t="n">
        <v>45190</v>
      </c>
      <c r="D2961" t="inlineStr">
        <is>
          <t>KALMAR LÄN</t>
        </is>
      </c>
      <c r="E2961" t="inlineStr">
        <is>
          <t>OSKARSHAMN</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60184-2019</t>
        </is>
      </c>
      <c r="B2962" s="1" t="n">
        <v>43780</v>
      </c>
      <c r="C2962" s="1" t="n">
        <v>45190</v>
      </c>
      <c r="D2962" t="inlineStr">
        <is>
          <t>KALMAR LÄN</t>
        </is>
      </c>
      <c r="E2962" t="inlineStr">
        <is>
          <t>KALMAR</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60324-2019</t>
        </is>
      </c>
      <c r="B2963" s="1" t="n">
        <v>43780</v>
      </c>
      <c r="C2963" s="1" t="n">
        <v>45190</v>
      </c>
      <c r="D2963" t="inlineStr">
        <is>
          <t>KALMAR LÄN</t>
        </is>
      </c>
      <c r="E2963" t="inlineStr">
        <is>
          <t>HULTSFRED</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60932-2019</t>
        </is>
      </c>
      <c r="B2964" s="1" t="n">
        <v>43780</v>
      </c>
      <c r="C2964" s="1" t="n">
        <v>45190</v>
      </c>
      <c r="D2964" t="inlineStr">
        <is>
          <t>KALMAR LÄN</t>
        </is>
      </c>
      <c r="E2964" t="inlineStr">
        <is>
          <t>HULTSFRED</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60277-2019</t>
        </is>
      </c>
      <c r="B2965" s="1" t="n">
        <v>43780</v>
      </c>
      <c r="C2965" s="1" t="n">
        <v>45190</v>
      </c>
      <c r="D2965" t="inlineStr">
        <is>
          <t>KALMAR LÄN</t>
        </is>
      </c>
      <c r="E2965" t="inlineStr">
        <is>
          <t>HULTSFRED</t>
        </is>
      </c>
      <c r="G2965" t="n">
        <v>2.8</v>
      </c>
      <c r="H2965" t="n">
        <v>0</v>
      </c>
      <c r="I2965" t="n">
        <v>0</v>
      </c>
      <c r="J2965" t="n">
        <v>0</v>
      </c>
      <c r="K2965" t="n">
        <v>0</v>
      </c>
      <c r="L2965" t="n">
        <v>0</v>
      </c>
      <c r="M2965" t="n">
        <v>0</v>
      </c>
      <c r="N2965" t="n">
        <v>0</v>
      </c>
      <c r="O2965" t="n">
        <v>0</v>
      </c>
      <c r="P2965" t="n">
        <v>0</v>
      </c>
      <c r="Q2965" t="n">
        <v>0</v>
      </c>
      <c r="R2965" s="2" t="inlineStr"/>
    </row>
    <row r="2966" ht="15" customHeight="1">
      <c r="A2966" t="inlineStr">
        <is>
          <t>A 60454-2019</t>
        </is>
      </c>
      <c r="B2966" s="1" t="n">
        <v>43780</v>
      </c>
      <c r="C2966" s="1" t="n">
        <v>45190</v>
      </c>
      <c r="D2966" t="inlineStr">
        <is>
          <t>KALMAR LÄN</t>
        </is>
      </c>
      <c r="E2966" t="inlineStr">
        <is>
          <t>OSKARSHAMN</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60640-2019</t>
        </is>
      </c>
      <c r="B2967" s="1" t="n">
        <v>43781</v>
      </c>
      <c r="C2967" s="1" t="n">
        <v>45190</v>
      </c>
      <c r="D2967" t="inlineStr">
        <is>
          <t>KALMAR LÄN</t>
        </is>
      </c>
      <c r="E2967" t="inlineStr">
        <is>
          <t>TORSÅS</t>
        </is>
      </c>
      <c r="G2967" t="n">
        <v>9.6</v>
      </c>
      <c r="H2967" t="n">
        <v>0</v>
      </c>
      <c r="I2967" t="n">
        <v>0</v>
      </c>
      <c r="J2967" t="n">
        <v>0</v>
      </c>
      <c r="K2967" t="n">
        <v>0</v>
      </c>
      <c r="L2967" t="n">
        <v>0</v>
      </c>
      <c r="M2967" t="n">
        <v>0</v>
      </c>
      <c r="N2967" t="n">
        <v>0</v>
      </c>
      <c r="O2967" t="n">
        <v>0</v>
      </c>
      <c r="P2967" t="n">
        <v>0</v>
      </c>
      <c r="Q2967" t="n">
        <v>0</v>
      </c>
      <c r="R2967" s="2" t="inlineStr"/>
    </row>
    <row r="2968" ht="15" customHeight="1">
      <c r="A2968" t="inlineStr">
        <is>
          <t>A 60642-2019</t>
        </is>
      </c>
      <c r="B2968" s="1" t="n">
        <v>43781</v>
      </c>
      <c r="C2968" s="1" t="n">
        <v>45190</v>
      </c>
      <c r="D2968" t="inlineStr">
        <is>
          <t>KALMAR LÄN</t>
        </is>
      </c>
      <c r="E2968" t="inlineStr">
        <is>
          <t>TORSÅS</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60673-2019</t>
        </is>
      </c>
      <c r="B2969" s="1" t="n">
        <v>43781</v>
      </c>
      <c r="C2969" s="1" t="n">
        <v>45190</v>
      </c>
      <c r="D2969" t="inlineStr">
        <is>
          <t>KALMAR LÄN</t>
        </is>
      </c>
      <c r="E2969" t="inlineStr">
        <is>
          <t>VIMMERBY</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60707-2019</t>
        </is>
      </c>
      <c r="B2970" s="1" t="n">
        <v>43781</v>
      </c>
      <c r="C2970" s="1" t="n">
        <v>45190</v>
      </c>
      <c r="D2970" t="inlineStr">
        <is>
          <t>KALMAR LÄN</t>
        </is>
      </c>
      <c r="E2970" t="inlineStr">
        <is>
          <t>VÄSTERVIK</t>
        </is>
      </c>
      <c r="F2970" t="inlineStr">
        <is>
          <t>Sveaskog</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60794-2019</t>
        </is>
      </c>
      <c r="B2971" s="1" t="n">
        <v>43781</v>
      </c>
      <c r="C2971" s="1" t="n">
        <v>45190</v>
      </c>
      <c r="D2971" t="inlineStr">
        <is>
          <t>KALMAR LÄN</t>
        </is>
      </c>
      <c r="E2971" t="inlineStr">
        <is>
          <t>NYBRO</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60802-2019</t>
        </is>
      </c>
      <c r="B2972" s="1" t="n">
        <v>43781</v>
      </c>
      <c r="C2972" s="1" t="n">
        <v>45190</v>
      </c>
      <c r="D2972" t="inlineStr">
        <is>
          <t>KALMAR LÄN</t>
        </is>
      </c>
      <c r="E2972" t="inlineStr">
        <is>
          <t>VIMMERBY</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61190-2019</t>
        </is>
      </c>
      <c r="B2973" s="1" t="n">
        <v>43782</v>
      </c>
      <c r="C2973" s="1" t="n">
        <v>45190</v>
      </c>
      <c r="D2973" t="inlineStr">
        <is>
          <t>KALMAR LÄN</t>
        </is>
      </c>
      <c r="E2973" t="inlineStr">
        <is>
          <t>TORSÅS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61049-2019</t>
        </is>
      </c>
      <c r="B2974" s="1" t="n">
        <v>43782</v>
      </c>
      <c r="C2974" s="1" t="n">
        <v>45190</v>
      </c>
      <c r="D2974" t="inlineStr">
        <is>
          <t>KALMAR LÄN</t>
        </is>
      </c>
      <c r="E2974" t="inlineStr">
        <is>
          <t>VIMMERBY</t>
        </is>
      </c>
      <c r="G2974" t="n">
        <v>4.1</v>
      </c>
      <c r="H2974" t="n">
        <v>0</v>
      </c>
      <c r="I2974" t="n">
        <v>0</v>
      </c>
      <c r="J2974" t="n">
        <v>0</v>
      </c>
      <c r="K2974" t="n">
        <v>0</v>
      </c>
      <c r="L2974" t="n">
        <v>0</v>
      </c>
      <c r="M2974" t="n">
        <v>0</v>
      </c>
      <c r="N2974" t="n">
        <v>0</v>
      </c>
      <c r="O2974" t="n">
        <v>0</v>
      </c>
      <c r="P2974" t="n">
        <v>0</v>
      </c>
      <c r="Q2974" t="n">
        <v>0</v>
      </c>
      <c r="R2974" s="2" t="inlineStr"/>
    </row>
    <row r="2975" ht="15" customHeight="1">
      <c r="A2975" t="inlineStr">
        <is>
          <t>A 61061-2019</t>
        </is>
      </c>
      <c r="B2975" s="1" t="n">
        <v>43782</v>
      </c>
      <c r="C2975" s="1" t="n">
        <v>45190</v>
      </c>
      <c r="D2975" t="inlineStr">
        <is>
          <t>KALMAR LÄN</t>
        </is>
      </c>
      <c r="E2975" t="inlineStr">
        <is>
          <t>NYBRO</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62074-2019</t>
        </is>
      </c>
      <c r="B2976" s="1" t="n">
        <v>43782</v>
      </c>
      <c r="C2976" s="1" t="n">
        <v>45190</v>
      </c>
      <c r="D2976" t="inlineStr">
        <is>
          <t>KALMAR LÄN</t>
        </is>
      </c>
      <c r="E2976" t="inlineStr">
        <is>
          <t>NYBRO</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60969-2019</t>
        </is>
      </c>
      <c r="B2977" s="1" t="n">
        <v>43782</v>
      </c>
      <c r="C2977" s="1" t="n">
        <v>45190</v>
      </c>
      <c r="D2977" t="inlineStr">
        <is>
          <t>KALMAR LÄN</t>
        </is>
      </c>
      <c r="E2977" t="inlineStr">
        <is>
          <t>KALMAR</t>
        </is>
      </c>
      <c r="G2977" t="n">
        <v>2</v>
      </c>
      <c r="H2977" t="n">
        <v>0</v>
      </c>
      <c r="I2977" t="n">
        <v>0</v>
      </c>
      <c r="J2977" t="n">
        <v>0</v>
      </c>
      <c r="K2977" t="n">
        <v>0</v>
      </c>
      <c r="L2977" t="n">
        <v>0</v>
      </c>
      <c r="M2977" t="n">
        <v>0</v>
      </c>
      <c r="N2977" t="n">
        <v>0</v>
      </c>
      <c r="O2977" t="n">
        <v>0</v>
      </c>
      <c r="P2977" t="n">
        <v>0</v>
      </c>
      <c r="Q2977" t="n">
        <v>0</v>
      </c>
      <c r="R2977" s="2" t="inlineStr"/>
    </row>
    <row r="2978" ht="15" customHeight="1">
      <c r="A2978" t="inlineStr">
        <is>
          <t>A 61055-2019</t>
        </is>
      </c>
      <c r="B2978" s="1" t="n">
        <v>43782</v>
      </c>
      <c r="C2978" s="1" t="n">
        <v>45190</v>
      </c>
      <c r="D2978" t="inlineStr">
        <is>
          <t>KALMAR LÄN</t>
        </is>
      </c>
      <c r="E2978" t="inlineStr">
        <is>
          <t>VÄSTERVIK</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61164-2019</t>
        </is>
      </c>
      <c r="B2979" s="1" t="n">
        <v>43782</v>
      </c>
      <c r="C2979" s="1" t="n">
        <v>45190</v>
      </c>
      <c r="D2979" t="inlineStr">
        <is>
          <t>KALMAR LÄN</t>
        </is>
      </c>
      <c r="E2979" t="inlineStr">
        <is>
          <t>HULTSFRED</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61254-2019</t>
        </is>
      </c>
      <c r="B2980" s="1" t="n">
        <v>43783</v>
      </c>
      <c r="C2980" s="1" t="n">
        <v>45190</v>
      </c>
      <c r="D2980" t="inlineStr">
        <is>
          <t>KALMAR LÄN</t>
        </is>
      </c>
      <c r="E2980" t="inlineStr">
        <is>
          <t>OSKARSHAMN</t>
        </is>
      </c>
      <c r="F2980" t="inlineStr">
        <is>
          <t>Sveaskog</t>
        </is>
      </c>
      <c r="G2980" t="n">
        <v>0.2</v>
      </c>
      <c r="H2980" t="n">
        <v>0</v>
      </c>
      <c r="I2980" t="n">
        <v>0</v>
      </c>
      <c r="J2980" t="n">
        <v>0</v>
      </c>
      <c r="K2980" t="n">
        <v>0</v>
      </c>
      <c r="L2980" t="n">
        <v>0</v>
      </c>
      <c r="M2980" t="n">
        <v>0</v>
      </c>
      <c r="N2980" t="n">
        <v>0</v>
      </c>
      <c r="O2980" t="n">
        <v>0</v>
      </c>
      <c r="P2980" t="n">
        <v>0</v>
      </c>
      <c r="Q2980" t="n">
        <v>0</v>
      </c>
      <c r="R2980" s="2" t="inlineStr"/>
    </row>
    <row r="2981" ht="15" customHeight="1">
      <c r="A2981" t="inlineStr">
        <is>
          <t>A 61329-2019</t>
        </is>
      </c>
      <c r="B2981" s="1" t="n">
        <v>43783</v>
      </c>
      <c r="C2981" s="1" t="n">
        <v>45190</v>
      </c>
      <c r="D2981" t="inlineStr">
        <is>
          <t>KALMAR LÄN</t>
        </is>
      </c>
      <c r="E2981" t="inlineStr">
        <is>
          <t>HULTSFRED</t>
        </is>
      </c>
      <c r="F2981" t="inlineStr">
        <is>
          <t>Kyrkan</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61327-2019</t>
        </is>
      </c>
      <c r="B2982" s="1" t="n">
        <v>43783</v>
      </c>
      <c r="C2982" s="1" t="n">
        <v>45190</v>
      </c>
      <c r="D2982" t="inlineStr">
        <is>
          <t>KALMAR LÄN</t>
        </is>
      </c>
      <c r="E2982" t="inlineStr">
        <is>
          <t>HULTSFRED</t>
        </is>
      </c>
      <c r="F2982" t="inlineStr">
        <is>
          <t>Kyrkan</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61298-2019</t>
        </is>
      </c>
      <c r="B2983" s="1" t="n">
        <v>43783</v>
      </c>
      <c r="C2983" s="1" t="n">
        <v>45190</v>
      </c>
      <c r="D2983" t="inlineStr">
        <is>
          <t>KALMAR LÄN</t>
        </is>
      </c>
      <c r="E2983" t="inlineStr">
        <is>
          <t>HULTSFRED</t>
        </is>
      </c>
      <c r="F2983" t="inlineStr">
        <is>
          <t>Kyrkan</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61248-2019</t>
        </is>
      </c>
      <c r="B2984" s="1" t="n">
        <v>43783</v>
      </c>
      <c r="C2984" s="1" t="n">
        <v>45190</v>
      </c>
      <c r="D2984" t="inlineStr">
        <is>
          <t>KALMAR LÄN</t>
        </is>
      </c>
      <c r="E2984" t="inlineStr">
        <is>
          <t>OSKARSHAMN</t>
        </is>
      </c>
      <c r="F2984" t="inlineStr">
        <is>
          <t>Sveaskog</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61619-2019</t>
        </is>
      </c>
      <c r="B2985" s="1" t="n">
        <v>43784</v>
      </c>
      <c r="C2985" s="1" t="n">
        <v>45190</v>
      </c>
      <c r="D2985" t="inlineStr">
        <is>
          <t>KALMAR LÄN</t>
        </is>
      </c>
      <c r="E2985" t="inlineStr">
        <is>
          <t>HÖGSBY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61556-2019</t>
        </is>
      </c>
      <c r="B2986" s="1" t="n">
        <v>43784</v>
      </c>
      <c r="C2986" s="1" t="n">
        <v>45190</v>
      </c>
      <c r="D2986" t="inlineStr">
        <is>
          <t>KALMAR LÄN</t>
        </is>
      </c>
      <c r="E2986" t="inlineStr">
        <is>
          <t>KALMAR</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61623-2019</t>
        </is>
      </c>
      <c r="B2987" s="1" t="n">
        <v>43784</v>
      </c>
      <c r="C2987" s="1" t="n">
        <v>45190</v>
      </c>
      <c r="D2987" t="inlineStr">
        <is>
          <t>KALMAR LÄN</t>
        </is>
      </c>
      <c r="E2987" t="inlineStr">
        <is>
          <t>HÖGSBY</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61704-2019</t>
        </is>
      </c>
      <c r="B2988" s="1" t="n">
        <v>43784</v>
      </c>
      <c r="C2988" s="1" t="n">
        <v>45190</v>
      </c>
      <c r="D2988" t="inlineStr">
        <is>
          <t>KALMAR LÄN</t>
        </is>
      </c>
      <c r="E2988" t="inlineStr">
        <is>
          <t>NYBRO</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61715-2019</t>
        </is>
      </c>
      <c r="B2989" s="1" t="n">
        <v>43784</v>
      </c>
      <c r="C2989" s="1" t="n">
        <v>45190</v>
      </c>
      <c r="D2989" t="inlineStr">
        <is>
          <t>KALMAR LÄN</t>
        </is>
      </c>
      <c r="E2989" t="inlineStr">
        <is>
          <t>NYBRO</t>
        </is>
      </c>
      <c r="G2989" t="n">
        <v>0.4</v>
      </c>
      <c r="H2989" t="n">
        <v>0</v>
      </c>
      <c r="I2989" t="n">
        <v>0</v>
      </c>
      <c r="J2989" t="n">
        <v>0</v>
      </c>
      <c r="K2989" t="n">
        <v>0</v>
      </c>
      <c r="L2989" t="n">
        <v>0</v>
      </c>
      <c r="M2989" t="n">
        <v>0</v>
      </c>
      <c r="N2989" t="n">
        <v>0</v>
      </c>
      <c r="O2989" t="n">
        <v>0</v>
      </c>
      <c r="P2989" t="n">
        <v>0</v>
      </c>
      <c r="Q2989" t="n">
        <v>0</v>
      </c>
      <c r="R2989" s="2" t="inlineStr"/>
    </row>
    <row r="2990" ht="15" customHeight="1">
      <c r="A2990" t="inlineStr">
        <is>
          <t>A 61768-2019</t>
        </is>
      </c>
      <c r="B2990" s="1" t="n">
        <v>43784</v>
      </c>
      <c r="C2990" s="1" t="n">
        <v>45190</v>
      </c>
      <c r="D2990" t="inlineStr">
        <is>
          <t>KALMAR LÄN</t>
        </is>
      </c>
      <c r="E2990" t="inlineStr">
        <is>
          <t>NYBRO</t>
        </is>
      </c>
      <c r="G2990" t="n">
        <v>2.7</v>
      </c>
      <c r="H2990" t="n">
        <v>0</v>
      </c>
      <c r="I2990" t="n">
        <v>0</v>
      </c>
      <c r="J2990" t="n">
        <v>0</v>
      </c>
      <c r="K2990" t="n">
        <v>0</v>
      </c>
      <c r="L2990" t="n">
        <v>0</v>
      </c>
      <c r="M2990" t="n">
        <v>0</v>
      </c>
      <c r="N2990" t="n">
        <v>0</v>
      </c>
      <c r="O2990" t="n">
        <v>0</v>
      </c>
      <c r="P2990" t="n">
        <v>0</v>
      </c>
      <c r="Q2990" t="n">
        <v>0</v>
      </c>
      <c r="R2990" s="2" t="inlineStr"/>
    </row>
    <row r="2991" ht="15" customHeight="1">
      <c r="A2991" t="inlineStr">
        <is>
          <t>A 61674-2019</t>
        </is>
      </c>
      <c r="B2991" s="1" t="n">
        <v>43784</v>
      </c>
      <c r="C2991" s="1" t="n">
        <v>45190</v>
      </c>
      <c r="D2991" t="inlineStr">
        <is>
          <t>KALMAR LÄN</t>
        </is>
      </c>
      <c r="E2991" t="inlineStr">
        <is>
          <t>EMMABODA</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61708-2019</t>
        </is>
      </c>
      <c r="B2992" s="1" t="n">
        <v>43784</v>
      </c>
      <c r="C2992" s="1" t="n">
        <v>45190</v>
      </c>
      <c r="D2992" t="inlineStr">
        <is>
          <t>KALMAR LÄN</t>
        </is>
      </c>
      <c r="E2992" t="inlineStr">
        <is>
          <t>VÄSTERVIK</t>
        </is>
      </c>
      <c r="F2992" t="inlineStr">
        <is>
          <t>Holmen skog AB</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61738-2019</t>
        </is>
      </c>
      <c r="B2993" s="1" t="n">
        <v>43784</v>
      </c>
      <c r="C2993" s="1" t="n">
        <v>45190</v>
      </c>
      <c r="D2993" t="inlineStr">
        <is>
          <t>KALMAR LÄN</t>
        </is>
      </c>
      <c r="E2993" t="inlineStr">
        <is>
          <t>KALMAR</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61557-2019</t>
        </is>
      </c>
      <c r="B2994" s="1" t="n">
        <v>43784</v>
      </c>
      <c r="C2994" s="1" t="n">
        <v>45190</v>
      </c>
      <c r="D2994" t="inlineStr">
        <is>
          <t>KALMAR LÄN</t>
        </is>
      </c>
      <c r="E2994" t="inlineStr">
        <is>
          <t>KALMAR</t>
        </is>
      </c>
      <c r="G2994" t="n">
        <v>3.5</v>
      </c>
      <c r="H2994" t="n">
        <v>0</v>
      </c>
      <c r="I2994" t="n">
        <v>0</v>
      </c>
      <c r="J2994" t="n">
        <v>0</v>
      </c>
      <c r="K2994" t="n">
        <v>0</v>
      </c>
      <c r="L2994" t="n">
        <v>0</v>
      </c>
      <c r="M2994" t="n">
        <v>0</v>
      </c>
      <c r="N2994" t="n">
        <v>0</v>
      </c>
      <c r="O2994" t="n">
        <v>0</v>
      </c>
      <c r="P2994" t="n">
        <v>0</v>
      </c>
      <c r="Q2994" t="n">
        <v>0</v>
      </c>
      <c r="R2994" s="2" t="inlineStr"/>
    </row>
    <row r="2995" ht="15" customHeight="1">
      <c r="A2995" t="inlineStr">
        <is>
          <t>A 61607-2019</t>
        </is>
      </c>
      <c r="B2995" s="1" t="n">
        <v>43784</v>
      </c>
      <c r="C2995" s="1" t="n">
        <v>45190</v>
      </c>
      <c r="D2995" t="inlineStr">
        <is>
          <t>KALMAR LÄN</t>
        </is>
      </c>
      <c r="E2995" t="inlineStr">
        <is>
          <t>HÖGSBY</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62565-2019</t>
        </is>
      </c>
      <c r="B2996" s="1" t="n">
        <v>43784</v>
      </c>
      <c r="C2996" s="1" t="n">
        <v>45190</v>
      </c>
      <c r="D2996" t="inlineStr">
        <is>
          <t>KALMAR LÄN</t>
        </is>
      </c>
      <c r="E2996" t="inlineStr">
        <is>
          <t>KALMAR</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61902-2019</t>
        </is>
      </c>
      <c r="B2997" s="1" t="n">
        <v>43787</v>
      </c>
      <c r="C2997" s="1" t="n">
        <v>45190</v>
      </c>
      <c r="D2997" t="inlineStr">
        <is>
          <t>KALMAR LÄN</t>
        </is>
      </c>
      <c r="E2997" t="inlineStr">
        <is>
          <t>HÖGSBY</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62093-2019</t>
        </is>
      </c>
      <c r="B2998" s="1" t="n">
        <v>43787</v>
      </c>
      <c r="C2998" s="1" t="n">
        <v>45190</v>
      </c>
      <c r="D2998" t="inlineStr">
        <is>
          <t>KALMAR LÄN</t>
        </is>
      </c>
      <c r="E2998" t="inlineStr">
        <is>
          <t>VÄSTERVIK</t>
        </is>
      </c>
      <c r="F2998" t="inlineStr">
        <is>
          <t>Holmen skog AB</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61993-2019</t>
        </is>
      </c>
      <c r="B2999" s="1" t="n">
        <v>43787</v>
      </c>
      <c r="C2999" s="1" t="n">
        <v>45190</v>
      </c>
      <c r="D2999" t="inlineStr">
        <is>
          <t>KALMAR LÄN</t>
        </is>
      </c>
      <c r="E2999" t="inlineStr">
        <is>
          <t>OSKARSHAMN</t>
        </is>
      </c>
      <c r="G2999" t="n">
        <v>0.4</v>
      </c>
      <c r="H2999" t="n">
        <v>0</v>
      </c>
      <c r="I2999" t="n">
        <v>0</v>
      </c>
      <c r="J2999" t="n">
        <v>0</v>
      </c>
      <c r="K2999" t="n">
        <v>0</v>
      </c>
      <c r="L2999" t="n">
        <v>0</v>
      </c>
      <c r="M2999" t="n">
        <v>0</v>
      </c>
      <c r="N2999" t="n">
        <v>0</v>
      </c>
      <c r="O2999" t="n">
        <v>0</v>
      </c>
      <c r="P2999" t="n">
        <v>0</v>
      </c>
      <c r="Q2999" t="n">
        <v>0</v>
      </c>
      <c r="R2999" s="2" t="inlineStr"/>
    </row>
    <row r="3000" ht="15" customHeight="1">
      <c r="A3000" t="inlineStr">
        <is>
          <t>A 62046-2019</t>
        </is>
      </c>
      <c r="B3000" s="1" t="n">
        <v>43787</v>
      </c>
      <c r="C3000" s="1" t="n">
        <v>45190</v>
      </c>
      <c r="D3000" t="inlineStr">
        <is>
          <t>KALMAR LÄN</t>
        </is>
      </c>
      <c r="E3000" t="inlineStr">
        <is>
          <t>VÄSTERVIK</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61901-2019</t>
        </is>
      </c>
      <c r="B3001" s="1" t="n">
        <v>43787</v>
      </c>
      <c r="C3001" s="1" t="n">
        <v>45190</v>
      </c>
      <c r="D3001" t="inlineStr">
        <is>
          <t>KALMAR LÄN</t>
        </is>
      </c>
      <c r="E3001" t="inlineStr">
        <is>
          <t>OSKARSHAMN</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62090-2019</t>
        </is>
      </c>
      <c r="B3002" s="1" t="n">
        <v>43787</v>
      </c>
      <c r="C3002" s="1" t="n">
        <v>45190</v>
      </c>
      <c r="D3002" t="inlineStr">
        <is>
          <t>KALMAR LÄN</t>
        </is>
      </c>
      <c r="E3002" t="inlineStr">
        <is>
          <t>OSKARSHAMN</t>
        </is>
      </c>
      <c r="G3002" t="n">
        <v>7.2</v>
      </c>
      <c r="H3002" t="n">
        <v>0</v>
      </c>
      <c r="I3002" t="n">
        <v>0</v>
      </c>
      <c r="J3002" t="n">
        <v>0</v>
      </c>
      <c r="K3002" t="n">
        <v>0</v>
      </c>
      <c r="L3002" t="n">
        <v>0</v>
      </c>
      <c r="M3002" t="n">
        <v>0</v>
      </c>
      <c r="N3002" t="n">
        <v>0</v>
      </c>
      <c r="O3002" t="n">
        <v>0</v>
      </c>
      <c r="P3002" t="n">
        <v>0</v>
      </c>
      <c r="Q3002" t="n">
        <v>0</v>
      </c>
      <c r="R3002" s="2" t="inlineStr"/>
    </row>
    <row r="3003" ht="15" customHeight="1">
      <c r="A3003" t="inlineStr">
        <is>
          <t>A 63362-2019</t>
        </is>
      </c>
      <c r="B3003" s="1" t="n">
        <v>43787</v>
      </c>
      <c r="C3003" s="1" t="n">
        <v>45190</v>
      </c>
      <c r="D3003" t="inlineStr">
        <is>
          <t>KALMAR LÄN</t>
        </is>
      </c>
      <c r="E3003" t="inlineStr">
        <is>
          <t>VIMMERBY</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62473-2019</t>
        </is>
      </c>
      <c r="B3004" s="1" t="n">
        <v>43788</v>
      </c>
      <c r="C3004" s="1" t="n">
        <v>45190</v>
      </c>
      <c r="D3004" t="inlineStr">
        <is>
          <t>KALMAR LÄN</t>
        </is>
      </c>
      <c r="E3004" t="inlineStr">
        <is>
          <t>VÄSTERVIK</t>
        </is>
      </c>
      <c r="F3004" t="inlineStr">
        <is>
          <t>Holmen skog AB</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62521-2019</t>
        </is>
      </c>
      <c r="B3005" s="1" t="n">
        <v>43789</v>
      </c>
      <c r="C3005" s="1" t="n">
        <v>45190</v>
      </c>
      <c r="D3005" t="inlineStr">
        <is>
          <t>KALMAR LÄN</t>
        </is>
      </c>
      <c r="E3005" t="inlineStr">
        <is>
          <t>TORSÅS</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62625-2019</t>
        </is>
      </c>
      <c r="B3006" s="1" t="n">
        <v>43789</v>
      </c>
      <c r="C3006" s="1" t="n">
        <v>45190</v>
      </c>
      <c r="D3006" t="inlineStr">
        <is>
          <t>KALMAR LÄN</t>
        </is>
      </c>
      <c r="E3006" t="inlineStr">
        <is>
          <t>VIMMERBY</t>
        </is>
      </c>
      <c r="F3006" t="inlineStr">
        <is>
          <t>Övriga Aktiebolag</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62660-2019</t>
        </is>
      </c>
      <c r="B3007" s="1" t="n">
        <v>43789</v>
      </c>
      <c r="C3007" s="1" t="n">
        <v>45190</v>
      </c>
      <c r="D3007" t="inlineStr">
        <is>
          <t>KALMAR LÄN</t>
        </is>
      </c>
      <c r="E3007" t="inlineStr">
        <is>
          <t>VÄSTERVIK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62520-2019</t>
        </is>
      </c>
      <c r="B3008" s="1" t="n">
        <v>43789</v>
      </c>
      <c r="C3008" s="1" t="n">
        <v>45190</v>
      </c>
      <c r="D3008" t="inlineStr">
        <is>
          <t>KALMAR LÄN</t>
        </is>
      </c>
      <c r="E3008" t="inlineStr">
        <is>
          <t>TORSÅS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62733-2019</t>
        </is>
      </c>
      <c r="B3009" s="1" t="n">
        <v>43790</v>
      </c>
      <c r="C3009" s="1" t="n">
        <v>45190</v>
      </c>
      <c r="D3009" t="inlineStr">
        <is>
          <t>KALMAR LÄN</t>
        </is>
      </c>
      <c r="E3009" t="inlineStr">
        <is>
          <t>EMMABODA</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62734-2019</t>
        </is>
      </c>
      <c r="B3010" s="1" t="n">
        <v>43790</v>
      </c>
      <c r="C3010" s="1" t="n">
        <v>45190</v>
      </c>
      <c r="D3010" t="inlineStr">
        <is>
          <t>KALMAR LÄN</t>
        </is>
      </c>
      <c r="E3010" t="inlineStr">
        <is>
          <t>EMMABODA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62831-2019</t>
        </is>
      </c>
      <c r="B3011" s="1" t="n">
        <v>43790</v>
      </c>
      <c r="C3011" s="1" t="n">
        <v>45190</v>
      </c>
      <c r="D3011" t="inlineStr">
        <is>
          <t>KALMAR LÄN</t>
        </is>
      </c>
      <c r="E3011" t="inlineStr">
        <is>
          <t>NYBRO</t>
        </is>
      </c>
      <c r="G3011" t="n">
        <v>7</v>
      </c>
      <c r="H3011" t="n">
        <v>0</v>
      </c>
      <c r="I3011" t="n">
        <v>0</v>
      </c>
      <c r="J3011" t="n">
        <v>0</v>
      </c>
      <c r="K3011" t="n">
        <v>0</v>
      </c>
      <c r="L3011" t="n">
        <v>0</v>
      </c>
      <c r="M3011" t="n">
        <v>0</v>
      </c>
      <c r="N3011" t="n">
        <v>0</v>
      </c>
      <c r="O3011" t="n">
        <v>0</v>
      </c>
      <c r="P3011" t="n">
        <v>0</v>
      </c>
      <c r="Q3011" t="n">
        <v>0</v>
      </c>
      <c r="R3011" s="2" t="inlineStr"/>
    </row>
    <row r="3012" ht="15" customHeight="1">
      <c r="A3012" t="inlineStr">
        <is>
          <t>A 63086-2019</t>
        </is>
      </c>
      <c r="B3012" s="1" t="n">
        <v>43790</v>
      </c>
      <c r="C3012" s="1" t="n">
        <v>45190</v>
      </c>
      <c r="D3012" t="inlineStr">
        <is>
          <t>KALMAR LÄN</t>
        </is>
      </c>
      <c r="E3012" t="inlineStr">
        <is>
          <t>HÖGSBY</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62835-2019</t>
        </is>
      </c>
      <c r="B3013" s="1" t="n">
        <v>43790</v>
      </c>
      <c r="C3013" s="1" t="n">
        <v>45190</v>
      </c>
      <c r="D3013" t="inlineStr">
        <is>
          <t>KALMAR LÄN</t>
        </is>
      </c>
      <c r="E3013" t="inlineStr">
        <is>
          <t>EMMABODA</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62968-2019</t>
        </is>
      </c>
      <c r="B3014" s="1" t="n">
        <v>43790</v>
      </c>
      <c r="C3014" s="1" t="n">
        <v>45190</v>
      </c>
      <c r="D3014" t="inlineStr">
        <is>
          <t>KALMAR LÄN</t>
        </is>
      </c>
      <c r="E3014" t="inlineStr">
        <is>
          <t>TORSÅS</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63090-2019</t>
        </is>
      </c>
      <c r="B3015" s="1" t="n">
        <v>43791</v>
      </c>
      <c r="C3015" s="1" t="n">
        <v>45190</v>
      </c>
      <c r="D3015" t="inlineStr">
        <is>
          <t>KALMAR LÄN</t>
        </is>
      </c>
      <c r="E3015" t="inlineStr">
        <is>
          <t>VÄSTERVIK</t>
        </is>
      </c>
      <c r="F3015" t="inlineStr">
        <is>
          <t>Övriga Aktiebolag</t>
        </is>
      </c>
      <c r="G3015" t="n">
        <v>5.8</v>
      </c>
      <c r="H3015" t="n">
        <v>0</v>
      </c>
      <c r="I3015" t="n">
        <v>0</v>
      </c>
      <c r="J3015" t="n">
        <v>0</v>
      </c>
      <c r="K3015" t="n">
        <v>0</v>
      </c>
      <c r="L3015" t="n">
        <v>0</v>
      </c>
      <c r="M3015" t="n">
        <v>0</v>
      </c>
      <c r="N3015" t="n">
        <v>0</v>
      </c>
      <c r="O3015" t="n">
        <v>0</v>
      </c>
      <c r="P3015" t="n">
        <v>0</v>
      </c>
      <c r="Q3015" t="n">
        <v>0</v>
      </c>
      <c r="R3015" s="2" t="inlineStr"/>
    </row>
    <row r="3016" ht="15" customHeight="1">
      <c r="A3016" t="inlineStr">
        <is>
          <t>A 63125-2019</t>
        </is>
      </c>
      <c r="B3016" s="1" t="n">
        <v>43791</v>
      </c>
      <c r="C3016" s="1" t="n">
        <v>45190</v>
      </c>
      <c r="D3016" t="inlineStr">
        <is>
          <t>KALMAR LÄN</t>
        </is>
      </c>
      <c r="E3016" t="inlineStr">
        <is>
          <t>KALMAR</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63029-2019</t>
        </is>
      </c>
      <c r="B3017" s="1" t="n">
        <v>43791</v>
      </c>
      <c r="C3017" s="1" t="n">
        <v>45190</v>
      </c>
      <c r="D3017" t="inlineStr">
        <is>
          <t>KALMAR LÄN</t>
        </is>
      </c>
      <c r="E3017" t="inlineStr">
        <is>
          <t>VIMMERBY</t>
        </is>
      </c>
      <c r="F3017" t="inlineStr">
        <is>
          <t>Kyrkan</t>
        </is>
      </c>
      <c r="G3017" t="n">
        <v>3.1</v>
      </c>
      <c r="H3017" t="n">
        <v>0</v>
      </c>
      <c r="I3017" t="n">
        <v>0</v>
      </c>
      <c r="J3017" t="n">
        <v>0</v>
      </c>
      <c r="K3017" t="n">
        <v>0</v>
      </c>
      <c r="L3017" t="n">
        <v>0</v>
      </c>
      <c r="M3017" t="n">
        <v>0</v>
      </c>
      <c r="N3017" t="n">
        <v>0</v>
      </c>
      <c r="O3017" t="n">
        <v>0</v>
      </c>
      <c r="P3017" t="n">
        <v>0</v>
      </c>
      <c r="Q3017" t="n">
        <v>0</v>
      </c>
      <c r="R3017" s="2" t="inlineStr"/>
    </row>
    <row r="3018" ht="15" customHeight="1">
      <c r="A3018" t="inlineStr">
        <is>
          <t>A 64331-2019</t>
        </is>
      </c>
      <c r="B3018" s="1" t="n">
        <v>43791</v>
      </c>
      <c r="C3018" s="1" t="n">
        <v>45190</v>
      </c>
      <c r="D3018" t="inlineStr">
        <is>
          <t>KALMAR LÄN</t>
        </is>
      </c>
      <c r="E3018" t="inlineStr">
        <is>
          <t>NYBRO</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63304-2019</t>
        </is>
      </c>
      <c r="B3019" s="1" t="n">
        <v>43794</v>
      </c>
      <c r="C3019" s="1" t="n">
        <v>45190</v>
      </c>
      <c r="D3019" t="inlineStr">
        <is>
          <t>KALMAR LÄN</t>
        </is>
      </c>
      <c r="E3019" t="inlineStr">
        <is>
          <t>TORSÅS</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63303-2019</t>
        </is>
      </c>
      <c r="B3020" s="1" t="n">
        <v>43794</v>
      </c>
      <c r="C3020" s="1" t="n">
        <v>45190</v>
      </c>
      <c r="D3020" t="inlineStr">
        <is>
          <t>KALMAR LÄN</t>
        </is>
      </c>
      <c r="E3020" t="inlineStr">
        <is>
          <t>TORSÅS</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63385-2019</t>
        </is>
      </c>
      <c r="B3021" s="1" t="n">
        <v>43794</v>
      </c>
      <c r="C3021" s="1" t="n">
        <v>45190</v>
      </c>
      <c r="D3021" t="inlineStr">
        <is>
          <t>KALMAR LÄN</t>
        </is>
      </c>
      <c r="E3021" t="inlineStr">
        <is>
          <t>VÄSTERVIK</t>
        </is>
      </c>
      <c r="G3021" t="n">
        <v>5.1</v>
      </c>
      <c r="H3021" t="n">
        <v>0</v>
      </c>
      <c r="I3021" t="n">
        <v>0</v>
      </c>
      <c r="J3021" t="n">
        <v>0</v>
      </c>
      <c r="K3021" t="n">
        <v>0</v>
      </c>
      <c r="L3021" t="n">
        <v>0</v>
      </c>
      <c r="M3021" t="n">
        <v>0</v>
      </c>
      <c r="N3021" t="n">
        <v>0</v>
      </c>
      <c r="O3021" t="n">
        <v>0</v>
      </c>
      <c r="P3021" t="n">
        <v>0</v>
      </c>
      <c r="Q3021" t="n">
        <v>0</v>
      </c>
      <c r="R3021" s="2" t="inlineStr"/>
    </row>
    <row r="3022" ht="15" customHeight="1">
      <c r="A3022" t="inlineStr">
        <is>
          <t>A 63432-2019</t>
        </is>
      </c>
      <c r="B3022" s="1" t="n">
        <v>43794</v>
      </c>
      <c r="C3022" s="1" t="n">
        <v>45190</v>
      </c>
      <c r="D3022" t="inlineStr">
        <is>
          <t>KALMAR LÄN</t>
        </is>
      </c>
      <c r="E3022" t="inlineStr">
        <is>
          <t>HULTSFRED</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63301-2019</t>
        </is>
      </c>
      <c r="B3023" s="1" t="n">
        <v>43794</v>
      </c>
      <c r="C3023" s="1" t="n">
        <v>45190</v>
      </c>
      <c r="D3023" t="inlineStr">
        <is>
          <t>KALMAR LÄN</t>
        </is>
      </c>
      <c r="E3023" t="inlineStr">
        <is>
          <t>TORSÅS</t>
        </is>
      </c>
      <c r="G3023" t="n">
        <v>19.5</v>
      </c>
      <c r="H3023" t="n">
        <v>0</v>
      </c>
      <c r="I3023" t="n">
        <v>0</v>
      </c>
      <c r="J3023" t="n">
        <v>0</v>
      </c>
      <c r="K3023" t="n">
        <v>0</v>
      </c>
      <c r="L3023" t="n">
        <v>0</v>
      </c>
      <c r="M3023" t="n">
        <v>0</v>
      </c>
      <c r="N3023" t="n">
        <v>0</v>
      </c>
      <c r="O3023" t="n">
        <v>0</v>
      </c>
      <c r="P3023" t="n">
        <v>0</v>
      </c>
      <c r="Q3023" t="n">
        <v>0</v>
      </c>
      <c r="R3023" s="2" t="inlineStr"/>
    </row>
    <row r="3024" ht="15" customHeight="1">
      <c r="A3024" t="inlineStr">
        <is>
          <t>A 63539-2019</t>
        </is>
      </c>
      <c r="B3024" s="1" t="n">
        <v>43794</v>
      </c>
      <c r="C3024" s="1" t="n">
        <v>45190</v>
      </c>
      <c r="D3024" t="inlineStr">
        <is>
          <t>KALMAR LÄN</t>
        </is>
      </c>
      <c r="E3024" t="inlineStr">
        <is>
          <t>HULTSFRED</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63746-2019</t>
        </is>
      </c>
      <c r="B3025" s="1" t="n">
        <v>43795</v>
      </c>
      <c r="C3025" s="1" t="n">
        <v>45190</v>
      </c>
      <c r="D3025" t="inlineStr">
        <is>
          <t>KALMAR LÄN</t>
        </is>
      </c>
      <c r="E3025" t="inlineStr">
        <is>
          <t>VIMMERBY</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63610-2019</t>
        </is>
      </c>
      <c r="B3026" s="1" t="n">
        <v>43795</v>
      </c>
      <c r="C3026" s="1" t="n">
        <v>45190</v>
      </c>
      <c r="D3026" t="inlineStr">
        <is>
          <t>KALMAR LÄN</t>
        </is>
      </c>
      <c r="E3026" t="inlineStr">
        <is>
          <t>TORSÅS</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63762-2019</t>
        </is>
      </c>
      <c r="B3027" s="1" t="n">
        <v>43795</v>
      </c>
      <c r="C3027" s="1" t="n">
        <v>45190</v>
      </c>
      <c r="D3027" t="inlineStr">
        <is>
          <t>KALMAR LÄN</t>
        </is>
      </c>
      <c r="E3027" t="inlineStr">
        <is>
          <t>HULTSFRED</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63731-2019</t>
        </is>
      </c>
      <c r="B3028" s="1" t="n">
        <v>43795</v>
      </c>
      <c r="C3028" s="1" t="n">
        <v>45190</v>
      </c>
      <c r="D3028" t="inlineStr">
        <is>
          <t>KALMAR LÄN</t>
        </is>
      </c>
      <c r="E3028" t="inlineStr">
        <is>
          <t>TORSÅS</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64786-2019</t>
        </is>
      </c>
      <c r="B3029" s="1" t="n">
        <v>43795</v>
      </c>
      <c r="C3029" s="1" t="n">
        <v>45190</v>
      </c>
      <c r="D3029" t="inlineStr">
        <is>
          <t>KALMAR LÄN</t>
        </is>
      </c>
      <c r="E3029" t="inlineStr">
        <is>
          <t>HÖGSBY</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64119-2019</t>
        </is>
      </c>
      <c r="B3030" s="1" t="n">
        <v>43796</v>
      </c>
      <c r="C3030" s="1" t="n">
        <v>45190</v>
      </c>
      <c r="D3030" t="inlineStr">
        <is>
          <t>KALMAR LÄN</t>
        </is>
      </c>
      <c r="E3030" t="inlineStr">
        <is>
          <t>VIMMERBY</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64128-2019</t>
        </is>
      </c>
      <c r="B3031" s="1" t="n">
        <v>43796</v>
      </c>
      <c r="C3031" s="1" t="n">
        <v>45190</v>
      </c>
      <c r="D3031" t="inlineStr">
        <is>
          <t>KALMAR LÄN</t>
        </is>
      </c>
      <c r="E3031" t="inlineStr">
        <is>
          <t>MÖNSTERÅS</t>
        </is>
      </c>
      <c r="G3031" t="n">
        <v>8.9</v>
      </c>
      <c r="H3031" t="n">
        <v>0</v>
      </c>
      <c r="I3031" t="n">
        <v>0</v>
      </c>
      <c r="J3031" t="n">
        <v>0</v>
      </c>
      <c r="K3031" t="n">
        <v>0</v>
      </c>
      <c r="L3031" t="n">
        <v>0</v>
      </c>
      <c r="M3031" t="n">
        <v>0</v>
      </c>
      <c r="N3031" t="n">
        <v>0</v>
      </c>
      <c r="O3031" t="n">
        <v>0</v>
      </c>
      <c r="P3031" t="n">
        <v>0</v>
      </c>
      <c r="Q3031" t="n">
        <v>0</v>
      </c>
      <c r="R3031" s="2" t="inlineStr"/>
    </row>
    <row r="3032" ht="15" customHeight="1">
      <c r="A3032" t="inlineStr">
        <is>
          <t>A 63969-2019</t>
        </is>
      </c>
      <c r="B3032" s="1" t="n">
        <v>43796</v>
      </c>
      <c r="C3032" s="1" t="n">
        <v>45190</v>
      </c>
      <c r="D3032" t="inlineStr">
        <is>
          <t>KALMAR LÄN</t>
        </is>
      </c>
      <c r="E3032" t="inlineStr">
        <is>
          <t>HÖGSBY</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64004-2019</t>
        </is>
      </c>
      <c r="B3033" s="1" t="n">
        <v>43796</v>
      </c>
      <c r="C3033" s="1" t="n">
        <v>45190</v>
      </c>
      <c r="D3033" t="inlineStr">
        <is>
          <t>KALMAR LÄN</t>
        </is>
      </c>
      <c r="E3033" t="inlineStr">
        <is>
          <t>NYBRO</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63911-2019</t>
        </is>
      </c>
      <c r="B3034" s="1" t="n">
        <v>43796</v>
      </c>
      <c r="C3034" s="1" t="n">
        <v>45190</v>
      </c>
      <c r="D3034" t="inlineStr">
        <is>
          <t>KALMAR LÄN</t>
        </is>
      </c>
      <c r="E3034" t="inlineStr">
        <is>
          <t>KALMAR</t>
        </is>
      </c>
      <c r="F3034" t="inlineStr">
        <is>
          <t>Kommuner</t>
        </is>
      </c>
      <c r="G3034" t="n">
        <v>6.9</v>
      </c>
      <c r="H3034" t="n">
        <v>0</v>
      </c>
      <c r="I3034" t="n">
        <v>0</v>
      </c>
      <c r="J3034" t="n">
        <v>0</v>
      </c>
      <c r="K3034" t="n">
        <v>0</v>
      </c>
      <c r="L3034" t="n">
        <v>0</v>
      </c>
      <c r="M3034" t="n">
        <v>0</v>
      </c>
      <c r="N3034" t="n">
        <v>0</v>
      </c>
      <c r="O3034" t="n">
        <v>0</v>
      </c>
      <c r="P3034" t="n">
        <v>0</v>
      </c>
      <c r="Q3034" t="n">
        <v>0</v>
      </c>
      <c r="R3034" s="2" t="inlineStr"/>
    </row>
    <row r="3035" ht="15" customHeight="1">
      <c r="A3035" t="inlineStr">
        <is>
          <t>A 63961-2019</t>
        </is>
      </c>
      <c r="B3035" s="1" t="n">
        <v>43796</v>
      </c>
      <c r="C3035" s="1" t="n">
        <v>45190</v>
      </c>
      <c r="D3035" t="inlineStr">
        <is>
          <t>KALMAR LÄN</t>
        </is>
      </c>
      <c r="E3035" t="inlineStr">
        <is>
          <t>TORSÅS</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64007-2019</t>
        </is>
      </c>
      <c r="B3036" s="1" t="n">
        <v>43796</v>
      </c>
      <c r="C3036" s="1" t="n">
        <v>45190</v>
      </c>
      <c r="D3036" t="inlineStr">
        <is>
          <t>KALMAR LÄN</t>
        </is>
      </c>
      <c r="E3036" t="inlineStr">
        <is>
          <t>NYBRO</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64127-2019</t>
        </is>
      </c>
      <c r="B3037" s="1" t="n">
        <v>43796</v>
      </c>
      <c r="C3037" s="1" t="n">
        <v>45190</v>
      </c>
      <c r="D3037" t="inlineStr">
        <is>
          <t>KALMAR LÄN</t>
        </is>
      </c>
      <c r="E3037" t="inlineStr">
        <is>
          <t>MÖNSTERÅS</t>
        </is>
      </c>
      <c r="G3037" t="n">
        <v>8.9</v>
      </c>
      <c r="H3037" t="n">
        <v>0</v>
      </c>
      <c r="I3037" t="n">
        <v>0</v>
      </c>
      <c r="J3037" t="n">
        <v>0</v>
      </c>
      <c r="K3037" t="n">
        <v>0</v>
      </c>
      <c r="L3037" t="n">
        <v>0</v>
      </c>
      <c r="M3037" t="n">
        <v>0</v>
      </c>
      <c r="N3037" t="n">
        <v>0</v>
      </c>
      <c r="O3037" t="n">
        <v>0</v>
      </c>
      <c r="P3037" t="n">
        <v>0</v>
      </c>
      <c r="Q3037" t="n">
        <v>0</v>
      </c>
      <c r="R3037" s="2" t="inlineStr"/>
    </row>
    <row r="3038" ht="15" customHeight="1">
      <c r="A3038" t="inlineStr">
        <is>
          <t>A 63935-2019</t>
        </is>
      </c>
      <c r="B3038" s="1" t="n">
        <v>43796</v>
      </c>
      <c r="C3038" s="1" t="n">
        <v>45190</v>
      </c>
      <c r="D3038" t="inlineStr">
        <is>
          <t>KALMAR LÄN</t>
        </is>
      </c>
      <c r="E3038" t="inlineStr">
        <is>
          <t>KALMAR</t>
        </is>
      </c>
      <c r="F3038" t="inlineStr">
        <is>
          <t>Kommuner</t>
        </is>
      </c>
      <c r="G3038" t="n">
        <v>5.7</v>
      </c>
      <c r="H3038" t="n">
        <v>0</v>
      </c>
      <c r="I3038" t="n">
        <v>0</v>
      </c>
      <c r="J3038" t="n">
        <v>0</v>
      </c>
      <c r="K3038" t="n">
        <v>0</v>
      </c>
      <c r="L3038" t="n">
        <v>0</v>
      </c>
      <c r="M3038" t="n">
        <v>0</v>
      </c>
      <c r="N3038" t="n">
        <v>0</v>
      </c>
      <c r="O3038" t="n">
        <v>0</v>
      </c>
      <c r="P3038" t="n">
        <v>0</v>
      </c>
      <c r="Q3038" t="n">
        <v>0</v>
      </c>
      <c r="R3038" s="2" t="inlineStr"/>
    </row>
    <row r="3039" ht="15" customHeight="1">
      <c r="A3039" t="inlineStr">
        <is>
          <t>A 63959-2019</t>
        </is>
      </c>
      <c r="B3039" s="1" t="n">
        <v>43796</v>
      </c>
      <c r="C3039" s="1" t="n">
        <v>45190</v>
      </c>
      <c r="D3039" t="inlineStr">
        <is>
          <t>KALMAR LÄN</t>
        </is>
      </c>
      <c r="E3039" t="inlineStr">
        <is>
          <t>TORSÅS</t>
        </is>
      </c>
      <c r="G3039" t="n">
        <v>6.3</v>
      </c>
      <c r="H3039" t="n">
        <v>0</v>
      </c>
      <c r="I3039" t="n">
        <v>0</v>
      </c>
      <c r="J3039" t="n">
        <v>0</v>
      </c>
      <c r="K3039" t="n">
        <v>0</v>
      </c>
      <c r="L3039" t="n">
        <v>0</v>
      </c>
      <c r="M3039" t="n">
        <v>0</v>
      </c>
      <c r="N3039" t="n">
        <v>0</v>
      </c>
      <c r="O3039" t="n">
        <v>0</v>
      </c>
      <c r="P3039" t="n">
        <v>0</v>
      </c>
      <c r="Q3039" t="n">
        <v>0</v>
      </c>
      <c r="R3039" s="2" t="inlineStr"/>
    </row>
    <row r="3040" ht="15" customHeight="1">
      <c r="A3040" t="inlineStr">
        <is>
          <t>A 63982-2019</t>
        </is>
      </c>
      <c r="B3040" s="1" t="n">
        <v>43796</v>
      </c>
      <c r="C3040" s="1" t="n">
        <v>45190</v>
      </c>
      <c r="D3040" t="inlineStr">
        <is>
          <t>KALMAR LÄN</t>
        </is>
      </c>
      <c r="E3040" t="inlineStr">
        <is>
          <t>NYBRO</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64110-2019</t>
        </is>
      </c>
      <c r="B3041" s="1" t="n">
        <v>43796</v>
      </c>
      <c r="C3041" s="1" t="n">
        <v>45190</v>
      </c>
      <c r="D3041" t="inlineStr">
        <is>
          <t>KALMAR LÄN</t>
        </is>
      </c>
      <c r="E3041" t="inlineStr">
        <is>
          <t>NYBRO</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64194-2019</t>
        </is>
      </c>
      <c r="B3042" s="1" t="n">
        <v>43797</v>
      </c>
      <c r="C3042" s="1" t="n">
        <v>45190</v>
      </c>
      <c r="D3042" t="inlineStr">
        <is>
          <t>KALMAR LÄN</t>
        </is>
      </c>
      <c r="E3042" t="inlineStr">
        <is>
          <t>OSKARSHAMN</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64215-2019</t>
        </is>
      </c>
      <c r="B3043" s="1" t="n">
        <v>43797</v>
      </c>
      <c r="C3043" s="1" t="n">
        <v>45190</v>
      </c>
      <c r="D3043" t="inlineStr">
        <is>
          <t>KALMAR LÄN</t>
        </is>
      </c>
      <c r="E3043" t="inlineStr">
        <is>
          <t>HULTSFRED</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64345-2019</t>
        </is>
      </c>
      <c r="B3044" s="1" t="n">
        <v>43797</v>
      </c>
      <c r="C3044" s="1" t="n">
        <v>45190</v>
      </c>
      <c r="D3044" t="inlineStr">
        <is>
          <t>KALMAR LÄN</t>
        </is>
      </c>
      <c r="E3044" t="inlineStr">
        <is>
          <t>VIMMERBY</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64180-2019</t>
        </is>
      </c>
      <c r="B3045" s="1" t="n">
        <v>43797</v>
      </c>
      <c r="C3045" s="1" t="n">
        <v>45190</v>
      </c>
      <c r="D3045" t="inlineStr">
        <is>
          <t>KALMAR LÄN</t>
        </is>
      </c>
      <c r="E3045" t="inlineStr">
        <is>
          <t>TORSÅS</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64243-2019</t>
        </is>
      </c>
      <c r="B3046" s="1" t="n">
        <v>43797</v>
      </c>
      <c r="C3046" s="1" t="n">
        <v>45190</v>
      </c>
      <c r="D3046" t="inlineStr">
        <is>
          <t>KALMAR LÄN</t>
        </is>
      </c>
      <c r="E3046" t="inlineStr">
        <is>
          <t>NYBRO</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64302-2019</t>
        </is>
      </c>
      <c r="B3047" s="1" t="n">
        <v>43797</v>
      </c>
      <c r="C3047" s="1" t="n">
        <v>45190</v>
      </c>
      <c r="D3047" t="inlineStr">
        <is>
          <t>KALMAR LÄN</t>
        </is>
      </c>
      <c r="E3047" t="inlineStr">
        <is>
          <t>OSKARSHAMN</t>
        </is>
      </c>
      <c r="F3047" t="inlineStr">
        <is>
          <t>Kommuner</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64334-2019</t>
        </is>
      </c>
      <c r="B3048" s="1" t="n">
        <v>43797</v>
      </c>
      <c r="C3048" s="1" t="n">
        <v>45190</v>
      </c>
      <c r="D3048" t="inlineStr">
        <is>
          <t>KALMAR LÄN</t>
        </is>
      </c>
      <c r="E3048" t="inlineStr">
        <is>
          <t>VIMMERBY</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64367-2019</t>
        </is>
      </c>
      <c r="B3049" s="1" t="n">
        <v>43797</v>
      </c>
      <c r="C3049" s="1" t="n">
        <v>45190</v>
      </c>
      <c r="D3049" t="inlineStr">
        <is>
          <t>KALMAR LÄN</t>
        </is>
      </c>
      <c r="E3049" t="inlineStr">
        <is>
          <t>NYBRO</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64544-2019</t>
        </is>
      </c>
      <c r="B3050" s="1" t="n">
        <v>43798</v>
      </c>
      <c r="C3050" s="1" t="n">
        <v>45190</v>
      </c>
      <c r="D3050" t="inlineStr">
        <is>
          <t>KALMAR LÄN</t>
        </is>
      </c>
      <c r="E3050" t="inlineStr">
        <is>
          <t>EMMABODA</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64610-2019</t>
        </is>
      </c>
      <c r="B3051" s="1" t="n">
        <v>43798</v>
      </c>
      <c r="C3051" s="1" t="n">
        <v>45190</v>
      </c>
      <c r="D3051" t="inlineStr">
        <is>
          <t>KALMAR LÄN</t>
        </is>
      </c>
      <c r="E3051" t="inlineStr">
        <is>
          <t>VÄSTERVIK</t>
        </is>
      </c>
      <c r="F3051" t="inlineStr">
        <is>
          <t>Holmen skog AB</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65394-2019</t>
        </is>
      </c>
      <c r="B3052" s="1" t="n">
        <v>43798</v>
      </c>
      <c r="C3052" s="1" t="n">
        <v>45190</v>
      </c>
      <c r="D3052" t="inlineStr">
        <is>
          <t>KALMAR LÄN</t>
        </is>
      </c>
      <c r="E3052" t="inlineStr">
        <is>
          <t>HÖGSBY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64732-2019</t>
        </is>
      </c>
      <c r="B3053" s="1" t="n">
        <v>43800</v>
      </c>
      <c r="C3053" s="1" t="n">
        <v>45190</v>
      </c>
      <c r="D3053" t="inlineStr">
        <is>
          <t>KALMAR LÄN</t>
        </is>
      </c>
      <c r="E3053" t="inlineStr">
        <is>
          <t>HULTSFRED</t>
        </is>
      </c>
      <c r="G3053" t="n">
        <v>9.6</v>
      </c>
      <c r="H3053" t="n">
        <v>0</v>
      </c>
      <c r="I3053" t="n">
        <v>0</v>
      </c>
      <c r="J3053" t="n">
        <v>0</v>
      </c>
      <c r="K3053" t="n">
        <v>0</v>
      </c>
      <c r="L3053" t="n">
        <v>0</v>
      </c>
      <c r="M3053" t="n">
        <v>0</v>
      </c>
      <c r="N3053" t="n">
        <v>0</v>
      </c>
      <c r="O3053" t="n">
        <v>0</v>
      </c>
      <c r="P3053" t="n">
        <v>0</v>
      </c>
      <c r="Q3053" t="n">
        <v>0</v>
      </c>
      <c r="R3053" s="2" t="inlineStr"/>
    </row>
    <row r="3054" ht="15" customHeight="1">
      <c r="A3054" t="inlineStr">
        <is>
          <t>A 64870-2019</t>
        </is>
      </c>
      <c r="B3054" s="1" t="n">
        <v>43801</v>
      </c>
      <c r="C3054" s="1" t="n">
        <v>45190</v>
      </c>
      <c r="D3054" t="inlineStr">
        <is>
          <t>KALMAR LÄN</t>
        </is>
      </c>
      <c r="E3054" t="inlineStr">
        <is>
          <t>OSKARSHAMN</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65008-2019</t>
        </is>
      </c>
      <c r="B3055" s="1" t="n">
        <v>43801</v>
      </c>
      <c r="C3055" s="1" t="n">
        <v>45190</v>
      </c>
      <c r="D3055" t="inlineStr">
        <is>
          <t>KALMAR LÄN</t>
        </is>
      </c>
      <c r="E3055" t="inlineStr">
        <is>
          <t>EMMABODA</t>
        </is>
      </c>
      <c r="G3055" t="n">
        <v>2</v>
      </c>
      <c r="H3055" t="n">
        <v>0</v>
      </c>
      <c r="I3055" t="n">
        <v>0</v>
      </c>
      <c r="J3055" t="n">
        <v>0</v>
      </c>
      <c r="K3055" t="n">
        <v>0</v>
      </c>
      <c r="L3055" t="n">
        <v>0</v>
      </c>
      <c r="M3055" t="n">
        <v>0</v>
      </c>
      <c r="N3055" t="n">
        <v>0</v>
      </c>
      <c r="O3055" t="n">
        <v>0</v>
      </c>
      <c r="P3055" t="n">
        <v>0</v>
      </c>
      <c r="Q3055" t="n">
        <v>0</v>
      </c>
      <c r="R3055" s="2" t="inlineStr"/>
    </row>
    <row r="3056" ht="15" customHeight="1">
      <c r="A3056" t="inlineStr">
        <is>
          <t>A 65941-2019</t>
        </is>
      </c>
      <c r="B3056" s="1" t="n">
        <v>43801</v>
      </c>
      <c r="C3056" s="1" t="n">
        <v>45190</v>
      </c>
      <c r="D3056" t="inlineStr">
        <is>
          <t>KALMAR LÄN</t>
        </is>
      </c>
      <c r="E3056" t="inlineStr">
        <is>
          <t>MÖRBYLÅNGA</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65136-2019</t>
        </is>
      </c>
      <c r="B3057" s="1" t="n">
        <v>43802</v>
      </c>
      <c r="C3057" s="1" t="n">
        <v>45190</v>
      </c>
      <c r="D3057" t="inlineStr">
        <is>
          <t>KALMAR LÄN</t>
        </is>
      </c>
      <c r="E3057" t="inlineStr">
        <is>
          <t>HÖGSBY</t>
        </is>
      </c>
      <c r="G3057" t="n">
        <v>4.1</v>
      </c>
      <c r="H3057" t="n">
        <v>0</v>
      </c>
      <c r="I3057" t="n">
        <v>0</v>
      </c>
      <c r="J3057" t="n">
        <v>0</v>
      </c>
      <c r="K3057" t="n">
        <v>0</v>
      </c>
      <c r="L3057" t="n">
        <v>0</v>
      </c>
      <c r="M3057" t="n">
        <v>0</v>
      </c>
      <c r="N3057" t="n">
        <v>0</v>
      </c>
      <c r="O3057" t="n">
        <v>0</v>
      </c>
      <c r="P3057" t="n">
        <v>0</v>
      </c>
      <c r="Q3057" t="n">
        <v>0</v>
      </c>
      <c r="R3057" s="2" t="inlineStr"/>
    </row>
    <row r="3058" ht="15" customHeight="1">
      <c r="A3058" t="inlineStr">
        <is>
          <t>A 65267-2019</t>
        </is>
      </c>
      <c r="B3058" s="1" t="n">
        <v>43802</v>
      </c>
      <c r="C3058" s="1" t="n">
        <v>45190</v>
      </c>
      <c r="D3058" t="inlineStr">
        <is>
          <t>KALMAR LÄN</t>
        </is>
      </c>
      <c r="E3058" t="inlineStr">
        <is>
          <t>VIMMERBY</t>
        </is>
      </c>
      <c r="F3058" t="inlineStr">
        <is>
          <t>Kommuner</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65412-2019</t>
        </is>
      </c>
      <c r="B3059" s="1" t="n">
        <v>43803</v>
      </c>
      <c r="C3059" s="1" t="n">
        <v>45190</v>
      </c>
      <c r="D3059" t="inlineStr">
        <is>
          <t>KALMAR LÄN</t>
        </is>
      </c>
      <c r="E3059" t="inlineStr">
        <is>
          <t>KALMAR</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65421-2019</t>
        </is>
      </c>
      <c r="B3060" s="1" t="n">
        <v>43803</v>
      </c>
      <c r="C3060" s="1" t="n">
        <v>45190</v>
      </c>
      <c r="D3060" t="inlineStr">
        <is>
          <t>KALMAR LÄN</t>
        </is>
      </c>
      <c r="E3060" t="inlineStr">
        <is>
          <t>KALMAR</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65418-2019</t>
        </is>
      </c>
      <c r="B3061" s="1" t="n">
        <v>43803</v>
      </c>
      <c r="C3061" s="1" t="n">
        <v>45190</v>
      </c>
      <c r="D3061" t="inlineStr">
        <is>
          <t>KALMAR LÄN</t>
        </is>
      </c>
      <c r="E3061" t="inlineStr">
        <is>
          <t>KALMAR</t>
        </is>
      </c>
      <c r="G3061" t="n">
        <v>3</v>
      </c>
      <c r="H3061" t="n">
        <v>0</v>
      </c>
      <c r="I3061" t="n">
        <v>0</v>
      </c>
      <c r="J3061" t="n">
        <v>0</v>
      </c>
      <c r="K3061" t="n">
        <v>0</v>
      </c>
      <c r="L3061" t="n">
        <v>0</v>
      </c>
      <c r="M3061" t="n">
        <v>0</v>
      </c>
      <c r="N3061" t="n">
        <v>0</v>
      </c>
      <c r="O3061" t="n">
        <v>0</v>
      </c>
      <c r="P3061" t="n">
        <v>0</v>
      </c>
      <c r="Q3061" t="n">
        <v>0</v>
      </c>
      <c r="R3061" s="2" t="inlineStr"/>
    </row>
    <row r="3062" ht="15" customHeight="1">
      <c r="A3062" t="inlineStr">
        <is>
          <t>A 65537-2019</t>
        </is>
      </c>
      <c r="B3062" s="1" t="n">
        <v>43803</v>
      </c>
      <c r="C3062" s="1" t="n">
        <v>45190</v>
      </c>
      <c r="D3062" t="inlineStr">
        <is>
          <t>KALMAR LÄN</t>
        </is>
      </c>
      <c r="E3062" t="inlineStr">
        <is>
          <t>HULTSFRED</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66535-2019</t>
        </is>
      </c>
      <c r="B3063" s="1" t="n">
        <v>43803</v>
      </c>
      <c r="C3063" s="1" t="n">
        <v>45190</v>
      </c>
      <c r="D3063" t="inlineStr">
        <is>
          <t>KALMAR LÄN</t>
        </is>
      </c>
      <c r="E3063" t="inlineStr">
        <is>
          <t>HÖGSBY</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65420-2019</t>
        </is>
      </c>
      <c r="B3064" s="1" t="n">
        <v>43803</v>
      </c>
      <c r="C3064" s="1" t="n">
        <v>45190</v>
      </c>
      <c r="D3064" t="inlineStr">
        <is>
          <t>KALMAR LÄN</t>
        </is>
      </c>
      <c r="E3064" t="inlineStr">
        <is>
          <t>HULTSFRED</t>
        </is>
      </c>
      <c r="G3064" t="n">
        <v>1.4</v>
      </c>
      <c r="H3064" t="n">
        <v>0</v>
      </c>
      <c r="I3064" t="n">
        <v>0</v>
      </c>
      <c r="J3064" t="n">
        <v>0</v>
      </c>
      <c r="K3064" t="n">
        <v>0</v>
      </c>
      <c r="L3064" t="n">
        <v>0</v>
      </c>
      <c r="M3064" t="n">
        <v>0</v>
      </c>
      <c r="N3064" t="n">
        <v>0</v>
      </c>
      <c r="O3064" t="n">
        <v>0</v>
      </c>
      <c r="P3064" t="n">
        <v>0</v>
      </c>
      <c r="Q3064" t="n">
        <v>0</v>
      </c>
      <c r="R3064" s="2" t="inlineStr"/>
    </row>
    <row r="3065" ht="15" customHeight="1">
      <c r="A3065" t="inlineStr">
        <is>
          <t>A 65427-2019</t>
        </is>
      </c>
      <c r="B3065" s="1" t="n">
        <v>43803</v>
      </c>
      <c r="C3065" s="1" t="n">
        <v>45190</v>
      </c>
      <c r="D3065" t="inlineStr">
        <is>
          <t>KALMAR LÄN</t>
        </is>
      </c>
      <c r="E3065" t="inlineStr">
        <is>
          <t>HULTSFRED</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65604-2019</t>
        </is>
      </c>
      <c r="B3066" s="1" t="n">
        <v>43804</v>
      </c>
      <c r="C3066" s="1" t="n">
        <v>45190</v>
      </c>
      <c r="D3066" t="inlineStr">
        <is>
          <t>KALMAR LÄN</t>
        </is>
      </c>
      <c r="E3066" t="inlineStr">
        <is>
          <t>VÄSTERVIK</t>
        </is>
      </c>
      <c r="G3066" t="n">
        <v>3.8</v>
      </c>
      <c r="H3066" t="n">
        <v>0</v>
      </c>
      <c r="I3066" t="n">
        <v>0</v>
      </c>
      <c r="J3066" t="n">
        <v>0</v>
      </c>
      <c r="K3066" t="n">
        <v>0</v>
      </c>
      <c r="L3066" t="n">
        <v>0</v>
      </c>
      <c r="M3066" t="n">
        <v>0</v>
      </c>
      <c r="N3066" t="n">
        <v>0</v>
      </c>
      <c r="O3066" t="n">
        <v>0</v>
      </c>
      <c r="P3066" t="n">
        <v>0</v>
      </c>
      <c r="Q3066" t="n">
        <v>0</v>
      </c>
      <c r="R3066" s="2" t="inlineStr"/>
    </row>
    <row r="3067" ht="15" customHeight="1">
      <c r="A3067" t="inlineStr">
        <is>
          <t>A 65649-2019</t>
        </is>
      </c>
      <c r="B3067" s="1" t="n">
        <v>43804</v>
      </c>
      <c r="C3067" s="1" t="n">
        <v>45190</v>
      </c>
      <c r="D3067" t="inlineStr">
        <is>
          <t>KALMAR LÄN</t>
        </is>
      </c>
      <c r="E3067" t="inlineStr">
        <is>
          <t>TORSÅS</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66743-2019</t>
        </is>
      </c>
      <c r="B3068" s="1" t="n">
        <v>43804</v>
      </c>
      <c r="C3068" s="1" t="n">
        <v>45190</v>
      </c>
      <c r="D3068" t="inlineStr">
        <is>
          <t>KALMAR LÄN</t>
        </is>
      </c>
      <c r="E3068" t="inlineStr">
        <is>
          <t>VÄSTERVIK</t>
        </is>
      </c>
      <c r="G3068" t="n">
        <v>1.3</v>
      </c>
      <c r="H3068" t="n">
        <v>0</v>
      </c>
      <c r="I3068" t="n">
        <v>0</v>
      </c>
      <c r="J3068" t="n">
        <v>0</v>
      </c>
      <c r="K3068" t="n">
        <v>0</v>
      </c>
      <c r="L3068" t="n">
        <v>0</v>
      </c>
      <c r="M3068" t="n">
        <v>0</v>
      </c>
      <c r="N3068" t="n">
        <v>0</v>
      </c>
      <c r="O3068" t="n">
        <v>0</v>
      </c>
      <c r="P3068" t="n">
        <v>0</v>
      </c>
      <c r="Q3068" t="n">
        <v>0</v>
      </c>
      <c r="R3068" s="2" t="inlineStr"/>
      <c r="U3068">
        <f>HYPERLINK("https://klasma.github.io/Logging_VASTERVIK/knärot/A 66743-2019.png", "A 66743-2019")</f>
        <v/>
      </c>
      <c r="V3068">
        <f>HYPERLINK("https://klasma.github.io/Logging_VASTERVIK/klagomål/A 66743-2019.docx", "A 66743-2019")</f>
        <v/>
      </c>
      <c r="W3068">
        <f>HYPERLINK("https://klasma.github.io/Logging_VASTERVIK/klagomålsmail/A 66743-2019.docx", "A 66743-2019")</f>
        <v/>
      </c>
      <c r="X3068">
        <f>HYPERLINK("https://klasma.github.io/Logging_VASTERVIK/tillsyn/A 66743-2019.docx", "A 66743-2019")</f>
        <v/>
      </c>
      <c r="Y3068">
        <f>HYPERLINK("https://klasma.github.io/Logging_VASTERVIK/tillsynsmail/A 66743-2019.docx", "A 66743-2019")</f>
        <v/>
      </c>
    </row>
    <row r="3069" ht="15" customHeight="1">
      <c r="A3069" t="inlineStr">
        <is>
          <t>A 65756-2019</t>
        </is>
      </c>
      <c r="B3069" s="1" t="n">
        <v>43804</v>
      </c>
      <c r="C3069" s="1" t="n">
        <v>45190</v>
      </c>
      <c r="D3069" t="inlineStr">
        <is>
          <t>KALMAR LÄN</t>
        </is>
      </c>
      <c r="E3069" t="inlineStr">
        <is>
          <t>EMMABODA</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65770-2019</t>
        </is>
      </c>
      <c r="B3070" s="1" t="n">
        <v>43804</v>
      </c>
      <c r="C3070" s="1" t="n">
        <v>45190</v>
      </c>
      <c r="D3070" t="inlineStr">
        <is>
          <t>KALMAR LÄN</t>
        </is>
      </c>
      <c r="E3070" t="inlineStr">
        <is>
          <t>HÖGSBY</t>
        </is>
      </c>
      <c r="G3070" t="n">
        <v>0.7</v>
      </c>
      <c r="H3070" t="n">
        <v>0</v>
      </c>
      <c r="I3070" t="n">
        <v>0</v>
      </c>
      <c r="J3070" t="n">
        <v>0</v>
      </c>
      <c r="K3070" t="n">
        <v>0</v>
      </c>
      <c r="L3070" t="n">
        <v>0</v>
      </c>
      <c r="M3070" t="n">
        <v>0</v>
      </c>
      <c r="N3070" t="n">
        <v>0</v>
      </c>
      <c r="O3070" t="n">
        <v>0</v>
      </c>
      <c r="P3070" t="n">
        <v>0</v>
      </c>
      <c r="Q3070" t="n">
        <v>0</v>
      </c>
      <c r="R3070" s="2" t="inlineStr"/>
    </row>
    <row r="3071" ht="15" customHeight="1">
      <c r="A3071" t="inlineStr">
        <is>
          <t>A 66836-2019</t>
        </is>
      </c>
      <c r="B3071" s="1" t="n">
        <v>43804</v>
      </c>
      <c r="C3071" s="1" t="n">
        <v>45190</v>
      </c>
      <c r="D3071" t="inlineStr">
        <is>
          <t>KALMAR LÄN</t>
        </is>
      </c>
      <c r="E3071" t="inlineStr">
        <is>
          <t>NYBRO</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65846-2019</t>
        </is>
      </c>
      <c r="B3072" s="1" t="n">
        <v>43805</v>
      </c>
      <c r="C3072" s="1" t="n">
        <v>45190</v>
      </c>
      <c r="D3072" t="inlineStr">
        <is>
          <t>KALMAR LÄN</t>
        </is>
      </c>
      <c r="E3072" t="inlineStr">
        <is>
          <t>OSKARSHAMN</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65975-2019</t>
        </is>
      </c>
      <c r="B3073" s="1" t="n">
        <v>43805</v>
      </c>
      <c r="C3073" s="1" t="n">
        <v>45190</v>
      </c>
      <c r="D3073" t="inlineStr">
        <is>
          <t>KALMAR LÄN</t>
        </is>
      </c>
      <c r="E3073" t="inlineStr">
        <is>
          <t>BORGHOLM</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67076-2019</t>
        </is>
      </c>
      <c r="B3074" s="1" t="n">
        <v>43807</v>
      </c>
      <c r="C3074" s="1" t="n">
        <v>45190</v>
      </c>
      <c r="D3074" t="inlineStr">
        <is>
          <t>KALMAR LÄN</t>
        </is>
      </c>
      <c r="E3074" t="inlineStr">
        <is>
          <t>HULTSFRED</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66178-2019</t>
        </is>
      </c>
      <c r="B3075" s="1" t="n">
        <v>43808</v>
      </c>
      <c r="C3075" s="1" t="n">
        <v>45190</v>
      </c>
      <c r="D3075" t="inlineStr">
        <is>
          <t>KALMAR LÄN</t>
        </is>
      </c>
      <c r="E3075" t="inlineStr">
        <is>
          <t>HULTSFRED</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66279-2019</t>
        </is>
      </c>
      <c r="B3076" s="1" t="n">
        <v>43808</v>
      </c>
      <c r="C3076" s="1" t="n">
        <v>45190</v>
      </c>
      <c r="D3076" t="inlineStr">
        <is>
          <t>KALMAR LÄN</t>
        </is>
      </c>
      <c r="E3076" t="inlineStr">
        <is>
          <t>VÄSTERVIK</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66151-2019</t>
        </is>
      </c>
      <c r="B3077" s="1" t="n">
        <v>43808</v>
      </c>
      <c r="C3077" s="1" t="n">
        <v>45190</v>
      </c>
      <c r="D3077" t="inlineStr">
        <is>
          <t>KALMAR LÄN</t>
        </is>
      </c>
      <c r="E3077" t="inlineStr">
        <is>
          <t>VIMMERBY</t>
        </is>
      </c>
      <c r="F3077" t="inlineStr">
        <is>
          <t>Sveaskog</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66169-2019</t>
        </is>
      </c>
      <c r="B3078" s="1" t="n">
        <v>43808</v>
      </c>
      <c r="C3078" s="1" t="n">
        <v>45190</v>
      </c>
      <c r="D3078" t="inlineStr">
        <is>
          <t>KALMAR LÄN</t>
        </is>
      </c>
      <c r="E3078" t="inlineStr">
        <is>
          <t>VIMMERBY</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66180-2019</t>
        </is>
      </c>
      <c r="B3079" s="1" t="n">
        <v>43808</v>
      </c>
      <c r="C3079" s="1" t="n">
        <v>45190</v>
      </c>
      <c r="D3079" t="inlineStr">
        <is>
          <t>KALMAR LÄN</t>
        </is>
      </c>
      <c r="E3079" t="inlineStr">
        <is>
          <t>HULTSFRED</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66174-2019</t>
        </is>
      </c>
      <c r="B3080" s="1" t="n">
        <v>43808</v>
      </c>
      <c r="C3080" s="1" t="n">
        <v>45190</v>
      </c>
      <c r="D3080" t="inlineStr">
        <is>
          <t>KALMAR LÄN</t>
        </is>
      </c>
      <c r="E3080" t="inlineStr">
        <is>
          <t>HULTSFRED</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66184-2019</t>
        </is>
      </c>
      <c r="B3081" s="1" t="n">
        <v>43808</v>
      </c>
      <c r="C3081" s="1" t="n">
        <v>45190</v>
      </c>
      <c r="D3081" t="inlineStr">
        <is>
          <t>KALMAR LÄN</t>
        </is>
      </c>
      <c r="E3081" t="inlineStr">
        <is>
          <t>HULTSFRED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66619-2019</t>
        </is>
      </c>
      <c r="B3082" s="1" t="n">
        <v>43809</v>
      </c>
      <c r="C3082" s="1" t="n">
        <v>45190</v>
      </c>
      <c r="D3082" t="inlineStr">
        <is>
          <t>KALMAR LÄN</t>
        </is>
      </c>
      <c r="E3082" t="inlineStr">
        <is>
          <t>OSKARSHAMN</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66683-2019</t>
        </is>
      </c>
      <c r="B3083" s="1" t="n">
        <v>43809</v>
      </c>
      <c r="C3083" s="1" t="n">
        <v>45190</v>
      </c>
      <c r="D3083" t="inlineStr">
        <is>
          <t>KALMAR LÄN</t>
        </is>
      </c>
      <c r="E3083" t="inlineStr">
        <is>
          <t>NYBRO</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66734-2019</t>
        </is>
      </c>
      <c r="B3084" s="1" t="n">
        <v>43809</v>
      </c>
      <c r="C3084" s="1" t="n">
        <v>45190</v>
      </c>
      <c r="D3084" t="inlineStr">
        <is>
          <t>KALMAR LÄN</t>
        </is>
      </c>
      <c r="E3084" t="inlineStr">
        <is>
          <t>OSKARSHAMN</t>
        </is>
      </c>
      <c r="G3084" t="n">
        <v>3.7</v>
      </c>
      <c r="H3084" t="n">
        <v>0</v>
      </c>
      <c r="I3084" t="n">
        <v>0</v>
      </c>
      <c r="J3084" t="n">
        <v>0</v>
      </c>
      <c r="K3084" t="n">
        <v>0</v>
      </c>
      <c r="L3084" t="n">
        <v>0</v>
      </c>
      <c r="M3084" t="n">
        <v>0</v>
      </c>
      <c r="N3084" t="n">
        <v>0</v>
      </c>
      <c r="O3084" t="n">
        <v>0</v>
      </c>
      <c r="P3084" t="n">
        <v>0</v>
      </c>
      <c r="Q3084" t="n">
        <v>0</v>
      </c>
      <c r="R3084" s="2" t="inlineStr"/>
    </row>
    <row r="3085" ht="15" customHeight="1">
      <c r="A3085" t="inlineStr">
        <is>
          <t>A 66463-2019</t>
        </is>
      </c>
      <c r="B3085" s="1" t="n">
        <v>43809</v>
      </c>
      <c r="C3085" s="1" t="n">
        <v>45190</v>
      </c>
      <c r="D3085" t="inlineStr">
        <is>
          <t>KALMAR LÄN</t>
        </is>
      </c>
      <c r="E3085" t="inlineStr">
        <is>
          <t>MÖNSTERÅS</t>
        </is>
      </c>
      <c r="F3085" t="inlineStr">
        <is>
          <t>Kyrkan</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66621-2019</t>
        </is>
      </c>
      <c r="B3086" s="1" t="n">
        <v>43809</v>
      </c>
      <c r="C3086" s="1" t="n">
        <v>45190</v>
      </c>
      <c r="D3086" t="inlineStr">
        <is>
          <t>KALMAR LÄN</t>
        </is>
      </c>
      <c r="E3086" t="inlineStr">
        <is>
          <t>OSKARSHAMN</t>
        </is>
      </c>
      <c r="G3086" t="n">
        <v>6.7</v>
      </c>
      <c r="H3086" t="n">
        <v>0</v>
      </c>
      <c r="I3086" t="n">
        <v>0</v>
      </c>
      <c r="J3086" t="n">
        <v>0</v>
      </c>
      <c r="K3086" t="n">
        <v>0</v>
      </c>
      <c r="L3086" t="n">
        <v>0</v>
      </c>
      <c r="M3086" t="n">
        <v>0</v>
      </c>
      <c r="N3086" t="n">
        <v>0</v>
      </c>
      <c r="O3086" t="n">
        <v>0</v>
      </c>
      <c r="P3086" t="n">
        <v>0</v>
      </c>
      <c r="Q3086" t="n">
        <v>0</v>
      </c>
      <c r="R3086" s="2" t="inlineStr"/>
    </row>
    <row r="3087" ht="15" customHeight="1">
      <c r="A3087" t="inlineStr">
        <is>
          <t>A 66768-2019</t>
        </is>
      </c>
      <c r="B3087" s="1" t="n">
        <v>43809</v>
      </c>
      <c r="C3087" s="1" t="n">
        <v>45190</v>
      </c>
      <c r="D3087" t="inlineStr">
        <is>
          <t>KALMAR LÄN</t>
        </is>
      </c>
      <c r="E3087" t="inlineStr">
        <is>
          <t>OSKARSHAMN</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66611-2019</t>
        </is>
      </c>
      <c r="B3088" s="1" t="n">
        <v>43809</v>
      </c>
      <c r="C3088" s="1" t="n">
        <v>45190</v>
      </c>
      <c r="D3088" t="inlineStr">
        <is>
          <t>KALMAR LÄN</t>
        </is>
      </c>
      <c r="E3088" t="inlineStr">
        <is>
          <t>OSKARSHAMN</t>
        </is>
      </c>
      <c r="G3088" t="n">
        <v>5.5</v>
      </c>
      <c r="H3088" t="n">
        <v>0</v>
      </c>
      <c r="I3088" t="n">
        <v>0</v>
      </c>
      <c r="J3088" t="n">
        <v>0</v>
      </c>
      <c r="K3088" t="n">
        <v>0</v>
      </c>
      <c r="L3088" t="n">
        <v>0</v>
      </c>
      <c r="M3088" t="n">
        <v>0</v>
      </c>
      <c r="N3088" t="n">
        <v>0</v>
      </c>
      <c r="O3088" t="n">
        <v>0</v>
      </c>
      <c r="P3088" t="n">
        <v>0</v>
      </c>
      <c r="Q3088" t="n">
        <v>0</v>
      </c>
      <c r="R3088" s="2" t="inlineStr"/>
    </row>
    <row r="3089" ht="15" customHeight="1">
      <c r="A3089" t="inlineStr">
        <is>
          <t>A 66612-2019</t>
        </is>
      </c>
      <c r="B3089" s="1" t="n">
        <v>43809</v>
      </c>
      <c r="C3089" s="1" t="n">
        <v>45190</v>
      </c>
      <c r="D3089" t="inlineStr">
        <is>
          <t>KALMAR LÄN</t>
        </is>
      </c>
      <c r="E3089" t="inlineStr">
        <is>
          <t>NYBRO</t>
        </is>
      </c>
      <c r="F3089" t="inlineStr">
        <is>
          <t>Kommuner</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66626-2019</t>
        </is>
      </c>
      <c r="B3090" s="1" t="n">
        <v>43809</v>
      </c>
      <c r="C3090" s="1" t="n">
        <v>45190</v>
      </c>
      <c r="D3090" t="inlineStr">
        <is>
          <t>KALMAR LÄN</t>
        </is>
      </c>
      <c r="E3090" t="inlineStr">
        <is>
          <t>OSKARSHAMN</t>
        </is>
      </c>
      <c r="G3090" t="n">
        <v>6.6</v>
      </c>
      <c r="H3090" t="n">
        <v>0</v>
      </c>
      <c r="I3090" t="n">
        <v>0</v>
      </c>
      <c r="J3090" t="n">
        <v>0</v>
      </c>
      <c r="K3090" t="n">
        <v>0</v>
      </c>
      <c r="L3090" t="n">
        <v>0</v>
      </c>
      <c r="M3090" t="n">
        <v>0</v>
      </c>
      <c r="N3090" t="n">
        <v>0</v>
      </c>
      <c r="O3090" t="n">
        <v>0</v>
      </c>
      <c r="P3090" t="n">
        <v>0</v>
      </c>
      <c r="Q3090" t="n">
        <v>0</v>
      </c>
      <c r="R3090" s="2" t="inlineStr"/>
    </row>
    <row r="3091" ht="15" customHeight="1">
      <c r="A3091" t="inlineStr">
        <is>
          <t>A 66842-2019</t>
        </is>
      </c>
      <c r="B3091" s="1" t="n">
        <v>43810</v>
      </c>
      <c r="C3091" s="1" t="n">
        <v>45190</v>
      </c>
      <c r="D3091" t="inlineStr">
        <is>
          <t>KALMAR LÄN</t>
        </is>
      </c>
      <c r="E3091" t="inlineStr">
        <is>
          <t>HULTSFRED</t>
        </is>
      </c>
      <c r="F3091" t="inlineStr">
        <is>
          <t>Sveaskog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67704-2019</t>
        </is>
      </c>
      <c r="B3092" s="1" t="n">
        <v>43810</v>
      </c>
      <c r="C3092" s="1" t="n">
        <v>45190</v>
      </c>
      <c r="D3092" t="inlineStr">
        <is>
          <t>KALMAR LÄN</t>
        </is>
      </c>
      <c r="E3092" t="inlineStr">
        <is>
          <t>TORSÅS</t>
        </is>
      </c>
      <c r="G3092" t="n">
        <v>7</v>
      </c>
      <c r="H3092" t="n">
        <v>0</v>
      </c>
      <c r="I3092" t="n">
        <v>0</v>
      </c>
      <c r="J3092" t="n">
        <v>0</v>
      </c>
      <c r="K3092" t="n">
        <v>0</v>
      </c>
      <c r="L3092" t="n">
        <v>0</v>
      </c>
      <c r="M3092" t="n">
        <v>0</v>
      </c>
      <c r="N3092" t="n">
        <v>0</v>
      </c>
      <c r="O3092" t="n">
        <v>0</v>
      </c>
      <c r="P3092" t="n">
        <v>0</v>
      </c>
      <c r="Q3092" t="n">
        <v>0</v>
      </c>
      <c r="R3092" s="2" t="inlineStr"/>
    </row>
    <row r="3093" ht="15" customHeight="1">
      <c r="A3093" t="inlineStr">
        <is>
          <t>A 66773-2019</t>
        </is>
      </c>
      <c r="B3093" s="1" t="n">
        <v>43810</v>
      </c>
      <c r="C3093" s="1" t="n">
        <v>45190</v>
      </c>
      <c r="D3093" t="inlineStr">
        <is>
          <t>KALMAR LÄN</t>
        </is>
      </c>
      <c r="E3093" t="inlineStr">
        <is>
          <t>HULTSFRED</t>
        </is>
      </c>
      <c r="F3093" t="inlineStr">
        <is>
          <t>Sveaskog</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66965-2019</t>
        </is>
      </c>
      <c r="B3094" s="1" t="n">
        <v>43810</v>
      </c>
      <c r="C3094" s="1" t="n">
        <v>45190</v>
      </c>
      <c r="D3094" t="inlineStr">
        <is>
          <t>KALMAR LÄN</t>
        </is>
      </c>
      <c r="E3094" t="inlineStr">
        <is>
          <t>OSKARSHAMN</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67717-2019</t>
        </is>
      </c>
      <c r="B3095" s="1" t="n">
        <v>43810</v>
      </c>
      <c r="C3095" s="1" t="n">
        <v>45190</v>
      </c>
      <c r="D3095" t="inlineStr">
        <is>
          <t>KALMAR LÄN</t>
        </is>
      </c>
      <c r="E3095" t="inlineStr">
        <is>
          <t>OSKARSHAMN</t>
        </is>
      </c>
      <c r="G3095" t="n">
        <v>3.7</v>
      </c>
      <c r="H3095" t="n">
        <v>0</v>
      </c>
      <c r="I3095" t="n">
        <v>0</v>
      </c>
      <c r="J3095" t="n">
        <v>0</v>
      </c>
      <c r="K3095" t="n">
        <v>0</v>
      </c>
      <c r="L3095" t="n">
        <v>0</v>
      </c>
      <c r="M3095" t="n">
        <v>0</v>
      </c>
      <c r="N3095" t="n">
        <v>0</v>
      </c>
      <c r="O3095" t="n">
        <v>0</v>
      </c>
      <c r="P3095" t="n">
        <v>0</v>
      </c>
      <c r="Q3095" t="n">
        <v>0</v>
      </c>
      <c r="R3095" s="2" t="inlineStr"/>
    </row>
    <row r="3096" ht="15" customHeight="1">
      <c r="A3096" t="inlineStr">
        <is>
          <t>A 66841-2019</t>
        </is>
      </c>
      <c r="B3096" s="1" t="n">
        <v>43810</v>
      </c>
      <c r="C3096" s="1" t="n">
        <v>45190</v>
      </c>
      <c r="D3096" t="inlineStr">
        <is>
          <t>KALMAR LÄN</t>
        </is>
      </c>
      <c r="E3096" t="inlineStr">
        <is>
          <t>HULTSFRED</t>
        </is>
      </c>
      <c r="F3096" t="inlineStr">
        <is>
          <t>Sveaskog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66770-2019</t>
        </is>
      </c>
      <c r="B3097" s="1" t="n">
        <v>43810</v>
      </c>
      <c r="C3097" s="1" t="n">
        <v>45190</v>
      </c>
      <c r="D3097" t="inlineStr">
        <is>
          <t>KALMAR LÄN</t>
        </is>
      </c>
      <c r="E3097" t="inlineStr">
        <is>
          <t>HULTSFRED</t>
        </is>
      </c>
      <c r="F3097" t="inlineStr">
        <is>
          <t>Sveaskog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66843-2019</t>
        </is>
      </c>
      <c r="B3098" s="1" t="n">
        <v>43810</v>
      </c>
      <c r="C3098" s="1" t="n">
        <v>45190</v>
      </c>
      <c r="D3098" t="inlineStr">
        <is>
          <t>KALMAR LÄN</t>
        </is>
      </c>
      <c r="E3098" t="inlineStr">
        <is>
          <t>HULTSFRED</t>
        </is>
      </c>
      <c r="F3098" t="inlineStr">
        <is>
          <t>Sveaskog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66961-2019</t>
        </is>
      </c>
      <c r="B3099" s="1" t="n">
        <v>43810</v>
      </c>
      <c r="C3099" s="1" t="n">
        <v>45190</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67184-2019</t>
        </is>
      </c>
      <c r="B3100" s="1" t="n">
        <v>43811</v>
      </c>
      <c r="C3100" s="1" t="n">
        <v>45190</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67186-2019</t>
        </is>
      </c>
      <c r="B3101" s="1" t="n">
        <v>43811</v>
      </c>
      <c r="C3101" s="1" t="n">
        <v>45190</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67017-2019</t>
        </is>
      </c>
      <c r="B3102" s="1" t="n">
        <v>43811</v>
      </c>
      <c r="C3102" s="1" t="n">
        <v>45190</v>
      </c>
      <c r="D3102" t="inlineStr">
        <is>
          <t>KALMAR LÄN</t>
        </is>
      </c>
      <c r="E3102" t="inlineStr">
        <is>
          <t>TORSÅS</t>
        </is>
      </c>
      <c r="G3102" t="n">
        <v>4.8</v>
      </c>
      <c r="H3102" t="n">
        <v>0</v>
      </c>
      <c r="I3102" t="n">
        <v>0</v>
      </c>
      <c r="J3102" t="n">
        <v>0</v>
      </c>
      <c r="K3102" t="n">
        <v>0</v>
      </c>
      <c r="L3102" t="n">
        <v>0</v>
      </c>
      <c r="M3102" t="n">
        <v>0</v>
      </c>
      <c r="N3102" t="n">
        <v>0</v>
      </c>
      <c r="O3102" t="n">
        <v>0</v>
      </c>
      <c r="P3102" t="n">
        <v>0</v>
      </c>
      <c r="Q3102" t="n">
        <v>0</v>
      </c>
      <c r="R3102" s="2" t="inlineStr"/>
    </row>
    <row r="3103" ht="15" customHeight="1">
      <c r="A3103" t="inlineStr">
        <is>
          <t>A 67185-2019</t>
        </is>
      </c>
      <c r="B3103" s="1" t="n">
        <v>43811</v>
      </c>
      <c r="C3103" s="1" t="n">
        <v>45190</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67293-2019</t>
        </is>
      </c>
      <c r="B3104" s="1" t="n">
        <v>43812</v>
      </c>
      <c r="C3104" s="1" t="n">
        <v>45190</v>
      </c>
      <c r="D3104" t="inlineStr">
        <is>
          <t>KALMAR LÄN</t>
        </is>
      </c>
      <c r="E3104" t="inlineStr">
        <is>
          <t>VIMMERBY</t>
        </is>
      </c>
      <c r="F3104" t="inlineStr">
        <is>
          <t>Kommuner</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67359-2019</t>
        </is>
      </c>
      <c r="B3105" s="1" t="n">
        <v>43812</v>
      </c>
      <c r="C3105" s="1" t="n">
        <v>45190</v>
      </c>
      <c r="D3105" t="inlineStr">
        <is>
          <t>KALMAR LÄN</t>
        </is>
      </c>
      <c r="E3105" t="inlineStr">
        <is>
          <t>VIMMERBY</t>
        </is>
      </c>
      <c r="F3105" t="inlineStr">
        <is>
          <t>Kommuner</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67231-2019</t>
        </is>
      </c>
      <c r="B3106" s="1" t="n">
        <v>43812</v>
      </c>
      <c r="C3106" s="1" t="n">
        <v>45190</v>
      </c>
      <c r="D3106" t="inlineStr">
        <is>
          <t>KALMAR LÄN</t>
        </is>
      </c>
      <c r="E3106" t="inlineStr">
        <is>
          <t>BORGHOLM</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67346-2019</t>
        </is>
      </c>
      <c r="B3107" s="1" t="n">
        <v>43812</v>
      </c>
      <c r="C3107" s="1" t="n">
        <v>45190</v>
      </c>
      <c r="D3107" t="inlineStr">
        <is>
          <t>KALMAR LÄN</t>
        </is>
      </c>
      <c r="E3107" t="inlineStr">
        <is>
          <t>VIMMERBY</t>
        </is>
      </c>
      <c r="F3107" t="inlineStr">
        <is>
          <t>Kommuner</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67407-2019</t>
        </is>
      </c>
      <c r="B3108" s="1" t="n">
        <v>43812</v>
      </c>
      <c r="C3108" s="1" t="n">
        <v>45190</v>
      </c>
      <c r="D3108" t="inlineStr">
        <is>
          <t>KALMAR LÄN</t>
        </is>
      </c>
      <c r="E3108" t="inlineStr">
        <is>
          <t>VÄSTERVIK</t>
        </is>
      </c>
      <c r="F3108" t="inlineStr">
        <is>
          <t>Holmen skog AB</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67519-2019</t>
        </is>
      </c>
      <c r="B3109" s="1" t="n">
        <v>43815</v>
      </c>
      <c r="C3109" s="1" t="n">
        <v>45190</v>
      </c>
      <c r="D3109" t="inlineStr">
        <is>
          <t>KALMAR LÄN</t>
        </is>
      </c>
      <c r="E3109" t="inlineStr">
        <is>
          <t>NYBRO</t>
        </is>
      </c>
      <c r="F3109" t="inlineStr">
        <is>
          <t>Kommuner</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67546-2019</t>
        </is>
      </c>
      <c r="B3110" s="1" t="n">
        <v>43815</v>
      </c>
      <c r="C3110" s="1" t="n">
        <v>45190</v>
      </c>
      <c r="D3110" t="inlineStr">
        <is>
          <t>KALMAR LÄN</t>
        </is>
      </c>
      <c r="E3110" t="inlineStr">
        <is>
          <t>TORSÅS</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69119-2019</t>
        </is>
      </c>
      <c r="B3111" s="1" t="n">
        <v>43815</v>
      </c>
      <c r="C3111" s="1" t="n">
        <v>45190</v>
      </c>
      <c r="D3111" t="inlineStr">
        <is>
          <t>KALMAR LÄN</t>
        </is>
      </c>
      <c r="E3111" t="inlineStr">
        <is>
          <t>MÖNSTERÅS</t>
        </is>
      </c>
      <c r="F3111" t="inlineStr">
        <is>
          <t>Övriga Aktiebolag</t>
        </is>
      </c>
      <c r="G3111" t="n">
        <v>5.1</v>
      </c>
      <c r="H3111" t="n">
        <v>0</v>
      </c>
      <c r="I3111" t="n">
        <v>0</v>
      </c>
      <c r="J3111" t="n">
        <v>0</v>
      </c>
      <c r="K3111" t="n">
        <v>0</v>
      </c>
      <c r="L3111" t="n">
        <v>0</v>
      </c>
      <c r="M3111" t="n">
        <v>0</v>
      </c>
      <c r="N3111" t="n">
        <v>0</v>
      </c>
      <c r="O3111" t="n">
        <v>0</v>
      </c>
      <c r="P3111" t="n">
        <v>0</v>
      </c>
      <c r="Q3111" t="n">
        <v>0</v>
      </c>
      <c r="R3111" s="2" t="inlineStr"/>
    </row>
    <row r="3112" ht="15" customHeight="1">
      <c r="A3112" t="inlineStr">
        <is>
          <t>A 67489-2019</t>
        </is>
      </c>
      <c r="B3112" s="1" t="n">
        <v>43815</v>
      </c>
      <c r="C3112" s="1" t="n">
        <v>45190</v>
      </c>
      <c r="D3112" t="inlineStr">
        <is>
          <t>KALMAR LÄN</t>
        </is>
      </c>
      <c r="E3112" t="inlineStr">
        <is>
          <t>HULTSFRED</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67512-2019</t>
        </is>
      </c>
      <c r="B3113" s="1" t="n">
        <v>43815</v>
      </c>
      <c r="C3113" s="1" t="n">
        <v>45190</v>
      </c>
      <c r="D3113" t="inlineStr">
        <is>
          <t>KALMAR LÄN</t>
        </is>
      </c>
      <c r="E3113" t="inlineStr">
        <is>
          <t>KALMAR</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69034-2019</t>
        </is>
      </c>
      <c r="B3114" s="1" t="n">
        <v>43815</v>
      </c>
      <c r="C3114" s="1" t="n">
        <v>45190</v>
      </c>
      <c r="D3114" t="inlineStr">
        <is>
          <t>KALMAR LÄN</t>
        </is>
      </c>
      <c r="E3114" t="inlineStr">
        <is>
          <t>MÖNSTERÅS</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67507-2019</t>
        </is>
      </c>
      <c r="B3115" s="1" t="n">
        <v>43815</v>
      </c>
      <c r="C3115" s="1" t="n">
        <v>45190</v>
      </c>
      <c r="D3115" t="inlineStr">
        <is>
          <t>KALMAR LÄN</t>
        </is>
      </c>
      <c r="E3115" t="inlineStr">
        <is>
          <t>KALMAR</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67511-2019</t>
        </is>
      </c>
      <c r="B3116" s="1" t="n">
        <v>43815</v>
      </c>
      <c r="C3116" s="1" t="n">
        <v>45190</v>
      </c>
      <c r="D3116" t="inlineStr">
        <is>
          <t>KALMAR LÄN</t>
        </is>
      </c>
      <c r="E3116" t="inlineStr">
        <is>
          <t>KALMAR</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67799-2019</t>
        </is>
      </c>
      <c r="B3117" s="1" t="n">
        <v>43815</v>
      </c>
      <c r="C3117" s="1" t="n">
        <v>45190</v>
      </c>
      <c r="D3117" t="inlineStr">
        <is>
          <t>KALMAR LÄN</t>
        </is>
      </c>
      <c r="E3117" t="inlineStr">
        <is>
          <t>OSKARSHAMN</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69122-2019</t>
        </is>
      </c>
      <c r="B3118" s="1" t="n">
        <v>43815</v>
      </c>
      <c r="C3118" s="1" t="n">
        <v>45190</v>
      </c>
      <c r="D3118" t="inlineStr">
        <is>
          <t>KALMAR LÄN</t>
        </is>
      </c>
      <c r="E3118" t="inlineStr">
        <is>
          <t>MÖNSTERÅS</t>
        </is>
      </c>
      <c r="F3118" t="inlineStr">
        <is>
          <t>Övriga Aktiebolag</t>
        </is>
      </c>
      <c r="G3118" t="n">
        <v>19.2</v>
      </c>
      <c r="H3118" t="n">
        <v>0</v>
      </c>
      <c r="I3118" t="n">
        <v>0</v>
      </c>
      <c r="J3118" t="n">
        <v>0</v>
      </c>
      <c r="K3118" t="n">
        <v>0</v>
      </c>
      <c r="L3118" t="n">
        <v>0</v>
      </c>
      <c r="M3118" t="n">
        <v>0</v>
      </c>
      <c r="N3118" t="n">
        <v>0</v>
      </c>
      <c r="O3118" t="n">
        <v>0</v>
      </c>
      <c r="P3118" t="n">
        <v>0</v>
      </c>
      <c r="Q3118" t="n">
        <v>0</v>
      </c>
      <c r="R3118" s="2" t="inlineStr"/>
    </row>
    <row r="3119" ht="15" customHeight="1">
      <c r="A3119" t="inlineStr">
        <is>
          <t>A 68036-2019</t>
        </is>
      </c>
      <c r="B3119" s="1" t="n">
        <v>43816</v>
      </c>
      <c r="C3119" s="1" t="n">
        <v>45190</v>
      </c>
      <c r="D3119" t="inlineStr">
        <is>
          <t>KALMAR LÄN</t>
        </is>
      </c>
      <c r="E3119" t="inlineStr">
        <is>
          <t>HULTSFRED</t>
        </is>
      </c>
      <c r="G3119" t="n">
        <v>5.1</v>
      </c>
      <c r="H3119" t="n">
        <v>0</v>
      </c>
      <c r="I3119" t="n">
        <v>0</v>
      </c>
      <c r="J3119" t="n">
        <v>0</v>
      </c>
      <c r="K3119" t="n">
        <v>0</v>
      </c>
      <c r="L3119" t="n">
        <v>0</v>
      </c>
      <c r="M3119" t="n">
        <v>0</v>
      </c>
      <c r="N3119" t="n">
        <v>0</v>
      </c>
      <c r="O3119" t="n">
        <v>0</v>
      </c>
      <c r="P3119" t="n">
        <v>0</v>
      </c>
      <c r="Q3119" t="n">
        <v>0</v>
      </c>
      <c r="R3119" s="2" t="inlineStr"/>
    </row>
    <row r="3120" ht="15" customHeight="1">
      <c r="A3120" t="inlineStr">
        <is>
          <t>A 67876-2019</t>
        </is>
      </c>
      <c r="B3120" s="1" t="n">
        <v>43816</v>
      </c>
      <c r="C3120" s="1" t="n">
        <v>45190</v>
      </c>
      <c r="D3120" t="inlineStr">
        <is>
          <t>KALMAR LÄN</t>
        </is>
      </c>
      <c r="E3120" t="inlineStr">
        <is>
          <t>HULTSFRED</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67905-2019</t>
        </is>
      </c>
      <c r="B3121" s="1" t="n">
        <v>43816</v>
      </c>
      <c r="C3121" s="1" t="n">
        <v>45190</v>
      </c>
      <c r="D3121" t="inlineStr">
        <is>
          <t>KALMAR LÄN</t>
        </is>
      </c>
      <c r="E3121" t="inlineStr">
        <is>
          <t>MÖNSTERÅS</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67906-2019</t>
        </is>
      </c>
      <c r="B3122" s="1" t="n">
        <v>43816</v>
      </c>
      <c r="C3122" s="1" t="n">
        <v>45190</v>
      </c>
      <c r="D3122" t="inlineStr">
        <is>
          <t>KALMAR LÄN</t>
        </is>
      </c>
      <c r="E3122" t="inlineStr">
        <is>
          <t>MÖNSTERÅS</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68162-2019</t>
        </is>
      </c>
      <c r="B3123" s="1" t="n">
        <v>43817</v>
      </c>
      <c r="C3123" s="1" t="n">
        <v>45190</v>
      </c>
      <c r="D3123" t="inlineStr">
        <is>
          <t>KALMAR LÄN</t>
        </is>
      </c>
      <c r="E3123" t="inlineStr">
        <is>
          <t>MÖNSTERÅS</t>
        </is>
      </c>
      <c r="G3123" t="n">
        <v>1.7</v>
      </c>
      <c r="H3123" t="n">
        <v>0</v>
      </c>
      <c r="I3123" t="n">
        <v>0</v>
      </c>
      <c r="J3123" t="n">
        <v>0</v>
      </c>
      <c r="K3123" t="n">
        <v>0</v>
      </c>
      <c r="L3123" t="n">
        <v>0</v>
      </c>
      <c r="M3123" t="n">
        <v>0</v>
      </c>
      <c r="N3123" t="n">
        <v>0</v>
      </c>
      <c r="O3123" t="n">
        <v>0</v>
      </c>
      <c r="P3123" t="n">
        <v>0</v>
      </c>
      <c r="Q3123" t="n">
        <v>0</v>
      </c>
      <c r="R3123" s="2" t="inlineStr"/>
    </row>
    <row r="3124" ht="15" customHeight="1">
      <c r="A3124" t="inlineStr">
        <is>
          <t>A 68165-2019</t>
        </is>
      </c>
      <c r="B3124" s="1" t="n">
        <v>43817</v>
      </c>
      <c r="C3124" s="1" t="n">
        <v>45190</v>
      </c>
      <c r="D3124" t="inlineStr">
        <is>
          <t>KALMAR LÄN</t>
        </is>
      </c>
      <c r="E3124" t="inlineStr">
        <is>
          <t>KALMAR</t>
        </is>
      </c>
      <c r="G3124" t="n">
        <v>3.2</v>
      </c>
      <c r="H3124" t="n">
        <v>0</v>
      </c>
      <c r="I3124" t="n">
        <v>0</v>
      </c>
      <c r="J3124" t="n">
        <v>0</v>
      </c>
      <c r="K3124" t="n">
        <v>0</v>
      </c>
      <c r="L3124" t="n">
        <v>0</v>
      </c>
      <c r="M3124" t="n">
        <v>0</v>
      </c>
      <c r="N3124" t="n">
        <v>0</v>
      </c>
      <c r="O3124" t="n">
        <v>0</v>
      </c>
      <c r="P3124" t="n">
        <v>0</v>
      </c>
      <c r="Q3124" t="n">
        <v>0</v>
      </c>
      <c r="R3124" s="2" t="inlineStr"/>
    </row>
    <row r="3125" ht="15" customHeight="1">
      <c r="A3125" t="inlineStr">
        <is>
          <t>A 457-2020</t>
        </is>
      </c>
      <c r="B3125" s="1" t="n">
        <v>43817</v>
      </c>
      <c r="C3125" s="1" t="n">
        <v>45190</v>
      </c>
      <c r="D3125" t="inlineStr">
        <is>
          <t>KALMAR LÄN</t>
        </is>
      </c>
      <c r="E3125" t="inlineStr">
        <is>
          <t>HÖGSBY</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68132-2019</t>
        </is>
      </c>
      <c r="B3126" s="1" t="n">
        <v>43817</v>
      </c>
      <c r="C3126" s="1" t="n">
        <v>45190</v>
      </c>
      <c r="D3126" t="inlineStr">
        <is>
          <t>KALMAR LÄN</t>
        </is>
      </c>
      <c r="E3126" t="inlineStr">
        <is>
          <t>HÖGSBY</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68275-2019</t>
        </is>
      </c>
      <c r="B3127" s="1" t="n">
        <v>43817</v>
      </c>
      <c r="C3127" s="1" t="n">
        <v>45190</v>
      </c>
      <c r="D3127" t="inlineStr">
        <is>
          <t>KALMAR LÄN</t>
        </is>
      </c>
      <c r="E3127" t="inlineStr">
        <is>
          <t>HULTSFRED</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68381-2019</t>
        </is>
      </c>
      <c r="B3128" s="1" t="n">
        <v>43818</v>
      </c>
      <c r="C3128" s="1" t="n">
        <v>45190</v>
      </c>
      <c r="D3128" t="inlineStr">
        <is>
          <t>KALMAR LÄN</t>
        </is>
      </c>
      <c r="E3128" t="inlineStr">
        <is>
          <t>BORGHOLM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68494-2019</t>
        </is>
      </c>
      <c r="B3129" s="1" t="n">
        <v>43818</v>
      </c>
      <c r="C3129" s="1" t="n">
        <v>45190</v>
      </c>
      <c r="D3129" t="inlineStr">
        <is>
          <t>KALMAR LÄN</t>
        </is>
      </c>
      <c r="E3129" t="inlineStr">
        <is>
          <t>VÄSTERVIK</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68528-2019</t>
        </is>
      </c>
      <c r="B3130" s="1" t="n">
        <v>43818</v>
      </c>
      <c r="C3130" s="1" t="n">
        <v>45190</v>
      </c>
      <c r="D3130" t="inlineStr">
        <is>
          <t>KALMAR LÄN</t>
        </is>
      </c>
      <c r="E3130" t="inlineStr">
        <is>
          <t>OSKARSHAMN</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68527-2019</t>
        </is>
      </c>
      <c r="B3131" s="1" t="n">
        <v>43818</v>
      </c>
      <c r="C3131" s="1" t="n">
        <v>45190</v>
      </c>
      <c r="D3131" t="inlineStr">
        <is>
          <t>KALMAR LÄN</t>
        </is>
      </c>
      <c r="E3131" t="inlineStr">
        <is>
          <t>OSKARSHAMN</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68593-2019</t>
        </is>
      </c>
      <c r="B3132" s="1" t="n">
        <v>43818</v>
      </c>
      <c r="C3132" s="1" t="n">
        <v>45190</v>
      </c>
      <c r="D3132" t="inlineStr">
        <is>
          <t>KALMAR LÄN</t>
        </is>
      </c>
      <c r="E3132" t="inlineStr">
        <is>
          <t>BORGHOLM</t>
        </is>
      </c>
      <c r="G3132" t="n">
        <v>6.6</v>
      </c>
      <c r="H3132" t="n">
        <v>0</v>
      </c>
      <c r="I3132" t="n">
        <v>0</v>
      </c>
      <c r="J3132" t="n">
        <v>0</v>
      </c>
      <c r="K3132" t="n">
        <v>0</v>
      </c>
      <c r="L3132" t="n">
        <v>0</v>
      </c>
      <c r="M3132" t="n">
        <v>0</v>
      </c>
      <c r="N3132" t="n">
        <v>0</v>
      </c>
      <c r="O3132" t="n">
        <v>0</v>
      </c>
      <c r="P3132" t="n">
        <v>0</v>
      </c>
      <c r="Q3132" t="n">
        <v>0</v>
      </c>
      <c r="R3132" s="2" t="inlineStr"/>
    </row>
    <row r="3133" ht="15" customHeight="1">
      <c r="A3133" t="inlineStr">
        <is>
          <t>A 68803-2019</t>
        </is>
      </c>
      <c r="B3133" s="1" t="n">
        <v>43819</v>
      </c>
      <c r="C3133" s="1" t="n">
        <v>45190</v>
      </c>
      <c r="D3133" t="inlineStr">
        <is>
          <t>KALMAR LÄN</t>
        </is>
      </c>
      <c r="E3133" t="inlineStr">
        <is>
          <t>NYBRO</t>
        </is>
      </c>
      <c r="G3133" t="n">
        <v>10.2</v>
      </c>
      <c r="H3133" t="n">
        <v>0</v>
      </c>
      <c r="I3133" t="n">
        <v>0</v>
      </c>
      <c r="J3133" t="n">
        <v>0</v>
      </c>
      <c r="K3133" t="n">
        <v>0</v>
      </c>
      <c r="L3133" t="n">
        <v>0</v>
      </c>
      <c r="M3133" t="n">
        <v>0</v>
      </c>
      <c r="N3133" t="n">
        <v>0</v>
      </c>
      <c r="O3133" t="n">
        <v>0</v>
      </c>
      <c r="P3133" t="n">
        <v>0</v>
      </c>
      <c r="Q3133" t="n">
        <v>0</v>
      </c>
      <c r="R3133" s="2" t="inlineStr"/>
    </row>
    <row r="3134" ht="15" customHeight="1">
      <c r="A3134" t="inlineStr">
        <is>
          <t>A 68764-2019</t>
        </is>
      </c>
      <c r="B3134" s="1" t="n">
        <v>43819</v>
      </c>
      <c r="C3134" s="1" t="n">
        <v>45190</v>
      </c>
      <c r="D3134" t="inlineStr">
        <is>
          <t>KALMAR LÄN</t>
        </is>
      </c>
      <c r="E3134" t="inlineStr">
        <is>
          <t>VÄSTERVIK</t>
        </is>
      </c>
      <c r="F3134" t="inlineStr">
        <is>
          <t>Holmen skog AB</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68778-2019</t>
        </is>
      </c>
      <c r="B3135" s="1" t="n">
        <v>43819</v>
      </c>
      <c r="C3135" s="1" t="n">
        <v>45190</v>
      </c>
      <c r="D3135" t="inlineStr">
        <is>
          <t>KALMAR LÄN</t>
        </is>
      </c>
      <c r="E3135" t="inlineStr">
        <is>
          <t>MÖNSTERÅS</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68824-2019</t>
        </is>
      </c>
      <c r="B3136" s="1" t="n">
        <v>43819</v>
      </c>
      <c r="C3136" s="1" t="n">
        <v>45190</v>
      </c>
      <c r="D3136" t="inlineStr">
        <is>
          <t>KALMAR LÄN</t>
        </is>
      </c>
      <c r="E3136" t="inlineStr">
        <is>
          <t>TORSÅS</t>
        </is>
      </c>
      <c r="G3136" t="n">
        <v>4.7</v>
      </c>
      <c r="H3136" t="n">
        <v>0</v>
      </c>
      <c r="I3136" t="n">
        <v>0</v>
      </c>
      <c r="J3136" t="n">
        <v>0</v>
      </c>
      <c r="K3136" t="n">
        <v>0</v>
      </c>
      <c r="L3136" t="n">
        <v>0</v>
      </c>
      <c r="M3136" t="n">
        <v>0</v>
      </c>
      <c r="N3136" t="n">
        <v>0</v>
      </c>
      <c r="O3136" t="n">
        <v>0</v>
      </c>
      <c r="P3136" t="n">
        <v>0</v>
      </c>
      <c r="Q3136" t="n">
        <v>0</v>
      </c>
      <c r="R3136" s="2" t="inlineStr"/>
    </row>
    <row r="3137" ht="15" customHeight="1">
      <c r="A3137" t="inlineStr">
        <is>
          <t>A 68873-2019</t>
        </is>
      </c>
      <c r="B3137" s="1" t="n">
        <v>43821</v>
      </c>
      <c r="C3137" s="1" t="n">
        <v>45190</v>
      </c>
      <c r="D3137" t="inlineStr">
        <is>
          <t>KALMAR LÄN</t>
        </is>
      </c>
      <c r="E3137" t="inlineStr">
        <is>
          <t>NYBRO</t>
        </is>
      </c>
      <c r="G3137" t="n">
        <v>0.2</v>
      </c>
      <c r="H3137" t="n">
        <v>0</v>
      </c>
      <c r="I3137" t="n">
        <v>0</v>
      </c>
      <c r="J3137" t="n">
        <v>0</v>
      </c>
      <c r="K3137" t="n">
        <v>0</v>
      </c>
      <c r="L3137" t="n">
        <v>0</v>
      </c>
      <c r="M3137" t="n">
        <v>0</v>
      </c>
      <c r="N3137" t="n">
        <v>0</v>
      </c>
      <c r="O3137" t="n">
        <v>0</v>
      </c>
      <c r="P3137" t="n">
        <v>0</v>
      </c>
      <c r="Q3137" t="n">
        <v>0</v>
      </c>
      <c r="R3137" s="2" t="inlineStr"/>
    </row>
    <row r="3138" ht="15" customHeight="1">
      <c r="A3138" t="inlineStr">
        <is>
          <t>A 1443-2020</t>
        </is>
      </c>
      <c r="B3138" s="1" t="n">
        <v>43822</v>
      </c>
      <c r="C3138" s="1" t="n">
        <v>45190</v>
      </c>
      <c r="D3138" t="inlineStr">
        <is>
          <t>KALMAR LÄN</t>
        </is>
      </c>
      <c r="E3138" t="inlineStr">
        <is>
          <t>TORSÅS</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69151-2019</t>
        </is>
      </c>
      <c r="B3139" s="1" t="n">
        <v>43829</v>
      </c>
      <c r="C3139" s="1" t="n">
        <v>45190</v>
      </c>
      <c r="D3139" t="inlineStr">
        <is>
          <t>KALMAR LÄN</t>
        </is>
      </c>
      <c r="E3139" t="inlineStr">
        <is>
          <t>KALMAR</t>
        </is>
      </c>
      <c r="G3139" t="n">
        <v>12.4</v>
      </c>
      <c r="H3139" t="n">
        <v>0</v>
      </c>
      <c r="I3139" t="n">
        <v>0</v>
      </c>
      <c r="J3139" t="n">
        <v>0</v>
      </c>
      <c r="K3139" t="n">
        <v>0</v>
      </c>
      <c r="L3139" t="n">
        <v>0</v>
      </c>
      <c r="M3139" t="n">
        <v>0</v>
      </c>
      <c r="N3139" t="n">
        <v>0</v>
      </c>
      <c r="O3139" t="n">
        <v>0</v>
      </c>
      <c r="P3139" t="n">
        <v>0</v>
      </c>
      <c r="Q3139" t="n">
        <v>0</v>
      </c>
      <c r="R3139" s="2" t="inlineStr"/>
    </row>
    <row r="3140" ht="15" customHeight="1">
      <c r="A3140" t="inlineStr">
        <is>
          <t>A 108-2020</t>
        </is>
      </c>
      <c r="B3140" s="1" t="n">
        <v>43832</v>
      </c>
      <c r="C3140" s="1" t="n">
        <v>45190</v>
      </c>
      <c r="D3140" t="inlineStr">
        <is>
          <t>KALMAR LÄN</t>
        </is>
      </c>
      <c r="E3140" t="inlineStr">
        <is>
          <t>KALMAR</t>
        </is>
      </c>
      <c r="G3140" t="n">
        <v>6.8</v>
      </c>
      <c r="H3140" t="n">
        <v>0</v>
      </c>
      <c r="I3140" t="n">
        <v>0</v>
      </c>
      <c r="J3140" t="n">
        <v>0</v>
      </c>
      <c r="K3140" t="n">
        <v>0</v>
      </c>
      <c r="L3140" t="n">
        <v>0</v>
      </c>
      <c r="M3140" t="n">
        <v>0</v>
      </c>
      <c r="N3140" t="n">
        <v>0</v>
      </c>
      <c r="O3140" t="n">
        <v>0</v>
      </c>
      <c r="P3140" t="n">
        <v>0</v>
      </c>
      <c r="Q3140" t="n">
        <v>0</v>
      </c>
      <c r="R3140" s="2" t="inlineStr"/>
    </row>
    <row r="3141" ht="15" customHeight="1">
      <c r="A3141" t="inlineStr">
        <is>
          <t>A 53-2020</t>
        </is>
      </c>
      <c r="B3141" s="1" t="n">
        <v>43832</v>
      </c>
      <c r="C3141" s="1" t="n">
        <v>45190</v>
      </c>
      <c r="D3141" t="inlineStr">
        <is>
          <t>KALMAR LÄN</t>
        </is>
      </c>
      <c r="E3141" t="inlineStr">
        <is>
          <t>NYBRO</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110-2020</t>
        </is>
      </c>
      <c r="B3142" s="1" t="n">
        <v>43832</v>
      </c>
      <c r="C3142" s="1" t="n">
        <v>45190</v>
      </c>
      <c r="D3142" t="inlineStr">
        <is>
          <t>KALMAR LÄN</t>
        </is>
      </c>
      <c r="E3142" t="inlineStr">
        <is>
          <t>KALMAR</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106-2020</t>
        </is>
      </c>
      <c r="B3143" s="1" t="n">
        <v>43832</v>
      </c>
      <c r="C3143" s="1" t="n">
        <v>45190</v>
      </c>
      <c r="D3143" t="inlineStr">
        <is>
          <t>KALMAR LÄN</t>
        </is>
      </c>
      <c r="E3143" t="inlineStr">
        <is>
          <t>KALMAR</t>
        </is>
      </c>
      <c r="G3143" t="n">
        <v>7.1</v>
      </c>
      <c r="H3143" t="n">
        <v>0</v>
      </c>
      <c r="I3143" t="n">
        <v>0</v>
      </c>
      <c r="J3143" t="n">
        <v>0</v>
      </c>
      <c r="K3143" t="n">
        <v>0</v>
      </c>
      <c r="L3143" t="n">
        <v>0</v>
      </c>
      <c r="M3143" t="n">
        <v>0</v>
      </c>
      <c r="N3143" t="n">
        <v>0</v>
      </c>
      <c r="O3143" t="n">
        <v>0</v>
      </c>
      <c r="P3143" t="n">
        <v>0</v>
      </c>
      <c r="Q3143" t="n">
        <v>0</v>
      </c>
      <c r="R3143" s="2" t="inlineStr"/>
    </row>
    <row r="3144" ht="15" customHeight="1">
      <c r="A3144" t="inlineStr">
        <is>
          <t>A 103-2020</t>
        </is>
      </c>
      <c r="B3144" s="1" t="n">
        <v>43832</v>
      </c>
      <c r="C3144" s="1" t="n">
        <v>45190</v>
      </c>
      <c r="D3144" t="inlineStr">
        <is>
          <t>KALMAR LÄN</t>
        </is>
      </c>
      <c r="E3144" t="inlineStr">
        <is>
          <t>KALMAR</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153-2020</t>
        </is>
      </c>
      <c r="B3145" s="1" t="n">
        <v>43833</v>
      </c>
      <c r="C3145" s="1" t="n">
        <v>45190</v>
      </c>
      <c r="D3145" t="inlineStr">
        <is>
          <t>KALMAR LÄN</t>
        </is>
      </c>
      <c r="E3145" t="inlineStr">
        <is>
          <t>HULTSFRED</t>
        </is>
      </c>
      <c r="F3145" t="inlineStr">
        <is>
          <t>Sveaskog</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156-2020</t>
        </is>
      </c>
      <c r="B3146" s="1" t="n">
        <v>43833</v>
      </c>
      <c r="C3146" s="1" t="n">
        <v>45190</v>
      </c>
      <c r="D3146" t="inlineStr">
        <is>
          <t>KALMAR LÄN</t>
        </is>
      </c>
      <c r="E3146" t="inlineStr">
        <is>
          <t>HULTSFRED</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234-2020</t>
        </is>
      </c>
      <c r="B3147" s="1" t="n">
        <v>43834</v>
      </c>
      <c r="C3147" s="1" t="n">
        <v>45190</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233-2020</t>
        </is>
      </c>
      <c r="B3148" s="1" t="n">
        <v>43834</v>
      </c>
      <c r="C3148" s="1" t="n">
        <v>45190</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245-2020</t>
        </is>
      </c>
      <c r="B3149" s="1" t="n">
        <v>43835</v>
      </c>
      <c r="C3149" s="1" t="n">
        <v>45190</v>
      </c>
      <c r="D3149" t="inlineStr">
        <is>
          <t>KALMAR LÄN</t>
        </is>
      </c>
      <c r="E3149" t="inlineStr">
        <is>
          <t>OSKARSHAMN</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278-2020</t>
        </is>
      </c>
      <c r="B3150" s="1" t="n">
        <v>43837</v>
      </c>
      <c r="C3150" s="1" t="n">
        <v>45190</v>
      </c>
      <c r="D3150" t="inlineStr">
        <is>
          <t>KALMAR LÄN</t>
        </is>
      </c>
      <c r="E3150" t="inlineStr">
        <is>
          <t>HÖGSBY</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512-2020</t>
        </is>
      </c>
      <c r="B3151" s="1" t="n">
        <v>43837</v>
      </c>
      <c r="C3151" s="1" t="n">
        <v>45190</v>
      </c>
      <c r="D3151" t="inlineStr">
        <is>
          <t>KALMAR LÄN</t>
        </is>
      </c>
      <c r="E3151" t="inlineStr">
        <is>
          <t>TORSÅS</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447-2020</t>
        </is>
      </c>
      <c r="B3152" s="1" t="n">
        <v>43837</v>
      </c>
      <c r="C3152" s="1" t="n">
        <v>45190</v>
      </c>
      <c r="D3152" t="inlineStr">
        <is>
          <t>KALMAR LÄN</t>
        </is>
      </c>
      <c r="E3152" t="inlineStr">
        <is>
          <t>VIMMERBY</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483-2020</t>
        </is>
      </c>
      <c r="B3153" s="1" t="n">
        <v>43837</v>
      </c>
      <c r="C3153" s="1" t="n">
        <v>45190</v>
      </c>
      <c r="D3153" t="inlineStr">
        <is>
          <t>KALMAR LÄN</t>
        </is>
      </c>
      <c r="E3153" t="inlineStr">
        <is>
          <t>VÄSTERVIK</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370-2020</t>
        </is>
      </c>
      <c r="B3154" s="1" t="n">
        <v>43837</v>
      </c>
      <c r="C3154" s="1" t="n">
        <v>45190</v>
      </c>
      <c r="D3154" t="inlineStr">
        <is>
          <t>KALMAR LÄN</t>
        </is>
      </c>
      <c r="E3154" t="inlineStr">
        <is>
          <t>OSKARSHAMN</t>
        </is>
      </c>
      <c r="G3154" t="n">
        <v>12.8</v>
      </c>
      <c r="H3154" t="n">
        <v>0</v>
      </c>
      <c r="I3154" t="n">
        <v>0</v>
      </c>
      <c r="J3154" t="n">
        <v>0</v>
      </c>
      <c r="K3154" t="n">
        <v>0</v>
      </c>
      <c r="L3154" t="n">
        <v>0</v>
      </c>
      <c r="M3154" t="n">
        <v>0</v>
      </c>
      <c r="N3154" t="n">
        <v>0</v>
      </c>
      <c r="O3154" t="n">
        <v>0</v>
      </c>
      <c r="P3154" t="n">
        <v>0</v>
      </c>
      <c r="Q3154" t="n">
        <v>0</v>
      </c>
      <c r="R3154" s="2" t="inlineStr"/>
    </row>
    <row r="3155" ht="15" customHeight="1">
      <c r="A3155" t="inlineStr">
        <is>
          <t>A 524-2020</t>
        </is>
      </c>
      <c r="B3155" s="1" t="n">
        <v>43837</v>
      </c>
      <c r="C3155" s="1" t="n">
        <v>45190</v>
      </c>
      <c r="D3155" t="inlineStr">
        <is>
          <t>KALMAR LÄN</t>
        </is>
      </c>
      <c r="E3155" t="inlineStr">
        <is>
          <t>NYBRO</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655-2020</t>
        </is>
      </c>
      <c r="B3156" s="1" t="n">
        <v>43838</v>
      </c>
      <c r="C3156" s="1" t="n">
        <v>45190</v>
      </c>
      <c r="D3156" t="inlineStr">
        <is>
          <t>KALMAR LÄN</t>
        </is>
      </c>
      <c r="E3156" t="inlineStr">
        <is>
          <t>HULTSFRED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776-2020</t>
        </is>
      </c>
      <c r="B3157" s="1" t="n">
        <v>43838</v>
      </c>
      <c r="C3157" s="1" t="n">
        <v>45190</v>
      </c>
      <c r="D3157" t="inlineStr">
        <is>
          <t>KALMAR LÄN</t>
        </is>
      </c>
      <c r="E3157" t="inlineStr">
        <is>
          <t>VÄSTERVIK</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1989-2020</t>
        </is>
      </c>
      <c r="B3158" s="1" t="n">
        <v>43838</v>
      </c>
      <c r="C3158" s="1" t="n">
        <v>45190</v>
      </c>
      <c r="D3158" t="inlineStr">
        <is>
          <t>KALMAR LÄN</t>
        </is>
      </c>
      <c r="E3158" t="inlineStr">
        <is>
          <t>VÄSTERVIK</t>
        </is>
      </c>
      <c r="G3158" t="n">
        <v>3.7</v>
      </c>
      <c r="H3158" t="n">
        <v>0</v>
      </c>
      <c r="I3158" t="n">
        <v>0</v>
      </c>
      <c r="J3158" t="n">
        <v>0</v>
      </c>
      <c r="K3158" t="n">
        <v>0</v>
      </c>
      <c r="L3158" t="n">
        <v>0</v>
      </c>
      <c r="M3158" t="n">
        <v>0</v>
      </c>
      <c r="N3158" t="n">
        <v>0</v>
      </c>
      <c r="O3158" t="n">
        <v>0</v>
      </c>
      <c r="P3158" t="n">
        <v>0</v>
      </c>
      <c r="Q3158" t="n">
        <v>0</v>
      </c>
      <c r="R3158" s="2" t="inlineStr"/>
    </row>
    <row r="3159" ht="15" customHeight="1">
      <c r="A3159" t="inlineStr">
        <is>
          <t>A 593-2020</t>
        </is>
      </c>
      <c r="B3159" s="1" t="n">
        <v>43838</v>
      </c>
      <c r="C3159" s="1" t="n">
        <v>45190</v>
      </c>
      <c r="D3159" t="inlineStr">
        <is>
          <t>KALMAR LÄN</t>
        </is>
      </c>
      <c r="E3159" t="inlineStr">
        <is>
          <t>VIMMERBY</t>
        </is>
      </c>
      <c r="G3159" t="n">
        <v>2</v>
      </c>
      <c r="H3159" t="n">
        <v>0</v>
      </c>
      <c r="I3159" t="n">
        <v>0</v>
      </c>
      <c r="J3159" t="n">
        <v>0</v>
      </c>
      <c r="K3159" t="n">
        <v>0</v>
      </c>
      <c r="L3159" t="n">
        <v>0</v>
      </c>
      <c r="M3159" t="n">
        <v>0</v>
      </c>
      <c r="N3159" t="n">
        <v>0</v>
      </c>
      <c r="O3159" t="n">
        <v>0</v>
      </c>
      <c r="P3159" t="n">
        <v>0</v>
      </c>
      <c r="Q3159" t="n">
        <v>0</v>
      </c>
      <c r="R3159" s="2" t="inlineStr"/>
    </row>
    <row r="3160" ht="15" customHeight="1">
      <c r="A3160" t="inlineStr">
        <is>
          <t>A 863-2020</t>
        </is>
      </c>
      <c r="B3160" s="1" t="n">
        <v>43839</v>
      </c>
      <c r="C3160" s="1" t="n">
        <v>45190</v>
      </c>
      <c r="D3160" t="inlineStr">
        <is>
          <t>KALMAR LÄN</t>
        </is>
      </c>
      <c r="E3160" t="inlineStr">
        <is>
          <t>HÖGSBY</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825-2020</t>
        </is>
      </c>
      <c r="B3161" s="1" t="n">
        <v>43839</v>
      </c>
      <c r="C3161" s="1" t="n">
        <v>45190</v>
      </c>
      <c r="D3161" t="inlineStr">
        <is>
          <t>KALMAR LÄN</t>
        </is>
      </c>
      <c r="E3161" t="inlineStr">
        <is>
          <t>NYBRO</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1149-2020</t>
        </is>
      </c>
      <c r="B3162" s="1" t="n">
        <v>43840</v>
      </c>
      <c r="C3162" s="1" t="n">
        <v>45190</v>
      </c>
      <c r="D3162" t="inlineStr">
        <is>
          <t>KALMAR LÄN</t>
        </is>
      </c>
      <c r="E3162" t="inlineStr">
        <is>
          <t>EMMABODA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1308-2020</t>
        </is>
      </c>
      <c r="B3163" s="1" t="n">
        <v>43840</v>
      </c>
      <c r="C3163" s="1" t="n">
        <v>45190</v>
      </c>
      <c r="D3163" t="inlineStr">
        <is>
          <t>KALMAR LÄN</t>
        </is>
      </c>
      <c r="E3163" t="inlineStr">
        <is>
          <t>OSKARSHAMN</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1071-2020</t>
        </is>
      </c>
      <c r="B3164" s="1" t="n">
        <v>43840</v>
      </c>
      <c r="C3164" s="1" t="n">
        <v>45190</v>
      </c>
      <c r="D3164" t="inlineStr">
        <is>
          <t>KALMAR LÄN</t>
        </is>
      </c>
      <c r="E3164" t="inlineStr">
        <is>
          <t>NYBRO</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1095-2020</t>
        </is>
      </c>
      <c r="B3165" s="1" t="n">
        <v>43840</v>
      </c>
      <c r="C3165" s="1" t="n">
        <v>45190</v>
      </c>
      <c r="D3165" t="inlineStr">
        <is>
          <t>KALMAR LÄN</t>
        </is>
      </c>
      <c r="E3165" t="inlineStr">
        <is>
          <t>TORSÅS</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1125-2020</t>
        </is>
      </c>
      <c r="B3166" s="1" t="n">
        <v>43840</v>
      </c>
      <c r="C3166" s="1" t="n">
        <v>45190</v>
      </c>
      <c r="D3166" t="inlineStr">
        <is>
          <t>KALMAR LÄN</t>
        </is>
      </c>
      <c r="E3166" t="inlineStr">
        <is>
          <t>TORSÅS</t>
        </is>
      </c>
      <c r="G3166" t="n">
        <v>13.2</v>
      </c>
      <c r="H3166" t="n">
        <v>0</v>
      </c>
      <c r="I3166" t="n">
        <v>0</v>
      </c>
      <c r="J3166" t="n">
        <v>0</v>
      </c>
      <c r="K3166" t="n">
        <v>0</v>
      </c>
      <c r="L3166" t="n">
        <v>0</v>
      </c>
      <c r="M3166" t="n">
        <v>0</v>
      </c>
      <c r="N3166" t="n">
        <v>0</v>
      </c>
      <c r="O3166" t="n">
        <v>0</v>
      </c>
      <c r="P3166" t="n">
        <v>0</v>
      </c>
      <c r="Q3166" t="n">
        <v>0</v>
      </c>
      <c r="R3166" s="2" t="inlineStr"/>
    </row>
    <row r="3167" ht="15" customHeight="1">
      <c r="A3167" t="inlineStr">
        <is>
          <t>A 1156-2020</t>
        </is>
      </c>
      <c r="B3167" s="1" t="n">
        <v>43840</v>
      </c>
      <c r="C3167" s="1" t="n">
        <v>45190</v>
      </c>
      <c r="D3167" t="inlineStr">
        <is>
          <t>KALMAR LÄN</t>
        </is>
      </c>
      <c r="E3167" t="inlineStr">
        <is>
          <t>EMMABODA</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2460-2020</t>
        </is>
      </c>
      <c r="B3168" s="1" t="n">
        <v>43840</v>
      </c>
      <c r="C3168" s="1" t="n">
        <v>45190</v>
      </c>
      <c r="D3168" t="inlineStr">
        <is>
          <t>KALMAR LÄN</t>
        </is>
      </c>
      <c r="E3168" t="inlineStr">
        <is>
          <t>KALMAR</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1073-2020</t>
        </is>
      </c>
      <c r="B3169" s="1" t="n">
        <v>43840</v>
      </c>
      <c r="C3169" s="1" t="n">
        <v>45190</v>
      </c>
      <c r="D3169" t="inlineStr">
        <is>
          <t>KALMAR LÄN</t>
        </is>
      </c>
      <c r="E3169" t="inlineStr">
        <is>
          <t>NYBRO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1147-2020</t>
        </is>
      </c>
      <c r="B3170" s="1" t="n">
        <v>43840</v>
      </c>
      <c r="C3170" s="1" t="n">
        <v>45190</v>
      </c>
      <c r="D3170" t="inlineStr">
        <is>
          <t>KALMAR LÄN</t>
        </is>
      </c>
      <c r="E3170" t="inlineStr">
        <is>
          <t>EMMABODA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1072-2020</t>
        </is>
      </c>
      <c r="B3171" s="1" t="n">
        <v>43840</v>
      </c>
      <c r="C3171" s="1" t="n">
        <v>45190</v>
      </c>
      <c r="D3171" t="inlineStr">
        <is>
          <t>KALMAR LÄN</t>
        </is>
      </c>
      <c r="E3171" t="inlineStr">
        <is>
          <t>NYBRO</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2473-2020</t>
        </is>
      </c>
      <c r="B3172" s="1" t="n">
        <v>43840</v>
      </c>
      <c r="C3172" s="1" t="n">
        <v>45190</v>
      </c>
      <c r="D3172" t="inlineStr">
        <is>
          <t>KALMAR LÄN</t>
        </is>
      </c>
      <c r="E3172" t="inlineStr">
        <is>
          <t>VIMMERBY</t>
        </is>
      </c>
      <c r="G3172" t="n">
        <v>4.5</v>
      </c>
      <c r="H3172" t="n">
        <v>0</v>
      </c>
      <c r="I3172" t="n">
        <v>0</v>
      </c>
      <c r="J3172" t="n">
        <v>0</v>
      </c>
      <c r="K3172" t="n">
        <v>0</v>
      </c>
      <c r="L3172" t="n">
        <v>0</v>
      </c>
      <c r="M3172" t="n">
        <v>0</v>
      </c>
      <c r="N3172" t="n">
        <v>0</v>
      </c>
      <c r="O3172" t="n">
        <v>0</v>
      </c>
      <c r="P3172" t="n">
        <v>0</v>
      </c>
      <c r="Q3172" t="n">
        <v>0</v>
      </c>
      <c r="R3172" s="2" t="inlineStr"/>
    </row>
    <row r="3173" ht="15" customHeight="1">
      <c r="A3173" t="inlineStr">
        <is>
          <t>A 1301-2020</t>
        </is>
      </c>
      <c r="B3173" s="1" t="n">
        <v>43842</v>
      </c>
      <c r="C3173" s="1" t="n">
        <v>45190</v>
      </c>
      <c r="D3173" t="inlineStr">
        <is>
          <t>KALMAR LÄN</t>
        </is>
      </c>
      <c r="E3173" t="inlineStr">
        <is>
          <t>HULTSFRED</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1479-2020</t>
        </is>
      </c>
      <c r="B3174" s="1" t="n">
        <v>43843</v>
      </c>
      <c r="C3174" s="1" t="n">
        <v>45190</v>
      </c>
      <c r="D3174" t="inlineStr">
        <is>
          <t>KALMAR LÄN</t>
        </is>
      </c>
      <c r="E3174" t="inlineStr">
        <is>
          <t>NYBRO</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1492-2020</t>
        </is>
      </c>
      <c r="B3175" s="1" t="n">
        <v>43843</v>
      </c>
      <c r="C3175" s="1" t="n">
        <v>45190</v>
      </c>
      <c r="D3175" t="inlineStr">
        <is>
          <t>KALMAR LÄN</t>
        </is>
      </c>
      <c r="E3175" t="inlineStr">
        <is>
          <t>EMMABODA</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1536-2020</t>
        </is>
      </c>
      <c r="B3176" s="1" t="n">
        <v>43843</v>
      </c>
      <c r="C3176" s="1" t="n">
        <v>45190</v>
      </c>
      <c r="D3176" t="inlineStr">
        <is>
          <t>KALMAR LÄN</t>
        </is>
      </c>
      <c r="E3176" t="inlineStr">
        <is>
          <t>OSKARSHAMN</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1342-2020</t>
        </is>
      </c>
      <c r="B3177" s="1" t="n">
        <v>43843</v>
      </c>
      <c r="C3177" s="1" t="n">
        <v>45190</v>
      </c>
      <c r="D3177" t="inlineStr">
        <is>
          <t>KALMAR LÄN</t>
        </is>
      </c>
      <c r="E3177" t="inlineStr">
        <is>
          <t>NYBRO</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1537-2020</t>
        </is>
      </c>
      <c r="B3178" s="1" t="n">
        <v>43843</v>
      </c>
      <c r="C3178" s="1" t="n">
        <v>45190</v>
      </c>
      <c r="D3178" t="inlineStr">
        <is>
          <t>KALMAR LÄN</t>
        </is>
      </c>
      <c r="E3178" t="inlineStr">
        <is>
          <t>OSKARSHAMN</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1488-2020</t>
        </is>
      </c>
      <c r="B3179" s="1" t="n">
        <v>43843</v>
      </c>
      <c r="C3179" s="1" t="n">
        <v>45190</v>
      </c>
      <c r="D3179" t="inlineStr">
        <is>
          <t>KALMAR LÄN</t>
        </is>
      </c>
      <c r="E3179" t="inlineStr">
        <is>
          <t>NYBRO</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1539-2020</t>
        </is>
      </c>
      <c r="B3180" s="1" t="n">
        <v>43843</v>
      </c>
      <c r="C3180" s="1" t="n">
        <v>45190</v>
      </c>
      <c r="D3180" t="inlineStr">
        <is>
          <t>KALMAR LÄN</t>
        </is>
      </c>
      <c r="E3180" t="inlineStr">
        <is>
          <t>HULTSFRED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1853-2020</t>
        </is>
      </c>
      <c r="B3181" s="1" t="n">
        <v>43844</v>
      </c>
      <c r="C3181" s="1" t="n">
        <v>45190</v>
      </c>
      <c r="D3181" t="inlineStr">
        <is>
          <t>KALMAR LÄN</t>
        </is>
      </c>
      <c r="E3181" t="inlineStr">
        <is>
          <t>KALMAR</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2070-2020</t>
        </is>
      </c>
      <c r="B3182" s="1" t="n">
        <v>43845</v>
      </c>
      <c r="C3182" s="1" t="n">
        <v>45190</v>
      </c>
      <c r="D3182" t="inlineStr">
        <is>
          <t>KALMAR LÄN</t>
        </is>
      </c>
      <c r="E3182" t="inlineStr">
        <is>
          <t>VIMMERBY</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1967-2020</t>
        </is>
      </c>
      <c r="B3183" s="1" t="n">
        <v>43845</v>
      </c>
      <c r="C3183" s="1" t="n">
        <v>45190</v>
      </c>
      <c r="D3183" t="inlineStr">
        <is>
          <t>KALMAR LÄN</t>
        </is>
      </c>
      <c r="E3183" t="inlineStr">
        <is>
          <t>VIMMERBY</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3434-2020</t>
        </is>
      </c>
      <c r="B3184" s="1" t="n">
        <v>43845</v>
      </c>
      <c r="C3184" s="1" t="n">
        <v>45190</v>
      </c>
      <c r="D3184" t="inlineStr">
        <is>
          <t>KALMAR LÄN</t>
        </is>
      </c>
      <c r="E3184" t="inlineStr">
        <is>
          <t>VIMMERBY</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2140-2020</t>
        </is>
      </c>
      <c r="B3185" s="1" t="n">
        <v>43846</v>
      </c>
      <c r="C3185" s="1" t="n">
        <v>45190</v>
      </c>
      <c r="D3185" t="inlineStr">
        <is>
          <t>KALMAR LÄN</t>
        </is>
      </c>
      <c r="E3185" t="inlineStr">
        <is>
          <t>KALMAR</t>
        </is>
      </c>
      <c r="G3185" t="n">
        <v>5.1</v>
      </c>
      <c r="H3185" t="n">
        <v>0</v>
      </c>
      <c r="I3185" t="n">
        <v>0</v>
      </c>
      <c r="J3185" t="n">
        <v>0</v>
      </c>
      <c r="K3185" t="n">
        <v>0</v>
      </c>
      <c r="L3185" t="n">
        <v>0</v>
      </c>
      <c r="M3185" t="n">
        <v>0</v>
      </c>
      <c r="N3185" t="n">
        <v>0</v>
      </c>
      <c r="O3185" t="n">
        <v>0</v>
      </c>
      <c r="P3185" t="n">
        <v>0</v>
      </c>
      <c r="Q3185" t="n">
        <v>0</v>
      </c>
      <c r="R3185" s="2" t="inlineStr"/>
    </row>
    <row r="3186" ht="15" customHeight="1">
      <c r="A3186" t="inlineStr">
        <is>
          <t>A 2206-2020</t>
        </is>
      </c>
      <c r="B3186" s="1" t="n">
        <v>43846</v>
      </c>
      <c r="C3186" s="1" t="n">
        <v>45190</v>
      </c>
      <c r="D3186" t="inlineStr">
        <is>
          <t>KALMAR LÄN</t>
        </is>
      </c>
      <c r="E3186" t="inlineStr">
        <is>
          <t>NYBRO</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2345-2020</t>
        </is>
      </c>
      <c r="B3187" s="1" t="n">
        <v>43846</v>
      </c>
      <c r="C3187" s="1" t="n">
        <v>45190</v>
      </c>
      <c r="D3187" t="inlineStr">
        <is>
          <t>KALMAR LÄN</t>
        </is>
      </c>
      <c r="E3187" t="inlineStr">
        <is>
          <t>KALMAR</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2130-2020</t>
        </is>
      </c>
      <c r="B3188" s="1" t="n">
        <v>43846</v>
      </c>
      <c r="C3188" s="1" t="n">
        <v>45190</v>
      </c>
      <c r="D3188" t="inlineStr">
        <is>
          <t>KALMAR LÄN</t>
        </is>
      </c>
      <c r="E3188" t="inlineStr">
        <is>
          <t>OSKARSHAMN</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2343-2020</t>
        </is>
      </c>
      <c r="B3189" s="1" t="n">
        <v>43846</v>
      </c>
      <c r="C3189" s="1" t="n">
        <v>45190</v>
      </c>
      <c r="D3189" t="inlineStr">
        <is>
          <t>KALMAR LÄN</t>
        </is>
      </c>
      <c r="E3189" t="inlineStr">
        <is>
          <t>TORSÅS</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2196-2020</t>
        </is>
      </c>
      <c r="B3190" s="1" t="n">
        <v>43846</v>
      </c>
      <c r="C3190" s="1" t="n">
        <v>45190</v>
      </c>
      <c r="D3190" t="inlineStr">
        <is>
          <t>KALMAR LÄN</t>
        </is>
      </c>
      <c r="E3190" t="inlineStr">
        <is>
          <t>NYBRO</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2210-2020</t>
        </is>
      </c>
      <c r="B3191" s="1" t="n">
        <v>43846</v>
      </c>
      <c r="C3191" s="1" t="n">
        <v>45190</v>
      </c>
      <c r="D3191" t="inlineStr">
        <is>
          <t>KALMAR LÄN</t>
        </is>
      </c>
      <c r="E3191" t="inlineStr">
        <is>
          <t>NYBRO</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2400-2020</t>
        </is>
      </c>
      <c r="B3192" s="1" t="n">
        <v>43847</v>
      </c>
      <c r="C3192" s="1" t="n">
        <v>45190</v>
      </c>
      <c r="D3192" t="inlineStr">
        <is>
          <t>KALMAR LÄN</t>
        </is>
      </c>
      <c r="E3192" t="inlineStr">
        <is>
          <t>NYBRO</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2579-2020</t>
        </is>
      </c>
      <c r="B3193" s="1" t="n">
        <v>43847</v>
      </c>
      <c r="C3193" s="1" t="n">
        <v>45190</v>
      </c>
      <c r="D3193" t="inlineStr">
        <is>
          <t>KALMAR LÄN</t>
        </is>
      </c>
      <c r="E3193" t="inlineStr">
        <is>
          <t>HÖGSBY</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2463-2020</t>
        </is>
      </c>
      <c r="B3194" s="1" t="n">
        <v>43847</v>
      </c>
      <c r="C3194" s="1" t="n">
        <v>45190</v>
      </c>
      <c r="D3194" t="inlineStr">
        <is>
          <t>KALMAR LÄN</t>
        </is>
      </c>
      <c r="E3194" t="inlineStr">
        <is>
          <t>HULTSFRED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2494-2020</t>
        </is>
      </c>
      <c r="B3195" s="1" t="n">
        <v>43847</v>
      </c>
      <c r="C3195" s="1" t="n">
        <v>45190</v>
      </c>
      <c r="D3195" t="inlineStr">
        <is>
          <t>KALMAR LÄN</t>
        </is>
      </c>
      <c r="E3195" t="inlineStr">
        <is>
          <t>VÄSTERVIK</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4232-2020</t>
        </is>
      </c>
      <c r="B3196" s="1" t="n">
        <v>43847</v>
      </c>
      <c r="C3196" s="1" t="n">
        <v>45190</v>
      </c>
      <c r="D3196" t="inlineStr">
        <is>
          <t>KALMAR LÄN</t>
        </is>
      </c>
      <c r="E3196" t="inlineStr">
        <is>
          <t>HULTSFRED</t>
        </is>
      </c>
      <c r="G3196" t="n">
        <v>3.2</v>
      </c>
      <c r="H3196" t="n">
        <v>0</v>
      </c>
      <c r="I3196" t="n">
        <v>0</v>
      </c>
      <c r="J3196" t="n">
        <v>0</v>
      </c>
      <c r="K3196" t="n">
        <v>0</v>
      </c>
      <c r="L3196" t="n">
        <v>0</v>
      </c>
      <c r="M3196" t="n">
        <v>0</v>
      </c>
      <c r="N3196" t="n">
        <v>0</v>
      </c>
      <c r="O3196" t="n">
        <v>0</v>
      </c>
      <c r="P3196" t="n">
        <v>0</v>
      </c>
      <c r="Q3196" t="n">
        <v>0</v>
      </c>
      <c r="R3196" s="2" t="inlineStr"/>
    </row>
    <row r="3197" ht="15" customHeight="1">
      <c r="A3197" t="inlineStr">
        <is>
          <t>A 4394-2020</t>
        </is>
      </c>
      <c r="B3197" s="1" t="n">
        <v>43847</v>
      </c>
      <c r="C3197" s="1" t="n">
        <v>45190</v>
      </c>
      <c r="D3197" t="inlineStr">
        <is>
          <t>KALMAR LÄN</t>
        </is>
      </c>
      <c r="E3197" t="inlineStr">
        <is>
          <t>NYBRO</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2504-2020</t>
        </is>
      </c>
      <c r="B3198" s="1" t="n">
        <v>43847</v>
      </c>
      <c r="C3198" s="1" t="n">
        <v>45190</v>
      </c>
      <c r="D3198" t="inlineStr">
        <is>
          <t>KALMAR LÄN</t>
        </is>
      </c>
      <c r="E3198" t="inlineStr">
        <is>
          <t>HULTSFRED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4236-2020</t>
        </is>
      </c>
      <c r="B3199" s="1" t="n">
        <v>43847</v>
      </c>
      <c r="C3199" s="1" t="n">
        <v>45190</v>
      </c>
      <c r="D3199" t="inlineStr">
        <is>
          <t>KALMAR LÄN</t>
        </is>
      </c>
      <c r="E3199" t="inlineStr">
        <is>
          <t>HULTSFRED</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2865-2020</t>
        </is>
      </c>
      <c r="B3200" s="1" t="n">
        <v>43850</v>
      </c>
      <c r="C3200" s="1" t="n">
        <v>45190</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2898-2020</t>
        </is>
      </c>
      <c r="B3201" s="1" t="n">
        <v>43850</v>
      </c>
      <c r="C3201" s="1" t="n">
        <v>45190</v>
      </c>
      <c r="D3201" t="inlineStr">
        <is>
          <t>KALMAR LÄN</t>
        </is>
      </c>
      <c r="E3201" t="inlineStr">
        <is>
          <t>HULTSFRED</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2856-2020</t>
        </is>
      </c>
      <c r="B3202" s="1" t="n">
        <v>43850</v>
      </c>
      <c r="C3202" s="1" t="n">
        <v>45190</v>
      </c>
      <c r="D3202" t="inlineStr">
        <is>
          <t>KALMAR LÄN</t>
        </is>
      </c>
      <c r="E3202" t="inlineStr">
        <is>
          <t>VIMMERBY</t>
        </is>
      </c>
      <c r="G3202" t="n">
        <v>3.2</v>
      </c>
      <c r="H3202" t="n">
        <v>0</v>
      </c>
      <c r="I3202" t="n">
        <v>0</v>
      </c>
      <c r="J3202" t="n">
        <v>0</v>
      </c>
      <c r="K3202" t="n">
        <v>0</v>
      </c>
      <c r="L3202" t="n">
        <v>0</v>
      </c>
      <c r="M3202" t="n">
        <v>0</v>
      </c>
      <c r="N3202" t="n">
        <v>0</v>
      </c>
      <c r="O3202" t="n">
        <v>0</v>
      </c>
      <c r="P3202" t="n">
        <v>0</v>
      </c>
      <c r="Q3202" t="n">
        <v>0</v>
      </c>
      <c r="R3202" s="2" t="inlineStr"/>
    </row>
    <row r="3203" ht="15" customHeight="1">
      <c r="A3203" t="inlineStr">
        <is>
          <t>A 2860-2020</t>
        </is>
      </c>
      <c r="B3203" s="1" t="n">
        <v>43850</v>
      </c>
      <c r="C3203" s="1" t="n">
        <v>45190</v>
      </c>
      <c r="D3203" t="inlineStr">
        <is>
          <t>KALMAR LÄN</t>
        </is>
      </c>
      <c r="E3203" t="inlineStr">
        <is>
          <t>HULTSFRED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2756-2020</t>
        </is>
      </c>
      <c r="B3204" s="1" t="n">
        <v>43850</v>
      </c>
      <c r="C3204" s="1" t="n">
        <v>45190</v>
      </c>
      <c r="D3204" t="inlineStr">
        <is>
          <t>KALMAR LÄN</t>
        </is>
      </c>
      <c r="E3204" t="inlineStr">
        <is>
          <t>VIMMERBY</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4489-2020</t>
        </is>
      </c>
      <c r="B3205" s="1" t="n">
        <v>43850</v>
      </c>
      <c r="C3205" s="1" t="n">
        <v>45190</v>
      </c>
      <c r="D3205" t="inlineStr">
        <is>
          <t>KALMAR LÄN</t>
        </is>
      </c>
      <c r="E3205" t="inlineStr">
        <is>
          <t>NYBRO</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3061-2020</t>
        </is>
      </c>
      <c r="B3206" s="1" t="n">
        <v>43851</v>
      </c>
      <c r="C3206" s="1" t="n">
        <v>45190</v>
      </c>
      <c r="D3206" t="inlineStr">
        <is>
          <t>KALMAR LÄN</t>
        </is>
      </c>
      <c r="E3206" t="inlineStr">
        <is>
          <t>EMMABODA</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3153-2020</t>
        </is>
      </c>
      <c r="B3207" s="1" t="n">
        <v>43851</v>
      </c>
      <c r="C3207" s="1" t="n">
        <v>45190</v>
      </c>
      <c r="D3207" t="inlineStr">
        <is>
          <t>KALMAR LÄN</t>
        </is>
      </c>
      <c r="E3207" t="inlineStr">
        <is>
          <t>OSKARSHAMN</t>
        </is>
      </c>
      <c r="G3207" t="n">
        <v>0</v>
      </c>
      <c r="H3207" t="n">
        <v>0</v>
      </c>
      <c r="I3207" t="n">
        <v>0</v>
      </c>
      <c r="J3207" t="n">
        <v>0</v>
      </c>
      <c r="K3207" t="n">
        <v>0</v>
      </c>
      <c r="L3207" t="n">
        <v>0</v>
      </c>
      <c r="M3207" t="n">
        <v>0</v>
      </c>
      <c r="N3207" t="n">
        <v>0</v>
      </c>
      <c r="O3207" t="n">
        <v>0</v>
      </c>
      <c r="P3207" t="n">
        <v>0</v>
      </c>
      <c r="Q3207" t="n">
        <v>0</v>
      </c>
      <c r="R3207" s="2" t="inlineStr"/>
    </row>
    <row r="3208" ht="15" customHeight="1">
      <c r="A3208" t="inlineStr">
        <is>
          <t>A 3211-2020</t>
        </is>
      </c>
      <c r="B3208" s="1" t="n">
        <v>43851</v>
      </c>
      <c r="C3208" s="1" t="n">
        <v>45190</v>
      </c>
      <c r="D3208" t="inlineStr">
        <is>
          <t>KALMAR LÄN</t>
        </is>
      </c>
      <c r="E3208" t="inlineStr">
        <is>
          <t>VIMMERBY</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3143-2020</t>
        </is>
      </c>
      <c r="B3209" s="1" t="n">
        <v>43851</v>
      </c>
      <c r="C3209" s="1" t="n">
        <v>45190</v>
      </c>
      <c r="D3209" t="inlineStr">
        <is>
          <t>KALMAR LÄN</t>
        </is>
      </c>
      <c r="E3209" t="inlineStr">
        <is>
          <t>OSKARSHAMN</t>
        </is>
      </c>
      <c r="G3209" t="n">
        <v>9.5</v>
      </c>
      <c r="H3209" t="n">
        <v>0</v>
      </c>
      <c r="I3209" t="n">
        <v>0</v>
      </c>
      <c r="J3209" t="n">
        <v>0</v>
      </c>
      <c r="K3209" t="n">
        <v>0</v>
      </c>
      <c r="L3209" t="n">
        <v>0</v>
      </c>
      <c r="M3209" t="n">
        <v>0</v>
      </c>
      <c r="N3209" t="n">
        <v>0</v>
      </c>
      <c r="O3209" t="n">
        <v>0</v>
      </c>
      <c r="P3209" t="n">
        <v>0</v>
      </c>
      <c r="Q3209" t="n">
        <v>0</v>
      </c>
      <c r="R3209" s="2" t="inlineStr"/>
    </row>
    <row r="3210" ht="15" customHeight="1">
      <c r="A3210" t="inlineStr">
        <is>
          <t>A 3151-2020</t>
        </is>
      </c>
      <c r="B3210" s="1" t="n">
        <v>43851</v>
      </c>
      <c r="C3210" s="1" t="n">
        <v>45190</v>
      </c>
      <c r="D3210" t="inlineStr">
        <is>
          <t>KALMAR LÄN</t>
        </is>
      </c>
      <c r="E3210" t="inlineStr">
        <is>
          <t>OSKARSHAMN</t>
        </is>
      </c>
      <c r="G3210" t="n">
        <v>8</v>
      </c>
      <c r="H3210" t="n">
        <v>0</v>
      </c>
      <c r="I3210" t="n">
        <v>0</v>
      </c>
      <c r="J3210" t="n">
        <v>0</v>
      </c>
      <c r="K3210" t="n">
        <v>0</v>
      </c>
      <c r="L3210" t="n">
        <v>0</v>
      </c>
      <c r="M3210" t="n">
        <v>0</v>
      </c>
      <c r="N3210" t="n">
        <v>0</v>
      </c>
      <c r="O3210" t="n">
        <v>0</v>
      </c>
      <c r="P3210" t="n">
        <v>0</v>
      </c>
      <c r="Q3210" t="n">
        <v>0</v>
      </c>
      <c r="R3210" s="2" t="inlineStr"/>
    </row>
    <row r="3211" ht="15" customHeight="1">
      <c r="A3211" t="inlineStr">
        <is>
          <t>A 3148-2020</t>
        </is>
      </c>
      <c r="B3211" s="1" t="n">
        <v>43851</v>
      </c>
      <c r="C3211" s="1" t="n">
        <v>45190</v>
      </c>
      <c r="D3211" t="inlineStr">
        <is>
          <t>KALMAR LÄN</t>
        </is>
      </c>
      <c r="E3211" t="inlineStr">
        <is>
          <t>OSKARSHAMN</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3104-2020</t>
        </is>
      </c>
      <c r="B3212" s="1" t="n">
        <v>43851</v>
      </c>
      <c r="C3212" s="1" t="n">
        <v>45190</v>
      </c>
      <c r="D3212" t="inlineStr">
        <is>
          <t>KALMAR LÄN</t>
        </is>
      </c>
      <c r="E3212" t="inlineStr">
        <is>
          <t>TORSÅS</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3475-2020</t>
        </is>
      </c>
      <c r="B3213" s="1" t="n">
        <v>43852</v>
      </c>
      <c r="C3213" s="1" t="n">
        <v>45190</v>
      </c>
      <c r="D3213" t="inlineStr">
        <is>
          <t>KALMAR LÄN</t>
        </is>
      </c>
      <c r="E3213" t="inlineStr">
        <is>
          <t>NYBRO</t>
        </is>
      </c>
      <c r="G3213" t="n">
        <v>11.8</v>
      </c>
      <c r="H3213" t="n">
        <v>0</v>
      </c>
      <c r="I3213" t="n">
        <v>0</v>
      </c>
      <c r="J3213" t="n">
        <v>0</v>
      </c>
      <c r="K3213" t="n">
        <v>0</v>
      </c>
      <c r="L3213" t="n">
        <v>0</v>
      </c>
      <c r="M3213" t="n">
        <v>0</v>
      </c>
      <c r="N3213" t="n">
        <v>0</v>
      </c>
      <c r="O3213" t="n">
        <v>0</v>
      </c>
      <c r="P3213" t="n">
        <v>0</v>
      </c>
      <c r="Q3213" t="n">
        <v>0</v>
      </c>
      <c r="R3213" s="2" t="inlineStr"/>
    </row>
    <row r="3214" ht="15" customHeight="1">
      <c r="A3214" t="inlineStr">
        <is>
          <t>A 3414-2020</t>
        </is>
      </c>
      <c r="B3214" s="1" t="n">
        <v>43852</v>
      </c>
      <c r="C3214" s="1" t="n">
        <v>45190</v>
      </c>
      <c r="D3214" t="inlineStr">
        <is>
          <t>KALMAR LÄN</t>
        </is>
      </c>
      <c r="E3214" t="inlineStr">
        <is>
          <t>VIMMERBY</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3476-2020</t>
        </is>
      </c>
      <c r="B3215" s="1" t="n">
        <v>43852</v>
      </c>
      <c r="C3215" s="1" t="n">
        <v>45190</v>
      </c>
      <c r="D3215" t="inlineStr">
        <is>
          <t>KALMAR LÄN</t>
        </is>
      </c>
      <c r="E3215" t="inlineStr">
        <is>
          <t>NYBRO</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3546-2020</t>
        </is>
      </c>
      <c r="B3216" s="1" t="n">
        <v>43853</v>
      </c>
      <c r="C3216" s="1" t="n">
        <v>45190</v>
      </c>
      <c r="D3216" t="inlineStr">
        <is>
          <t>KALMAR LÄN</t>
        </is>
      </c>
      <c r="E3216" t="inlineStr">
        <is>
          <t>OSKARSHAMN</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3535-2020</t>
        </is>
      </c>
      <c r="B3217" s="1" t="n">
        <v>43853</v>
      </c>
      <c r="C3217" s="1" t="n">
        <v>45190</v>
      </c>
      <c r="D3217" t="inlineStr">
        <is>
          <t>KALMAR LÄN</t>
        </is>
      </c>
      <c r="E3217" t="inlineStr">
        <is>
          <t>HÖGSBY</t>
        </is>
      </c>
      <c r="G3217" t="n">
        <v>4.3</v>
      </c>
      <c r="H3217" t="n">
        <v>0</v>
      </c>
      <c r="I3217" t="n">
        <v>0</v>
      </c>
      <c r="J3217" t="n">
        <v>0</v>
      </c>
      <c r="K3217" t="n">
        <v>0</v>
      </c>
      <c r="L3217" t="n">
        <v>0</v>
      </c>
      <c r="M3217" t="n">
        <v>0</v>
      </c>
      <c r="N3217" t="n">
        <v>0</v>
      </c>
      <c r="O3217" t="n">
        <v>0</v>
      </c>
      <c r="P3217" t="n">
        <v>0</v>
      </c>
      <c r="Q3217" t="n">
        <v>0</v>
      </c>
      <c r="R3217" s="2" t="inlineStr"/>
    </row>
    <row r="3218" ht="15" customHeight="1">
      <c r="A3218" t="inlineStr">
        <is>
          <t>A 3739-2020</t>
        </is>
      </c>
      <c r="B3218" s="1" t="n">
        <v>43853</v>
      </c>
      <c r="C3218" s="1" t="n">
        <v>45190</v>
      </c>
      <c r="D3218" t="inlineStr">
        <is>
          <t>KALMAR LÄN</t>
        </is>
      </c>
      <c r="E3218" t="inlineStr">
        <is>
          <t>VÄSTERVIK</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5023-2020</t>
        </is>
      </c>
      <c r="B3219" s="1" t="n">
        <v>43853</v>
      </c>
      <c r="C3219" s="1" t="n">
        <v>45190</v>
      </c>
      <c r="D3219" t="inlineStr">
        <is>
          <t>KALMAR LÄN</t>
        </is>
      </c>
      <c r="E3219" t="inlineStr">
        <is>
          <t>EMMABODA</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3636-2020</t>
        </is>
      </c>
      <c r="B3220" s="1" t="n">
        <v>43853</v>
      </c>
      <c r="C3220" s="1" t="n">
        <v>45190</v>
      </c>
      <c r="D3220" t="inlineStr">
        <is>
          <t>KALMAR LÄN</t>
        </is>
      </c>
      <c r="E3220" t="inlineStr">
        <is>
          <t>NYBRO</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3672-2020</t>
        </is>
      </c>
      <c r="B3221" s="1" t="n">
        <v>43853</v>
      </c>
      <c r="C3221" s="1" t="n">
        <v>45190</v>
      </c>
      <c r="D3221" t="inlineStr">
        <is>
          <t>KALMAR LÄN</t>
        </is>
      </c>
      <c r="E3221" t="inlineStr">
        <is>
          <t>VIMMERBY</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5043-2020</t>
        </is>
      </c>
      <c r="B3222" s="1" t="n">
        <v>43853</v>
      </c>
      <c r="C3222" s="1" t="n">
        <v>45190</v>
      </c>
      <c r="D3222" t="inlineStr">
        <is>
          <t>KALMAR LÄN</t>
        </is>
      </c>
      <c r="E3222" t="inlineStr">
        <is>
          <t>VIMMERBY</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5047-2020</t>
        </is>
      </c>
      <c r="B3223" s="1" t="n">
        <v>43853</v>
      </c>
      <c r="C3223" s="1" t="n">
        <v>45190</v>
      </c>
      <c r="D3223" t="inlineStr">
        <is>
          <t>KALMAR LÄN</t>
        </is>
      </c>
      <c r="E3223" t="inlineStr">
        <is>
          <t>VIMMERBY</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3756-2020</t>
        </is>
      </c>
      <c r="B3224" s="1" t="n">
        <v>43854</v>
      </c>
      <c r="C3224" s="1" t="n">
        <v>45190</v>
      </c>
      <c r="D3224" t="inlineStr">
        <is>
          <t>KALMAR LÄN</t>
        </is>
      </c>
      <c r="E3224" t="inlineStr">
        <is>
          <t>EMMABODA</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3934-2020</t>
        </is>
      </c>
      <c r="B3225" s="1" t="n">
        <v>43854</v>
      </c>
      <c r="C3225" s="1" t="n">
        <v>45190</v>
      </c>
      <c r="D3225" t="inlineStr">
        <is>
          <t>KALMAR LÄN</t>
        </is>
      </c>
      <c r="E3225" t="inlineStr">
        <is>
          <t>VÄSTERVIK</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3763-2020</t>
        </is>
      </c>
      <c r="B3226" s="1" t="n">
        <v>43854</v>
      </c>
      <c r="C3226" s="1" t="n">
        <v>45190</v>
      </c>
      <c r="D3226" t="inlineStr">
        <is>
          <t>KALMAR LÄN</t>
        </is>
      </c>
      <c r="E3226" t="inlineStr">
        <is>
          <t>NYBRO</t>
        </is>
      </c>
      <c r="G3226" t="n">
        <v>4.6</v>
      </c>
      <c r="H3226" t="n">
        <v>0</v>
      </c>
      <c r="I3226" t="n">
        <v>0</v>
      </c>
      <c r="J3226" t="n">
        <v>0</v>
      </c>
      <c r="K3226" t="n">
        <v>0</v>
      </c>
      <c r="L3226" t="n">
        <v>0</v>
      </c>
      <c r="M3226" t="n">
        <v>0</v>
      </c>
      <c r="N3226" t="n">
        <v>0</v>
      </c>
      <c r="O3226" t="n">
        <v>0</v>
      </c>
      <c r="P3226" t="n">
        <v>0</v>
      </c>
      <c r="Q3226" t="n">
        <v>0</v>
      </c>
      <c r="R3226" s="2" t="inlineStr"/>
    </row>
    <row r="3227" ht="15" customHeight="1">
      <c r="A3227" t="inlineStr">
        <is>
          <t>A 3761-2020</t>
        </is>
      </c>
      <c r="B3227" s="1" t="n">
        <v>43854</v>
      </c>
      <c r="C3227" s="1" t="n">
        <v>45190</v>
      </c>
      <c r="D3227" t="inlineStr">
        <is>
          <t>KALMAR LÄN</t>
        </is>
      </c>
      <c r="E3227" t="inlineStr">
        <is>
          <t>NYBRO</t>
        </is>
      </c>
      <c r="G3227" t="n">
        <v>4.1</v>
      </c>
      <c r="H3227" t="n">
        <v>0</v>
      </c>
      <c r="I3227" t="n">
        <v>0</v>
      </c>
      <c r="J3227" t="n">
        <v>0</v>
      </c>
      <c r="K3227" t="n">
        <v>0</v>
      </c>
      <c r="L3227" t="n">
        <v>0</v>
      </c>
      <c r="M3227" t="n">
        <v>0</v>
      </c>
      <c r="N3227" t="n">
        <v>0</v>
      </c>
      <c r="O3227" t="n">
        <v>0</v>
      </c>
      <c r="P3227" t="n">
        <v>0</v>
      </c>
      <c r="Q3227" t="n">
        <v>0</v>
      </c>
      <c r="R3227" s="2" t="inlineStr"/>
    </row>
    <row r="3228" ht="15" customHeight="1">
      <c r="A3228" t="inlineStr">
        <is>
          <t>A 3891-2020</t>
        </is>
      </c>
      <c r="B3228" s="1" t="n">
        <v>43854</v>
      </c>
      <c r="C3228" s="1" t="n">
        <v>45190</v>
      </c>
      <c r="D3228" t="inlineStr">
        <is>
          <t>KALMAR LÄN</t>
        </is>
      </c>
      <c r="E3228" t="inlineStr">
        <is>
          <t>MÖNSTERÅS</t>
        </is>
      </c>
      <c r="G3228" t="n">
        <v>14.4</v>
      </c>
      <c r="H3228" t="n">
        <v>0</v>
      </c>
      <c r="I3228" t="n">
        <v>0</v>
      </c>
      <c r="J3228" t="n">
        <v>0</v>
      </c>
      <c r="K3228" t="n">
        <v>0</v>
      </c>
      <c r="L3228" t="n">
        <v>0</v>
      </c>
      <c r="M3228" t="n">
        <v>0</v>
      </c>
      <c r="N3228" t="n">
        <v>0</v>
      </c>
      <c r="O3228" t="n">
        <v>0</v>
      </c>
      <c r="P3228" t="n">
        <v>0</v>
      </c>
      <c r="Q3228" t="n">
        <v>0</v>
      </c>
      <c r="R3228" s="2" t="inlineStr"/>
    </row>
    <row r="3229" ht="15" customHeight="1">
      <c r="A3229" t="inlineStr">
        <is>
          <t>A 4090-2020</t>
        </is>
      </c>
      <c r="B3229" s="1" t="n">
        <v>43854</v>
      </c>
      <c r="C3229" s="1" t="n">
        <v>45190</v>
      </c>
      <c r="D3229" t="inlineStr">
        <is>
          <t>KALMAR LÄN</t>
        </is>
      </c>
      <c r="E3229" t="inlineStr">
        <is>
          <t>HÖGSBY</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5362-2020</t>
        </is>
      </c>
      <c r="B3230" s="1" t="n">
        <v>43857</v>
      </c>
      <c r="C3230" s="1" t="n">
        <v>45190</v>
      </c>
      <c r="D3230" t="inlineStr">
        <is>
          <t>KALMAR LÄN</t>
        </is>
      </c>
      <c r="E3230" t="inlineStr">
        <is>
          <t>VIMMERBY</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4194-2020</t>
        </is>
      </c>
      <c r="B3231" s="1" t="n">
        <v>43857</v>
      </c>
      <c r="C3231" s="1" t="n">
        <v>45190</v>
      </c>
      <c r="D3231" t="inlineStr">
        <is>
          <t>KALMAR LÄN</t>
        </is>
      </c>
      <c r="E3231" t="inlineStr">
        <is>
          <t>VIMMERBY</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4314-2020</t>
        </is>
      </c>
      <c r="B3232" s="1" t="n">
        <v>43857</v>
      </c>
      <c r="C3232" s="1" t="n">
        <v>45190</v>
      </c>
      <c r="D3232" t="inlineStr">
        <is>
          <t>KALMAR LÄN</t>
        </is>
      </c>
      <c r="E3232" t="inlineStr">
        <is>
          <t>TORSÅS</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4465-2020</t>
        </is>
      </c>
      <c r="B3233" s="1" t="n">
        <v>43858</v>
      </c>
      <c r="C3233" s="1" t="n">
        <v>45190</v>
      </c>
      <c r="D3233" t="inlineStr">
        <is>
          <t>KALMAR LÄN</t>
        </is>
      </c>
      <c r="E3233" t="inlineStr">
        <is>
          <t>MÖNSTERÅS</t>
        </is>
      </c>
      <c r="G3233" t="n">
        <v>4.2</v>
      </c>
      <c r="H3233" t="n">
        <v>0</v>
      </c>
      <c r="I3233" t="n">
        <v>0</v>
      </c>
      <c r="J3233" t="n">
        <v>0</v>
      </c>
      <c r="K3233" t="n">
        <v>0</v>
      </c>
      <c r="L3233" t="n">
        <v>0</v>
      </c>
      <c r="M3233" t="n">
        <v>0</v>
      </c>
      <c r="N3233" t="n">
        <v>0</v>
      </c>
      <c r="O3233" t="n">
        <v>0</v>
      </c>
      <c r="P3233" t="n">
        <v>0</v>
      </c>
      <c r="Q3233" t="n">
        <v>0</v>
      </c>
      <c r="R3233" s="2" t="inlineStr"/>
    </row>
    <row r="3234" ht="15" customHeight="1">
      <c r="A3234" t="inlineStr">
        <is>
          <t>A 4687-2020</t>
        </is>
      </c>
      <c r="B3234" s="1" t="n">
        <v>43858</v>
      </c>
      <c r="C3234" s="1" t="n">
        <v>45190</v>
      </c>
      <c r="D3234" t="inlineStr">
        <is>
          <t>KALMAR LÄN</t>
        </is>
      </c>
      <c r="E3234" t="inlineStr">
        <is>
          <t>HULTSFRED</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4486-2020</t>
        </is>
      </c>
      <c r="B3235" s="1" t="n">
        <v>43858</v>
      </c>
      <c r="C3235" s="1" t="n">
        <v>45190</v>
      </c>
      <c r="D3235" t="inlineStr">
        <is>
          <t>KALMAR LÄN</t>
        </is>
      </c>
      <c r="E3235" t="inlineStr">
        <is>
          <t>MÖNSTERÅS</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4510-2020</t>
        </is>
      </c>
      <c r="B3236" s="1" t="n">
        <v>43858</v>
      </c>
      <c r="C3236" s="1" t="n">
        <v>45190</v>
      </c>
      <c r="D3236" t="inlineStr">
        <is>
          <t>KALMAR LÄN</t>
        </is>
      </c>
      <c r="E3236" t="inlineStr">
        <is>
          <t>MÖNSTERÅS</t>
        </is>
      </c>
      <c r="G3236" t="n">
        <v>7.5</v>
      </c>
      <c r="H3236" t="n">
        <v>0</v>
      </c>
      <c r="I3236" t="n">
        <v>0</v>
      </c>
      <c r="J3236" t="n">
        <v>0</v>
      </c>
      <c r="K3236" t="n">
        <v>0</v>
      </c>
      <c r="L3236" t="n">
        <v>0</v>
      </c>
      <c r="M3236" t="n">
        <v>0</v>
      </c>
      <c r="N3236" t="n">
        <v>0</v>
      </c>
      <c r="O3236" t="n">
        <v>0</v>
      </c>
      <c r="P3236" t="n">
        <v>0</v>
      </c>
      <c r="Q3236" t="n">
        <v>0</v>
      </c>
      <c r="R3236" s="2" t="inlineStr"/>
    </row>
    <row r="3237" ht="15" customHeight="1">
      <c r="A3237" t="inlineStr">
        <is>
          <t>A 4653-2020</t>
        </is>
      </c>
      <c r="B3237" s="1" t="n">
        <v>43858</v>
      </c>
      <c r="C3237" s="1" t="n">
        <v>45190</v>
      </c>
      <c r="D3237" t="inlineStr">
        <is>
          <t>KALMAR LÄN</t>
        </is>
      </c>
      <c r="E3237" t="inlineStr">
        <is>
          <t>OSKARSHAMN</t>
        </is>
      </c>
      <c r="G3237" t="n">
        <v>3</v>
      </c>
      <c r="H3237" t="n">
        <v>0</v>
      </c>
      <c r="I3237" t="n">
        <v>0</v>
      </c>
      <c r="J3237" t="n">
        <v>0</v>
      </c>
      <c r="K3237" t="n">
        <v>0</v>
      </c>
      <c r="L3237" t="n">
        <v>0</v>
      </c>
      <c r="M3237" t="n">
        <v>0</v>
      </c>
      <c r="N3237" t="n">
        <v>0</v>
      </c>
      <c r="O3237" t="n">
        <v>0</v>
      </c>
      <c r="P3237" t="n">
        <v>0</v>
      </c>
      <c r="Q3237" t="n">
        <v>0</v>
      </c>
      <c r="R3237" s="2" t="inlineStr"/>
    </row>
    <row r="3238" ht="15" customHeight="1">
      <c r="A3238" t="inlineStr">
        <is>
          <t>A 4689-2020</t>
        </is>
      </c>
      <c r="B3238" s="1" t="n">
        <v>43858</v>
      </c>
      <c r="C3238" s="1" t="n">
        <v>45190</v>
      </c>
      <c r="D3238" t="inlineStr">
        <is>
          <t>KALMAR LÄN</t>
        </is>
      </c>
      <c r="E3238" t="inlineStr">
        <is>
          <t>HULTSFRED</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5461-2020</t>
        </is>
      </c>
      <c r="B3239" s="1" t="n">
        <v>43858</v>
      </c>
      <c r="C3239" s="1" t="n">
        <v>45190</v>
      </c>
      <c r="D3239" t="inlineStr">
        <is>
          <t>KALMAR LÄN</t>
        </is>
      </c>
      <c r="E3239" t="inlineStr">
        <is>
          <t>EMMABODA</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5483-2020</t>
        </is>
      </c>
      <c r="B3240" s="1" t="n">
        <v>43858</v>
      </c>
      <c r="C3240" s="1" t="n">
        <v>45190</v>
      </c>
      <c r="D3240" t="inlineStr">
        <is>
          <t>KALMAR LÄN</t>
        </is>
      </c>
      <c r="E3240" t="inlineStr">
        <is>
          <t>EMMABODA</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4472-2020</t>
        </is>
      </c>
      <c r="B3241" s="1" t="n">
        <v>43858</v>
      </c>
      <c r="C3241" s="1" t="n">
        <v>45190</v>
      </c>
      <c r="D3241" t="inlineStr">
        <is>
          <t>KALMAR LÄN</t>
        </is>
      </c>
      <c r="E3241" t="inlineStr">
        <is>
          <t>VIMMERBY</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5444-2020</t>
        </is>
      </c>
      <c r="B3242" s="1" t="n">
        <v>43859</v>
      </c>
      <c r="C3242" s="1" t="n">
        <v>45190</v>
      </c>
      <c r="D3242" t="inlineStr">
        <is>
          <t>KALMAR LÄN</t>
        </is>
      </c>
      <c r="E3242" t="inlineStr">
        <is>
          <t>NYBRO</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4939-2020</t>
        </is>
      </c>
      <c r="B3243" s="1" t="n">
        <v>43859</v>
      </c>
      <c r="C3243" s="1" t="n">
        <v>45190</v>
      </c>
      <c r="D3243" t="inlineStr">
        <is>
          <t>KALMAR LÄN</t>
        </is>
      </c>
      <c r="E3243" t="inlineStr">
        <is>
          <t>VÄSTERVIK</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4992-2020</t>
        </is>
      </c>
      <c r="B3244" s="1" t="n">
        <v>43859</v>
      </c>
      <c r="C3244" s="1" t="n">
        <v>45190</v>
      </c>
      <c r="D3244" t="inlineStr">
        <is>
          <t>KALMAR LÄN</t>
        </is>
      </c>
      <c r="E3244" t="inlineStr">
        <is>
          <t>VÄSTERVIK</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5027-2020</t>
        </is>
      </c>
      <c r="B3245" s="1" t="n">
        <v>43859</v>
      </c>
      <c r="C3245" s="1" t="n">
        <v>45190</v>
      </c>
      <c r="D3245" t="inlineStr">
        <is>
          <t>KALMAR LÄN</t>
        </is>
      </c>
      <c r="E3245" t="inlineStr">
        <is>
          <t>KALMAR</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5040-2020</t>
        </is>
      </c>
      <c r="B3246" s="1" t="n">
        <v>43859</v>
      </c>
      <c r="C3246" s="1" t="n">
        <v>45190</v>
      </c>
      <c r="D3246" t="inlineStr">
        <is>
          <t>KALMAR LÄN</t>
        </is>
      </c>
      <c r="E3246" t="inlineStr">
        <is>
          <t>OSKARSHAMN</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4792-2020</t>
        </is>
      </c>
      <c r="B3247" s="1" t="n">
        <v>43859</v>
      </c>
      <c r="C3247" s="1" t="n">
        <v>45190</v>
      </c>
      <c r="D3247" t="inlineStr">
        <is>
          <t>KALMAR LÄN</t>
        </is>
      </c>
      <c r="E3247" t="inlineStr">
        <is>
          <t>EMMABODA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4954-2020</t>
        </is>
      </c>
      <c r="B3248" s="1" t="n">
        <v>43859</v>
      </c>
      <c r="C3248" s="1" t="n">
        <v>45190</v>
      </c>
      <c r="D3248" t="inlineStr">
        <is>
          <t>KALMAR LÄN</t>
        </is>
      </c>
      <c r="E3248" t="inlineStr">
        <is>
          <t>VÄSTERVIK</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4786-2020</t>
        </is>
      </c>
      <c r="B3249" s="1" t="n">
        <v>43859</v>
      </c>
      <c r="C3249" s="1" t="n">
        <v>45190</v>
      </c>
      <c r="D3249" t="inlineStr">
        <is>
          <t>KALMAR LÄN</t>
        </is>
      </c>
      <c r="E3249" t="inlineStr">
        <is>
          <t>VÄSTERVIK</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4935-2020</t>
        </is>
      </c>
      <c r="B3250" s="1" t="n">
        <v>43859</v>
      </c>
      <c r="C3250" s="1" t="n">
        <v>45190</v>
      </c>
      <c r="D3250" t="inlineStr">
        <is>
          <t>KALMAR LÄN</t>
        </is>
      </c>
      <c r="E3250" t="inlineStr">
        <is>
          <t>EMMABODA</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5448-2020</t>
        </is>
      </c>
      <c r="B3251" s="1" t="n">
        <v>43859</v>
      </c>
      <c r="C3251" s="1" t="n">
        <v>45190</v>
      </c>
      <c r="D3251" t="inlineStr">
        <is>
          <t>KALMAR LÄN</t>
        </is>
      </c>
      <c r="E3251" t="inlineStr">
        <is>
          <t>MÖNSTERÅS</t>
        </is>
      </c>
      <c r="G3251" t="n">
        <v>3.3</v>
      </c>
      <c r="H3251" t="n">
        <v>0</v>
      </c>
      <c r="I3251" t="n">
        <v>0</v>
      </c>
      <c r="J3251" t="n">
        <v>0</v>
      </c>
      <c r="K3251" t="n">
        <v>0</v>
      </c>
      <c r="L3251" t="n">
        <v>0</v>
      </c>
      <c r="M3251" t="n">
        <v>0</v>
      </c>
      <c r="N3251" t="n">
        <v>0</v>
      </c>
      <c r="O3251" t="n">
        <v>0</v>
      </c>
      <c r="P3251" t="n">
        <v>0</v>
      </c>
      <c r="Q3251" t="n">
        <v>0</v>
      </c>
      <c r="R3251" s="2" t="inlineStr"/>
    </row>
    <row r="3252" ht="15" customHeight="1">
      <c r="A3252" t="inlineStr">
        <is>
          <t>A 4733-2020</t>
        </is>
      </c>
      <c r="B3252" s="1" t="n">
        <v>43859</v>
      </c>
      <c r="C3252" s="1" t="n">
        <v>45190</v>
      </c>
      <c r="D3252" t="inlineStr">
        <is>
          <t>KALMAR LÄN</t>
        </is>
      </c>
      <c r="E3252" t="inlineStr">
        <is>
          <t>HULTSFRED</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4947-2020</t>
        </is>
      </c>
      <c r="B3253" s="1" t="n">
        <v>43859</v>
      </c>
      <c r="C3253" s="1" t="n">
        <v>45190</v>
      </c>
      <c r="D3253" t="inlineStr">
        <is>
          <t>KALMAR LÄN</t>
        </is>
      </c>
      <c r="E3253" t="inlineStr">
        <is>
          <t>TORSÅS</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5372-2020</t>
        </is>
      </c>
      <c r="B3254" s="1" t="n">
        <v>43860</v>
      </c>
      <c r="C3254" s="1" t="n">
        <v>45190</v>
      </c>
      <c r="D3254" t="inlineStr">
        <is>
          <t>KALMAR LÄN</t>
        </is>
      </c>
      <c r="E3254" t="inlineStr">
        <is>
          <t>OSKARSHAMN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5638-2020</t>
        </is>
      </c>
      <c r="B3255" s="1" t="n">
        <v>43860</v>
      </c>
      <c r="C3255" s="1" t="n">
        <v>45190</v>
      </c>
      <c r="D3255" t="inlineStr">
        <is>
          <t>KALMAR LÄN</t>
        </is>
      </c>
      <c r="E3255" t="inlineStr">
        <is>
          <t>NYBRO</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5629-2020</t>
        </is>
      </c>
      <c r="B3256" s="1" t="n">
        <v>43860</v>
      </c>
      <c r="C3256" s="1" t="n">
        <v>45190</v>
      </c>
      <c r="D3256" t="inlineStr">
        <is>
          <t>KALMAR LÄN</t>
        </is>
      </c>
      <c r="E3256" t="inlineStr">
        <is>
          <t>VÄSTERVIK</t>
        </is>
      </c>
      <c r="G3256" t="n">
        <v>3.8</v>
      </c>
      <c r="H3256" t="n">
        <v>0</v>
      </c>
      <c r="I3256" t="n">
        <v>0</v>
      </c>
      <c r="J3256" t="n">
        <v>0</v>
      </c>
      <c r="K3256" t="n">
        <v>0</v>
      </c>
      <c r="L3256" t="n">
        <v>0</v>
      </c>
      <c r="M3256" t="n">
        <v>0</v>
      </c>
      <c r="N3256" t="n">
        <v>0</v>
      </c>
      <c r="O3256" t="n">
        <v>0</v>
      </c>
      <c r="P3256" t="n">
        <v>0</v>
      </c>
      <c r="Q3256" t="n">
        <v>0</v>
      </c>
      <c r="R3256" s="2" t="inlineStr"/>
    </row>
    <row r="3257" ht="15" customHeight="1">
      <c r="A3257" t="inlineStr">
        <is>
          <t>A 5637-2020</t>
        </is>
      </c>
      <c r="B3257" s="1" t="n">
        <v>43860</v>
      </c>
      <c r="C3257" s="1" t="n">
        <v>45190</v>
      </c>
      <c r="D3257" t="inlineStr">
        <is>
          <t>KALMAR LÄN</t>
        </is>
      </c>
      <c r="E3257" t="inlineStr">
        <is>
          <t>VÄSTERVIK</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5391-2020</t>
        </is>
      </c>
      <c r="B3258" s="1" t="n">
        <v>43860</v>
      </c>
      <c r="C3258" s="1" t="n">
        <v>45190</v>
      </c>
      <c r="D3258" t="inlineStr">
        <is>
          <t>KALMAR LÄN</t>
        </is>
      </c>
      <c r="E3258" t="inlineStr">
        <is>
          <t>OSKARSHAMN</t>
        </is>
      </c>
      <c r="G3258" t="n">
        <v>4.4</v>
      </c>
      <c r="H3258" t="n">
        <v>0</v>
      </c>
      <c r="I3258" t="n">
        <v>0</v>
      </c>
      <c r="J3258" t="n">
        <v>0</v>
      </c>
      <c r="K3258" t="n">
        <v>0</v>
      </c>
      <c r="L3258" t="n">
        <v>0</v>
      </c>
      <c r="M3258" t="n">
        <v>0</v>
      </c>
      <c r="N3258" t="n">
        <v>0</v>
      </c>
      <c r="O3258" t="n">
        <v>0</v>
      </c>
      <c r="P3258" t="n">
        <v>0</v>
      </c>
      <c r="Q3258" t="n">
        <v>0</v>
      </c>
      <c r="R3258" s="2" t="inlineStr"/>
    </row>
    <row r="3259" ht="15" customHeight="1">
      <c r="A3259" t="inlineStr">
        <is>
          <t>A 5622-2020</t>
        </is>
      </c>
      <c r="B3259" s="1" t="n">
        <v>43860</v>
      </c>
      <c r="C3259" s="1" t="n">
        <v>45190</v>
      </c>
      <c r="D3259" t="inlineStr">
        <is>
          <t>KALMAR LÄN</t>
        </is>
      </c>
      <c r="E3259" t="inlineStr">
        <is>
          <t>VÄSTERVIK</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5570-2020</t>
        </is>
      </c>
      <c r="B3260" s="1" t="n">
        <v>43861</v>
      </c>
      <c r="C3260" s="1" t="n">
        <v>45190</v>
      </c>
      <c r="D3260" t="inlineStr">
        <is>
          <t>KALMAR LÄN</t>
        </is>
      </c>
      <c r="E3260" t="inlineStr">
        <is>
          <t>OSKARSHAMN</t>
        </is>
      </c>
      <c r="F3260" t="inlineStr">
        <is>
          <t>Kommuner</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5594-2020</t>
        </is>
      </c>
      <c r="B3261" s="1" t="n">
        <v>43861</v>
      </c>
      <c r="C3261" s="1" t="n">
        <v>45190</v>
      </c>
      <c r="D3261" t="inlineStr">
        <is>
          <t>KALMAR LÄN</t>
        </is>
      </c>
      <c r="E3261" t="inlineStr">
        <is>
          <t>VÄSTERVIK</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5697-2020</t>
        </is>
      </c>
      <c r="B3262" s="1" t="n">
        <v>43861</v>
      </c>
      <c r="C3262" s="1" t="n">
        <v>45190</v>
      </c>
      <c r="D3262" t="inlineStr">
        <is>
          <t>KALMAR LÄN</t>
        </is>
      </c>
      <c r="E3262" t="inlineStr">
        <is>
          <t>VÄSTERVIK</t>
        </is>
      </c>
      <c r="F3262" t="inlineStr">
        <is>
          <t>Holmen skog AB</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5584-2020</t>
        </is>
      </c>
      <c r="B3263" s="1" t="n">
        <v>43861</v>
      </c>
      <c r="C3263" s="1" t="n">
        <v>45190</v>
      </c>
      <c r="D3263" t="inlineStr">
        <is>
          <t>KALMAR LÄN</t>
        </is>
      </c>
      <c r="E3263" t="inlineStr">
        <is>
          <t>OSKARSHAMN</t>
        </is>
      </c>
      <c r="F3263" t="inlineStr">
        <is>
          <t>Kommuner</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5670-2020</t>
        </is>
      </c>
      <c r="B3264" s="1" t="n">
        <v>43861</v>
      </c>
      <c r="C3264" s="1" t="n">
        <v>45190</v>
      </c>
      <c r="D3264" t="inlineStr">
        <is>
          <t>KALMAR LÄN</t>
        </is>
      </c>
      <c r="E3264" t="inlineStr">
        <is>
          <t>TORSÅS</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5548-2020</t>
        </is>
      </c>
      <c r="B3265" s="1" t="n">
        <v>43861</v>
      </c>
      <c r="C3265" s="1" t="n">
        <v>45190</v>
      </c>
      <c r="D3265" t="inlineStr">
        <is>
          <t>KALMAR LÄN</t>
        </is>
      </c>
      <c r="E3265" t="inlineStr">
        <is>
          <t>VIMMERBY</t>
        </is>
      </c>
      <c r="F3265" t="inlineStr">
        <is>
          <t>Sveaskog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5583-2020</t>
        </is>
      </c>
      <c r="B3266" s="1" t="n">
        <v>43861</v>
      </c>
      <c r="C3266" s="1" t="n">
        <v>45190</v>
      </c>
      <c r="D3266" t="inlineStr">
        <is>
          <t>KALMAR LÄN</t>
        </is>
      </c>
      <c r="E3266" t="inlineStr">
        <is>
          <t>VÄSTERVIK</t>
        </is>
      </c>
      <c r="F3266" t="inlineStr">
        <is>
          <t>Holmen skog AB</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5827-2020</t>
        </is>
      </c>
      <c r="B3267" s="1" t="n">
        <v>43864</v>
      </c>
      <c r="C3267" s="1" t="n">
        <v>45190</v>
      </c>
      <c r="D3267" t="inlineStr">
        <is>
          <t>KALMAR LÄN</t>
        </is>
      </c>
      <c r="E3267" t="inlineStr">
        <is>
          <t>EMMABODA</t>
        </is>
      </c>
      <c r="G3267" t="n">
        <v>5</v>
      </c>
      <c r="H3267" t="n">
        <v>0</v>
      </c>
      <c r="I3267" t="n">
        <v>0</v>
      </c>
      <c r="J3267" t="n">
        <v>0</v>
      </c>
      <c r="K3267" t="n">
        <v>0</v>
      </c>
      <c r="L3267" t="n">
        <v>0</v>
      </c>
      <c r="M3267" t="n">
        <v>0</v>
      </c>
      <c r="N3267" t="n">
        <v>0</v>
      </c>
      <c r="O3267" t="n">
        <v>0</v>
      </c>
      <c r="P3267" t="n">
        <v>0</v>
      </c>
      <c r="Q3267" t="n">
        <v>0</v>
      </c>
      <c r="R3267" s="2" t="inlineStr"/>
    </row>
    <row r="3268" ht="15" customHeight="1">
      <c r="A3268" t="inlineStr">
        <is>
          <t>A 5808-2020</t>
        </is>
      </c>
      <c r="B3268" s="1" t="n">
        <v>43864</v>
      </c>
      <c r="C3268" s="1" t="n">
        <v>45190</v>
      </c>
      <c r="D3268" t="inlineStr">
        <is>
          <t>KALMAR LÄN</t>
        </is>
      </c>
      <c r="E3268" t="inlineStr">
        <is>
          <t>HÖGSBY</t>
        </is>
      </c>
      <c r="G3268" t="n">
        <v>3.1</v>
      </c>
      <c r="H3268" t="n">
        <v>0</v>
      </c>
      <c r="I3268" t="n">
        <v>0</v>
      </c>
      <c r="J3268" t="n">
        <v>0</v>
      </c>
      <c r="K3268" t="n">
        <v>0</v>
      </c>
      <c r="L3268" t="n">
        <v>0</v>
      </c>
      <c r="M3268" t="n">
        <v>0</v>
      </c>
      <c r="N3268" t="n">
        <v>0</v>
      </c>
      <c r="O3268" t="n">
        <v>0</v>
      </c>
      <c r="P3268" t="n">
        <v>0</v>
      </c>
      <c r="Q3268" t="n">
        <v>0</v>
      </c>
      <c r="R3268" s="2" t="inlineStr"/>
    </row>
    <row r="3269" ht="15" customHeight="1">
      <c r="A3269" t="inlineStr">
        <is>
          <t>A 6087-2020</t>
        </is>
      </c>
      <c r="B3269" s="1" t="n">
        <v>43864</v>
      </c>
      <c r="C3269" s="1" t="n">
        <v>45190</v>
      </c>
      <c r="D3269" t="inlineStr">
        <is>
          <t>KALMAR LÄN</t>
        </is>
      </c>
      <c r="E3269" t="inlineStr">
        <is>
          <t>OSKARSHAMN</t>
        </is>
      </c>
      <c r="G3269" t="n">
        <v>2.2</v>
      </c>
      <c r="H3269" t="n">
        <v>0</v>
      </c>
      <c r="I3269" t="n">
        <v>0</v>
      </c>
      <c r="J3269" t="n">
        <v>0</v>
      </c>
      <c r="K3269" t="n">
        <v>0</v>
      </c>
      <c r="L3269" t="n">
        <v>0</v>
      </c>
      <c r="M3269" t="n">
        <v>0</v>
      </c>
      <c r="N3269" t="n">
        <v>0</v>
      </c>
      <c r="O3269" t="n">
        <v>0</v>
      </c>
      <c r="P3269" t="n">
        <v>0</v>
      </c>
      <c r="Q3269" t="n">
        <v>0</v>
      </c>
      <c r="R3269" s="2" t="inlineStr"/>
    </row>
    <row r="3270" ht="15" customHeight="1">
      <c r="A3270" t="inlineStr">
        <is>
          <t>A 5931-2020</t>
        </is>
      </c>
      <c r="B3270" s="1" t="n">
        <v>43864</v>
      </c>
      <c r="C3270" s="1" t="n">
        <v>45190</v>
      </c>
      <c r="D3270" t="inlineStr">
        <is>
          <t>KALMAR LÄN</t>
        </is>
      </c>
      <c r="E3270" t="inlineStr">
        <is>
          <t>MÖNSTERÅS</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6088-2020</t>
        </is>
      </c>
      <c r="B3271" s="1" t="n">
        <v>43864</v>
      </c>
      <c r="C3271" s="1" t="n">
        <v>45190</v>
      </c>
      <c r="D3271" t="inlineStr">
        <is>
          <t>KALMAR LÄN</t>
        </is>
      </c>
      <c r="E3271" t="inlineStr">
        <is>
          <t>OSKARSHAMN</t>
        </is>
      </c>
      <c r="G3271" t="n">
        <v>4.6</v>
      </c>
      <c r="H3271" t="n">
        <v>0</v>
      </c>
      <c r="I3271" t="n">
        <v>0</v>
      </c>
      <c r="J3271" t="n">
        <v>0</v>
      </c>
      <c r="K3271" t="n">
        <v>0</v>
      </c>
      <c r="L3271" t="n">
        <v>0</v>
      </c>
      <c r="M3271" t="n">
        <v>0</v>
      </c>
      <c r="N3271" t="n">
        <v>0</v>
      </c>
      <c r="O3271" t="n">
        <v>0</v>
      </c>
      <c r="P3271" t="n">
        <v>0</v>
      </c>
      <c r="Q3271" t="n">
        <v>0</v>
      </c>
      <c r="R3271" s="2" t="inlineStr"/>
    </row>
    <row r="3272" ht="15" customHeight="1">
      <c r="A3272" t="inlineStr">
        <is>
          <t>A 5810-2020</t>
        </is>
      </c>
      <c r="B3272" s="1" t="n">
        <v>43864</v>
      </c>
      <c r="C3272" s="1" t="n">
        <v>45190</v>
      </c>
      <c r="D3272" t="inlineStr">
        <is>
          <t>KALMAR LÄN</t>
        </is>
      </c>
      <c r="E3272" t="inlineStr">
        <is>
          <t>HULTSFRED</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5822-2020</t>
        </is>
      </c>
      <c r="B3273" s="1" t="n">
        <v>43864</v>
      </c>
      <c r="C3273" s="1" t="n">
        <v>45190</v>
      </c>
      <c r="D3273" t="inlineStr">
        <is>
          <t>KALMAR LÄN</t>
        </is>
      </c>
      <c r="E3273" t="inlineStr">
        <is>
          <t>VÄSTERVIK</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5932-2020</t>
        </is>
      </c>
      <c r="B3274" s="1" t="n">
        <v>43864</v>
      </c>
      <c r="C3274" s="1" t="n">
        <v>45190</v>
      </c>
      <c r="D3274" t="inlineStr">
        <is>
          <t>KALMAR LÄN</t>
        </is>
      </c>
      <c r="E3274" t="inlineStr">
        <is>
          <t>MÖNSTERÅS</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6371-2020</t>
        </is>
      </c>
      <c r="B3275" s="1" t="n">
        <v>43865</v>
      </c>
      <c r="C3275" s="1" t="n">
        <v>45190</v>
      </c>
      <c r="D3275" t="inlineStr">
        <is>
          <t>KALMAR LÄN</t>
        </is>
      </c>
      <c r="E3275" t="inlineStr">
        <is>
          <t>NYBRO</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6425-2020</t>
        </is>
      </c>
      <c r="B3276" s="1" t="n">
        <v>43865</v>
      </c>
      <c r="C3276" s="1" t="n">
        <v>45190</v>
      </c>
      <c r="D3276" t="inlineStr">
        <is>
          <t>KALMAR LÄN</t>
        </is>
      </c>
      <c r="E3276" t="inlineStr">
        <is>
          <t>VÄSTERVIK</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6532-2020</t>
        </is>
      </c>
      <c r="B3277" s="1" t="n">
        <v>43865</v>
      </c>
      <c r="C3277" s="1" t="n">
        <v>45190</v>
      </c>
      <c r="D3277" t="inlineStr">
        <is>
          <t>KALMAR LÄN</t>
        </is>
      </c>
      <c r="E3277" t="inlineStr">
        <is>
          <t>KALMAR</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6135-2020</t>
        </is>
      </c>
      <c r="B3278" s="1" t="n">
        <v>43865</v>
      </c>
      <c r="C3278" s="1" t="n">
        <v>45190</v>
      </c>
      <c r="D3278" t="inlineStr">
        <is>
          <t>KALMAR LÄN</t>
        </is>
      </c>
      <c r="E3278" t="inlineStr">
        <is>
          <t>HULTSFRED</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6042-2020</t>
        </is>
      </c>
      <c r="B3279" s="1" t="n">
        <v>43865</v>
      </c>
      <c r="C3279" s="1" t="n">
        <v>45190</v>
      </c>
      <c r="D3279" t="inlineStr">
        <is>
          <t>KALMAR LÄN</t>
        </is>
      </c>
      <c r="E3279" t="inlineStr">
        <is>
          <t>VIMMERBY</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6133-2020</t>
        </is>
      </c>
      <c r="B3280" s="1" t="n">
        <v>43865</v>
      </c>
      <c r="C3280" s="1" t="n">
        <v>45190</v>
      </c>
      <c r="D3280" t="inlineStr">
        <is>
          <t>KALMAR LÄN</t>
        </is>
      </c>
      <c r="E3280" t="inlineStr">
        <is>
          <t>HULTSFRED</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6526-2020</t>
        </is>
      </c>
      <c r="B3281" s="1" t="n">
        <v>43865</v>
      </c>
      <c r="C3281" s="1" t="n">
        <v>45190</v>
      </c>
      <c r="D3281" t="inlineStr">
        <is>
          <t>KALMAR LÄN</t>
        </is>
      </c>
      <c r="E3281" t="inlineStr">
        <is>
          <t>KALMAR</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6482-2020</t>
        </is>
      </c>
      <c r="B3282" s="1" t="n">
        <v>43866</v>
      </c>
      <c r="C3282" s="1" t="n">
        <v>45190</v>
      </c>
      <c r="D3282" t="inlineStr">
        <is>
          <t>KALMAR LÄN</t>
        </is>
      </c>
      <c r="E3282" t="inlineStr">
        <is>
          <t>EMMABODA</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6311-2020</t>
        </is>
      </c>
      <c r="B3283" s="1" t="n">
        <v>43866</v>
      </c>
      <c r="C3283" s="1" t="n">
        <v>45190</v>
      </c>
      <c r="D3283" t="inlineStr">
        <is>
          <t>KALMAR LÄN</t>
        </is>
      </c>
      <c r="E3283" t="inlineStr">
        <is>
          <t>TORSÅS</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6360-2020</t>
        </is>
      </c>
      <c r="B3284" s="1" t="n">
        <v>43866</v>
      </c>
      <c r="C3284" s="1" t="n">
        <v>45190</v>
      </c>
      <c r="D3284" t="inlineStr">
        <is>
          <t>KALMAR LÄN</t>
        </is>
      </c>
      <c r="E3284" t="inlineStr">
        <is>
          <t>EMMABODA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6798-2020</t>
        </is>
      </c>
      <c r="B3285" s="1" t="n">
        <v>43867</v>
      </c>
      <c r="C3285" s="1" t="n">
        <v>45190</v>
      </c>
      <c r="D3285" t="inlineStr">
        <is>
          <t>KALMAR LÄN</t>
        </is>
      </c>
      <c r="E3285" t="inlineStr">
        <is>
          <t>TORSÅS</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6598-2020</t>
        </is>
      </c>
      <c r="B3286" s="1" t="n">
        <v>43867</v>
      </c>
      <c r="C3286" s="1" t="n">
        <v>45190</v>
      </c>
      <c r="D3286" t="inlineStr">
        <is>
          <t>KALMAR LÄN</t>
        </is>
      </c>
      <c r="E3286" t="inlineStr">
        <is>
          <t>KALMAR</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6730-2020</t>
        </is>
      </c>
      <c r="B3287" s="1" t="n">
        <v>43867</v>
      </c>
      <c r="C3287" s="1" t="n">
        <v>45190</v>
      </c>
      <c r="D3287" t="inlineStr">
        <is>
          <t>KALMAR LÄN</t>
        </is>
      </c>
      <c r="E3287" t="inlineStr">
        <is>
          <t>KALMAR</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6742-2020</t>
        </is>
      </c>
      <c r="B3288" s="1" t="n">
        <v>43867</v>
      </c>
      <c r="C3288" s="1" t="n">
        <v>45190</v>
      </c>
      <c r="D3288" t="inlineStr">
        <is>
          <t>KALMAR LÄN</t>
        </is>
      </c>
      <c r="E3288" t="inlineStr">
        <is>
          <t>KALMAR</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6793-2020</t>
        </is>
      </c>
      <c r="B3289" s="1" t="n">
        <v>43867</v>
      </c>
      <c r="C3289" s="1" t="n">
        <v>45190</v>
      </c>
      <c r="D3289" t="inlineStr">
        <is>
          <t>KALMAR LÄN</t>
        </is>
      </c>
      <c r="E3289" t="inlineStr">
        <is>
          <t>HULTSFRED</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6800-2020</t>
        </is>
      </c>
      <c r="B3290" s="1" t="n">
        <v>43867</v>
      </c>
      <c r="C3290" s="1" t="n">
        <v>45190</v>
      </c>
      <c r="D3290" t="inlineStr">
        <is>
          <t>KALMAR LÄN</t>
        </is>
      </c>
      <c r="E3290" t="inlineStr">
        <is>
          <t>TORSÅS</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6822-2020</t>
        </is>
      </c>
      <c r="B3291" s="1" t="n">
        <v>43868</v>
      </c>
      <c r="C3291" s="1" t="n">
        <v>45190</v>
      </c>
      <c r="D3291" t="inlineStr">
        <is>
          <t>KALMAR LÄN</t>
        </is>
      </c>
      <c r="E3291" t="inlineStr">
        <is>
          <t>MÖNSTERÅS</t>
        </is>
      </c>
      <c r="G3291" t="n">
        <v>3.2</v>
      </c>
      <c r="H3291" t="n">
        <v>0</v>
      </c>
      <c r="I3291" t="n">
        <v>0</v>
      </c>
      <c r="J3291" t="n">
        <v>0</v>
      </c>
      <c r="K3291" t="n">
        <v>0</v>
      </c>
      <c r="L3291" t="n">
        <v>0</v>
      </c>
      <c r="M3291" t="n">
        <v>0</v>
      </c>
      <c r="N3291" t="n">
        <v>0</v>
      </c>
      <c r="O3291" t="n">
        <v>0</v>
      </c>
      <c r="P3291" t="n">
        <v>0</v>
      </c>
      <c r="Q3291" t="n">
        <v>0</v>
      </c>
      <c r="R3291" s="2" t="inlineStr"/>
    </row>
    <row r="3292" ht="15" customHeight="1">
      <c r="A3292" t="inlineStr">
        <is>
          <t>A 6819-2020</t>
        </is>
      </c>
      <c r="B3292" s="1" t="n">
        <v>43868</v>
      </c>
      <c r="C3292" s="1" t="n">
        <v>45190</v>
      </c>
      <c r="D3292" t="inlineStr">
        <is>
          <t>KALMAR LÄN</t>
        </is>
      </c>
      <c r="E3292" t="inlineStr">
        <is>
          <t>MÖNSTERÅS</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7097-2020</t>
        </is>
      </c>
      <c r="B3293" s="1" t="n">
        <v>43868</v>
      </c>
      <c r="C3293" s="1" t="n">
        <v>45190</v>
      </c>
      <c r="D3293" t="inlineStr">
        <is>
          <t>KALMAR LÄN</t>
        </is>
      </c>
      <c r="E3293" t="inlineStr">
        <is>
          <t>MÖNSTERÅS</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6841-2020</t>
        </is>
      </c>
      <c r="B3294" s="1" t="n">
        <v>43868</v>
      </c>
      <c r="C3294" s="1" t="n">
        <v>45190</v>
      </c>
      <c r="D3294" t="inlineStr">
        <is>
          <t>KALMAR LÄN</t>
        </is>
      </c>
      <c r="E3294" t="inlineStr">
        <is>
          <t>MÖNSTERÅS</t>
        </is>
      </c>
      <c r="G3294" t="n">
        <v>13.7</v>
      </c>
      <c r="H3294" t="n">
        <v>0</v>
      </c>
      <c r="I3294" t="n">
        <v>0</v>
      </c>
      <c r="J3294" t="n">
        <v>0</v>
      </c>
      <c r="K3294" t="n">
        <v>0</v>
      </c>
      <c r="L3294" t="n">
        <v>0</v>
      </c>
      <c r="M3294" t="n">
        <v>0</v>
      </c>
      <c r="N3294" t="n">
        <v>0</v>
      </c>
      <c r="O3294" t="n">
        <v>0</v>
      </c>
      <c r="P3294" t="n">
        <v>0</v>
      </c>
      <c r="Q3294" t="n">
        <v>0</v>
      </c>
      <c r="R3294" s="2" t="inlineStr"/>
    </row>
    <row r="3295" ht="15" customHeight="1">
      <c r="A3295" t="inlineStr">
        <is>
          <t>A 6832-2020</t>
        </is>
      </c>
      <c r="B3295" s="1" t="n">
        <v>43868</v>
      </c>
      <c r="C3295" s="1" t="n">
        <v>45190</v>
      </c>
      <c r="D3295" t="inlineStr">
        <is>
          <t>KALMAR LÄN</t>
        </is>
      </c>
      <c r="E3295" t="inlineStr">
        <is>
          <t>MÖNSTERÅS</t>
        </is>
      </c>
      <c r="G3295" t="n">
        <v>10.8</v>
      </c>
      <c r="H3295" t="n">
        <v>0</v>
      </c>
      <c r="I3295" t="n">
        <v>0</v>
      </c>
      <c r="J3295" t="n">
        <v>0</v>
      </c>
      <c r="K3295" t="n">
        <v>0</v>
      </c>
      <c r="L3295" t="n">
        <v>0</v>
      </c>
      <c r="M3295" t="n">
        <v>0</v>
      </c>
      <c r="N3295" t="n">
        <v>0</v>
      </c>
      <c r="O3295" t="n">
        <v>0</v>
      </c>
      <c r="P3295" t="n">
        <v>0</v>
      </c>
      <c r="Q3295" t="n">
        <v>0</v>
      </c>
      <c r="R3295" s="2" t="inlineStr"/>
    </row>
    <row r="3296" ht="15" customHeight="1">
      <c r="A3296" t="inlineStr">
        <is>
          <t>A 6848-2020</t>
        </is>
      </c>
      <c r="B3296" s="1" t="n">
        <v>43868</v>
      </c>
      <c r="C3296" s="1" t="n">
        <v>45190</v>
      </c>
      <c r="D3296" t="inlineStr">
        <is>
          <t>KALMAR LÄN</t>
        </is>
      </c>
      <c r="E3296" t="inlineStr">
        <is>
          <t>MÖNSTERÅS</t>
        </is>
      </c>
      <c r="G3296" t="n">
        <v>4.3</v>
      </c>
      <c r="H3296" t="n">
        <v>0</v>
      </c>
      <c r="I3296" t="n">
        <v>0</v>
      </c>
      <c r="J3296" t="n">
        <v>0</v>
      </c>
      <c r="K3296" t="n">
        <v>0</v>
      </c>
      <c r="L3296" t="n">
        <v>0</v>
      </c>
      <c r="M3296" t="n">
        <v>0</v>
      </c>
      <c r="N3296" t="n">
        <v>0</v>
      </c>
      <c r="O3296" t="n">
        <v>0</v>
      </c>
      <c r="P3296" t="n">
        <v>0</v>
      </c>
      <c r="Q3296" t="n">
        <v>0</v>
      </c>
      <c r="R3296" s="2" t="inlineStr"/>
    </row>
    <row r="3297" ht="15" customHeight="1">
      <c r="A3297" t="inlineStr">
        <is>
          <t>A 7187-2020</t>
        </is>
      </c>
      <c r="B3297" s="1" t="n">
        <v>43871</v>
      </c>
      <c r="C3297" s="1" t="n">
        <v>45190</v>
      </c>
      <c r="D3297" t="inlineStr">
        <is>
          <t>KALMAR LÄN</t>
        </is>
      </c>
      <c r="E3297" t="inlineStr">
        <is>
          <t>KALMAR</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7290-2020</t>
        </is>
      </c>
      <c r="B3298" s="1" t="n">
        <v>43871</v>
      </c>
      <c r="C3298" s="1" t="n">
        <v>45190</v>
      </c>
      <c r="D3298" t="inlineStr">
        <is>
          <t>KALMAR LÄN</t>
        </is>
      </c>
      <c r="E3298" t="inlineStr">
        <is>
          <t>VÄSTERVIK</t>
        </is>
      </c>
      <c r="F3298" t="inlineStr">
        <is>
          <t>Holmen skog AB</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7185-2020</t>
        </is>
      </c>
      <c r="B3299" s="1" t="n">
        <v>43871</v>
      </c>
      <c r="C3299" s="1" t="n">
        <v>45190</v>
      </c>
      <c r="D3299" t="inlineStr">
        <is>
          <t>KALMAR LÄN</t>
        </is>
      </c>
      <c r="E3299" t="inlineStr">
        <is>
          <t>KALMAR</t>
        </is>
      </c>
      <c r="G3299" t="n">
        <v>5.6</v>
      </c>
      <c r="H3299" t="n">
        <v>0</v>
      </c>
      <c r="I3299" t="n">
        <v>0</v>
      </c>
      <c r="J3299" t="n">
        <v>0</v>
      </c>
      <c r="K3299" t="n">
        <v>0</v>
      </c>
      <c r="L3299" t="n">
        <v>0</v>
      </c>
      <c r="M3299" t="n">
        <v>0</v>
      </c>
      <c r="N3299" t="n">
        <v>0</v>
      </c>
      <c r="O3299" t="n">
        <v>0</v>
      </c>
      <c r="P3299" t="n">
        <v>0</v>
      </c>
      <c r="Q3299" t="n">
        <v>0</v>
      </c>
      <c r="R3299" s="2" t="inlineStr"/>
    </row>
    <row r="3300" ht="15" customHeight="1">
      <c r="A3300" t="inlineStr">
        <is>
          <t>A 7356-2020</t>
        </is>
      </c>
      <c r="B3300" s="1" t="n">
        <v>43871</v>
      </c>
      <c r="C3300" s="1" t="n">
        <v>45190</v>
      </c>
      <c r="D3300" t="inlineStr">
        <is>
          <t>KALMAR LÄN</t>
        </is>
      </c>
      <c r="E3300" t="inlineStr">
        <is>
          <t>MÖNSTERÅS</t>
        </is>
      </c>
      <c r="G3300" t="n">
        <v>4.7</v>
      </c>
      <c r="H3300" t="n">
        <v>0</v>
      </c>
      <c r="I3300" t="n">
        <v>0</v>
      </c>
      <c r="J3300" t="n">
        <v>0</v>
      </c>
      <c r="K3300" t="n">
        <v>0</v>
      </c>
      <c r="L3300" t="n">
        <v>0</v>
      </c>
      <c r="M3300" t="n">
        <v>0</v>
      </c>
      <c r="N3300" t="n">
        <v>0</v>
      </c>
      <c r="O3300" t="n">
        <v>0</v>
      </c>
      <c r="P3300" t="n">
        <v>0</v>
      </c>
      <c r="Q3300" t="n">
        <v>0</v>
      </c>
      <c r="R3300" s="2" t="inlineStr"/>
    </row>
    <row r="3301" ht="15" customHeight="1">
      <c r="A3301" t="inlineStr">
        <is>
          <t>A 7577-2020</t>
        </is>
      </c>
      <c r="B3301" s="1" t="n">
        <v>43872</v>
      </c>
      <c r="C3301" s="1" t="n">
        <v>45190</v>
      </c>
      <c r="D3301" t="inlineStr">
        <is>
          <t>KALMAR LÄN</t>
        </is>
      </c>
      <c r="E3301" t="inlineStr">
        <is>
          <t>KALMAR</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7660-2020</t>
        </is>
      </c>
      <c r="B3302" s="1" t="n">
        <v>43872</v>
      </c>
      <c r="C3302" s="1" t="n">
        <v>45190</v>
      </c>
      <c r="D3302" t="inlineStr">
        <is>
          <t>KALMAR LÄN</t>
        </is>
      </c>
      <c r="E3302" t="inlineStr">
        <is>
          <t>VÄSTERVIK</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7557-2020</t>
        </is>
      </c>
      <c r="B3303" s="1" t="n">
        <v>43872</v>
      </c>
      <c r="C3303" s="1" t="n">
        <v>45190</v>
      </c>
      <c r="D3303" t="inlineStr">
        <is>
          <t>KALMAR LÄN</t>
        </is>
      </c>
      <c r="E3303" t="inlineStr">
        <is>
          <t>NYBRO</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7553-2020</t>
        </is>
      </c>
      <c r="B3304" s="1" t="n">
        <v>43872</v>
      </c>
      <c r="C3304" s="1" t="n">
        <v>45190</v>
      </c>
      <c r="D3304" t="inlineStr">
        <is>
          <t>KALMAR LÄN</t>
        </is>
      </c>
      <c r="E3304" t="inlineStr">
        <is>
          <t>EMMABODA</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7727-2020</t>
        </is>
      </c>
      <c r="B3305" s="1" t="n">
        <v>43872</v>
      </c>
      <c r="C3305" s="1" t="n">
        <v>45190</v>
      </c>
      <c r="D3305" t="inlineStr">
        <is>
          <t>KALMAR LÄN</t>
        </is>
      </c>
      <c r="E3305" t="inlineStr">
        <is>
          <t>VÄSTERVIK</t>
        </is>
      </c>
      <c r="F3305" t="inlineStr">
        <is>
          <t>Holmen skog AB</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7746-2020</t>
        </is>
      </c>
      <c r="B3306" s="1" t="n">
        <v>43872</v>
      </c>
      <c r="C3306" s="1" t="n">
        <v>45190</v>
      </c>
      <c r="D3306" t="inlineStr">
        <is>
          <t>KALMAR LÄN</t>
        </is>
      </c>
      <c r="E3306" t="inlineStr">
        <is>
          <t>HULTSFRED</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7554-2020</t>
        </is>
      </c>
      <c r="B3307" s="1" t="n">
        <v>43872</v>
      </c>
      <c r="C3307" s="1" t="n">
        <v>45190</v>
      </c>
      <c r="D3307" t="inlineStr">
        <is>
          <t>KALMAR LÄN</t>
        </is>
      </c>
      <c r="E3307" t="inlineStr">
        <is>
          <t>HULTSFRED</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7793-2020</t>
        </is>
      </c>
      <c r="B3308" s="1" t="n">
        <v>43873</v>
      </c>
      <c r="C3308" s="1" t="n">
        <v>45190</v>
      </c>
      <c r="D3308" t="inlineStr">
        <is>
          <t>KALMAR LÄN</t>
        </is>
      </c>
      <c r="E3308" t="inlineStr">
        <is>
          <t>HULTSFRED</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7800-2020</t>
        </is>
      </c>
      <c r="B3309" s="1" t="n">
        <v>43873</v>
      </c>
      <c r="C3309" s="1" t="n">
        <v>45190</v>
      </c>
      <c r="D3309" t="inlineStr">
        <is>
          <t>KALMAR LÄN</t>
        </is>
      </c>
      <c r="E3309" t="inlineStr">
        <is>
          <t>MÖNSTERÅS</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7838-2020</t>
        </is>
      </c>
      <c r="B3310" s="1" t="n">
        <v>43873</v>
      </c>
      <c r="C3310" s="1" t="n">
        <v>45190</v>
      </c>
      <c r="D3310" t="inlineStr">
        <is>
          <t>KALMAR LÄN</t>
        </is>
      </c>
      <c r="E3310" t="inlineStr">
        <is>
          <t>OSKARSHAMN</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7870-2020</t>
        </is>
      </c>
      <c r="B3311" s="1" t="n">
        <v>43873</v>
      </c>
      <c r="C3311" s="1" t="n">
        <v>45190</v>
      </c>
      <c r="D3311" t="inlineStr">
        <is>
          <t>KALMAR LÄN</t>
        </is>
      </c>
      <c r="E3311" t="inlineStr">
        <is>
          <t>VIMMERBY</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7967-2020</t>
        </is>
      </c>
      <c r="B3312" s="1" t="n">
        <v>43873</v>
      </c>
      <c r="C3312" s="1" t="n">
        <v>45190</v>
      </c>
      <c r="D3312" t="inlineStr">
        <is>
          <t>KALMAR LÄN</t>
        </is>
      </c>
      <c r="E3312" t="inlineStr">
        <is>
          <t>EMMABODA</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7933-2020</t>
        </is>
      </c>
      <c r="B3313" s="1" t="n">
        <v>43873</v>
      </c>
      <c r="C3313" s="1" t="n">
        <v>45190</v>
      </c>
      <c r="D3313" t="inlineStr">
        <is>
          <t>KALMAR LÄN</t>
        </is>
      </c>
      <c r="E3313" t="inlineStr">
        <is>
          <t>HULTSFRED</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7966-2020</t>
        </is>
      </c>
      <c r="B3314" s="1" t="n">
        <v>43873</v>
      </c>
      <c r="C3314" s="1" t="n">
        <v>45190</v>
      </c>
      <c r="D3314" t="inlineStr">
        <is>
          <t>KALMAR LÄN</t>
        </is>
      </c>
      <c r="E3314" t="inlineStr">
        <is>
          <t>EMMABODA</t>
        </is>
      </c>
      <c r="G3314" t="n">
        <v>4</v>
      </c>
      <c r="H3314" t="n">
        <v>0</v>
      </c>
      <c r="I3314" t="n">
        <v>0</v>
      </c>
      <c r="J3314" t="n">
        <v>0</v>
      </c>
      <c r="K3314" t="n">
        <v>0</v>
      </c>
      <c r="L3314" t="n">
        <v>0</v>
      </c>
      <c r="M3314" t="n">
        <v>0</v>
      </c>
      <c r="N3314" t="n">
        <v>0</v>
      </c>
      <c r="O3314" t="n">
        <v>0</v>
      </c>
      <c r="P3314" t="n">
        <v>0</v>
      </c>
      <c r="Q3314" t="n">
        <v>0</v>
      </c>
      <c r="R3314" s="2" t="inlineStr"/>
    </row>
    <row r="3315" ht="15" customHeight="1">
      <c r="A3315" t="inlineStr">
        <is>
          <t>A 7803-2020</t>
        </is>
      </c>
      <c r="B3315" s="1" t="n">
        <v>43873</v>
      </c>
      <c r="C3315" s="1" t="n">
        <v>45190</v>
      </c>
      <c r="D3315" t="inlineStr">
        <is>
          <t>KALMAR LÄN</t>
        </is>
      </c>
      <c r="E3315" t="inlineStr">
        <is>
          <t>KALMAR</t>
        </is>
      </c>
      <c r="G3315" t="n">
        <v>5.1</v>
      </c>
      <c r="H3315" t="n">
        <v>0</v>
      </c>
      <c r="I3315" t="n">
        <v>0</v>
      </c>
      <c r="J3315" t="n">
        <v>0</v>
      </c>
      <c r="K3315" t="n">
        <v>0</v>
      </c>
      <c r="L3315" t="n">
        <v>0</v>
      </c>
      <c r="M3315" t="n">
        <v>0</v>
      </c>
      <c r="N3315" t="n">
        <v>0</v>
      </c>
      <c r="O3315" t="n">
        <v>0</v>
      </c>
      <c r="P3315" t="n">
        <v>0</v>
      </c>
      <c r="Q3315" t="n">
        <v>0</v>
      </c>
      <c r="R3315" s="2" t="inlineStr"/>
    </row>
    <row r="3316" ht="15" customHeight="1">
      <c r="A3316" t="inlineStr">
        <is>
          <t>A 8013-2020</t>
        </is>
      </c>
      <c r="B3316" s="1" t="n">
        <v>43873</v>
      </c>
      <c r="C3316" s="1" t="n">
        <v>45190</v>
      </c>
      <c r="D3316" t="inlineStr">
        <is>
          <t>KALMAR LÄN</t>
        </is>
      </c>
      <c r="E3316" t="inlineStr">
        <is>
          <t>KALMAR</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8075-2020</t>
        </is>
      </c>
      <c r="B3317" s="1" t="n">
        <v>43874</v>
      </c>
      <c r="C3317" s="1" t="n">
        <v>45190</v>
      </c>
      <c r="D3317" t="inlineStr">
        <is>
          <t>KALMAR LÄN</t>
        </is>
      </c>
      <c r="E3317" t="inlineStr">
        <is>
          <t>VÄSTERVIK</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8072-2020</t>
        </is>
      </c>
      <c r="B3318" s="1" t="n">
        <v>43874</v>
      </c>
      <c r="C3318" s="1" t="n">
        <v>45190</v>
      </c>
      <c r="D3318" t="inlineStr">
        <is>
          <t>KALMAR LÄN</t>
        </is>
      </c>
      <c r="E3318" t="inlineStr">
        <is>
          <t>VÄSTERVIK</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8106-2020</t>
        </is>
      </c>
      <c r="B3319" s="1" t="n">
        <v>43874</v>
      </c>
      <c r="C3319" s="1" t="n">
        <v>45190</v>
      </c>
      <c r="D3319" t="inlineStr">
        <is>
          <t>KALMAR LÄN</t>
        </is>
      </c>
      <c r="E3319" t="inlineStr">
        <is>
          <t>EMMABODA</t>
        </is>
      </c>
      <c r="G3319" t="n">
        <v>4.8</v>
      </c>
      <c r="H3319" t="n">
        <v>0</v>
      </c>
      <c r="I3319" t="n">
        <v>0</v>
      </c>
      <c r="J3319" t="n">
        <v>0</v>
      </c>
      <c r="K3319" t="n">
        <v>0</v>
      </c>
      <c r="L3319" t="n">
        <v>0</v>
      </c>
      <c r="M3319" t="n">
        <v>0</v>
      </c>
      <c r="N3319" t="n">
        <v>0</v>
      </c>
      <c r="O3319" t="n">
        <v>0</v>
      </c>
      <c r="P3319" t="n">
        <v>0</v>
      </c>
      <c r="Q3319" t="n">
        <v>0</v>
      </c>
      <c r="R3319" s="2" t="inlineStr"/>
    </row>
    <row r="3320" ht="15" customHeight="1">
      <c r="A3320" t="inlineStr">
        <is>
          <t>A 8445-2020</t>
        </is>
      </c>
      <c r="B3320" s="1" t="n">
        <v>43875</v>
      </c>
      <c r="C3320" s="1" t="n">
        <v>45190</v>
      </c>
      <c r="D3320" t="inlineStr">
        <is>
          <t>KALMAR LÄN</t>
        </is>
      </c>
      <c r="E3320" t="inlineStr">
        <is>
          <t>KALMAR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8505-2020</t>
        </is>
      </c>
      <c r="B3321" s="1" t="n">
        <v>43875</v>
      </c>
      <c r="C3321" s="1" t="n">
        <v>45190</v>
      </c>
      <c r="D3321" t="inlineStr">
        <is>
          <t>KALMAR LÄN</t>
        </is>
      </c>
      <c r="E3321" t="inlineStr">
        <is>
          <t>OSKARSHAMN</t>
        </is>
      </c>
      <c r="G3321" t="n">
        <v>5</v>
      </c>
      <c r="H3321" t="n">
        <v>0</v>
      </c>
      <c r="I3321" t="n">
        <v>0</v>
      </c>
      <c r="J3321" t="n">
        <v>0</v>
      </c>
      <c r="K3321" t="n">
        <v>0</v>
      </c>
      <c r="L3321" t="n">
        <v>0</v>
      </c>
      <c r="M3321" t="n">
        <v>0</v>
      </c>
      <c r="N3321" t="n">
        <v>0</v>
      </c>
      <c r="O3321" t="n">
        <v>0</v>
      </c>
      <c r="P3321" t="n">
        <v>0</v>
      </c>
      <c r="Q3321" t="n">
        <v>0</v>
      </c>
      <c r="R3321" s="2" t="inlineStr"/>
    </row>
    <row r="3322" ht="15" customHeight="1">
      <c r="A3322" t="inlineStr">
        <is>
          <t>A 8511-2020</t>
        </is>
      </c>
      <c r="B3322" s="1" t="n">
        <v>43875</v>
      </c>
      <c r="C3322" s="1" t="n">
        <v>45190</v>
      </c>
      <c r="D3322" t="inlineStr">
        <is>
          <t>KALMAR LÄN</t>
        </is>
      </c>
      <c r="E3322" t="inlineStr">
        <is>
          <t>NYBRO</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8508-2020</t>
        </is>
      </c>
      <c r="B3323" s="1" t="n">
        <v>43875</v>
      </c>
      <c r="C3323" s="1" t="n">
        <v>45190</v>
      </c>
      <c r="D3323" t="inlineStr">
        <is>
          <t>KALMAR LÄN</t>
        </is>
      </c>
      <c r="E3323" t="inlineStr">
        <is>
          <t>OSKARSHAMN</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8453-2020</t>
        </is>
      </c>
      <c r="B3324" s="1" t="n">
        <v>43875</v>
      </c>
      <c r="C3324" s="1" t="n">
        <v>45190</v>
      </c>
      <c r="D3324" t="inlineStr">
        <is>
          <t>KALMAR LÄN</t>
        </is>
      </c>
      <c r="E3324" t="inlineStr">
        <is>
          <t>KALMAR</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8507-2020</t>
        </is>
      </c>
      <c r="B3325" s="1" t="n">
        <v>43875</v>
      </c>
      <c r="C3325" s="1" t="n">
        <v>45190</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8506-2020</t>
        </is>
      </c>
      <c r="B3326" s="1" t="n">
        <v>43875</v>
      </c>
      <c r="C3326" s="1" t="n">
        <v>45190</v>
      </c>
      <c r="D3326" t="inlineStr">
        <is>
          <t>KALMAR LÄN</t>
        </is>
      </c>
      <c r="E3326" t="inlineStr">
        <is>
          <t>OSKARSHAMN</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8555-2020</t>
        </is>
      </c>
      <c r="B3327" s="1" t="n">
        <v>43877</v>
      </c>
      <c r="C3327" s="1" t="n">
        <v>45190</v>
      </c>
      <c r="D3327" t="inlineStr">
        <is>
          <t>KALMAR LÄN</t>
        </is>
      </c>
      <c r="E3327" t="inlineStr">
        <is>
          <t>NYBRO</t>
        </is>
      </c>
      <c r="G3327" t="n">
        <v>16.1</v>
      </c>
      <c r="H3327" t="n">
        <v>0</v>
      </c>
      <c r="I3327" t="n">
        <v>0</v>
      </c>
      <c r="J3327" t="n">
        <v>0</v>
      </c>
      <c r="K3327" t="n">
        <v>0</v>
      </c>
      <c r="L3327" t="n">
        <v>0</v>
      </c>
      <c r="M3327" t="n">
        <v>0</v>
      </c>
      <c r="N3327" t="n">
        <v>0</v>
      </c>
      <c r="O3327" t="n">
        <v>0</v>
      </c>
      <c r="P3327" t="n">
        <v>0</v>
      </c>
      <c r="Q3327" t="n">
        <v>0</v>
      </c>
      <c r="R3327" s="2" t="inlineStr"/>
    </row>
    <row r="3328" ht="15" customHeight="1">
      <c r="A3328" t="inlineStr">
        <is>
          <t>A 8675-2020</t>
        </is>
      </c>
      <c r="B3328" s="1" t="n">
        <v>43878</v>
      </c>
      <c r="C3328" s="1" t="n">
        <v>45190</v>
      </c>
      <c r="D3328" t="inlineStr">
        <is>
          <t>KALMAR LÄN</t>
        </is>
      </c>
      <c r="E3328" t="inlineStr">
        <is>
          <t>NYBRO</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8691-2020</t>
        </is>
      </c>
      <c r="B3329" s="1" t="n">
        <v>43878</v>
      </c>
      <c r="C3329" s="1" t="n">
        <v>45190</v>
      </c>
      <c r="D3329" t="inlineStr">
        <is>
          <t>KALMAR LÄN</t>
        </is>
      </c>
      <c r="E3329" t="inlineStr">
        <is>
          <t>VIMMERBY</t>
        </is>
      </c>
      <c r="G3329" t="n">
        <v>5.1</v>
      </c>
      <c r="H3329" t="n">
        <v>0</v>
      </c>
      <c r="I3329" t="n">
        <v>0</v>
      </c>
      <c r="J3329" t="n">
        <v>0</v>
      </c>
      <c r="K3329" t="n">
        <v>0</v>
      </c>
      <c r="L3329" t="n">
        <v>0</v>
      </c>
      <c r="M3329" t="n">
        <v>0</v>
      </c>
      <c r="N3329" t="n">
        <v>0</v>
      </c>
      <c r="O3329" t="n">
        <v>0</v>
      </c>
      <c r="P3329" t="n">
        <v>0</v>
      </c>
      <c r="Q3329" t="n">
        <v>0</v>
      </c>
      <c r="R3329" s="2" t="inlineStr"/>
    </row>
    <row r="3330" ht="15" customHeight="1">
      <c r="A3330" t="inlineStr">
        <is>
          <t>A 8805-2020</t>
        </is>
      </c>
      <c r="B3330" s="1" t="n">
        <v>43878</v>
      </c>
      <c r="C3330" s="1" t="n">
        <v>45190</v>
      </c>
      <c r="D3330" t="inlineStr">
        <is>
          <t>KALMAR LÄN</t>
        </is>
      </c>
      <c r="E3330" t="inlineStr">
        <is>
          <t>HULTSFRED</t>
        </is>
      </c>
      <c r="G3330" t="n">
        <v>3.6</v>
      </c>
      <c r="H3330" t="n">
        <v>0</v>
      </c>
      <c r="I3330" t="n">
        <v>0</v>
      </c>
      <c r="J3330" t="n">
        <v>0</v>
      </c>
      <c r="K3330" t="n">
        <v>0</v>
      </c>
      <c r="L3330" t="n">
        <v>0</v>
      </c>
      <c r="M3330" t="n">
        <v>0</v>
      </c>
      <c r="N3330" t="n">
        <v>0</v>
      </c>
      <c r="O3330" t="n">
        <v>0</v>
      </c>
      <c r="P3330" t="n">
        <v>0</v>
      </c>
      <c r="Q3330" t="n">
        <v>0</v>
      </c>
      <c r="R3330" s="2" t="inlineStr"/>
    </row>
    <row r="3331" ht="15" customHeight="1">
      <c r="A3331" t="inlineStr">
        <is>
          <t>A 8673-2020</t>
        </is>
      </c>
      <c r="B3331" s="1" t="n">
        <v>43878</v>
      </c>
      <c r="C3331" s="1" t="n">
        <v>45190</v>
      </c>
      <c r="D3331" t="inlineStr">
        <is>
          <t>KALMAR LÄN</t>
        </is>
      </c>
      <c r="E3331" t="inlineStr">
        <is>
          <t>NYBRO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8736-2020</t>
        </is>
      </c>
      <c r="B3332" s="1" t="n">
        <v>43878</v>
      </c>
      <c r="C3332" s="1" t="n">
        <v>45190</v>
      </c>
      <c r="D3332" t="inlineStr">
        <is>
          <t>KALMAR LÄN</t>
        </is>
      </c>
      <c r="E3332" t="inlineStr">
        <is>
          <t>TORSÅS</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8818-2020</t>
        </is>
      </c>
      <c r="B3333" s="1" t="n">
        <v>43878</v>
      </c>
      <c r="C3333" s="1" t="n">
        <v>45190</v>
      </c>
      <c r="D3333" t="inlineStr">
        <is>
          <t>KALMAR LÄN</t>
        </is>
      </c>
      <c r="E3333" t="inlineStr">
        <is>
          <t>HULTSFRED</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8645-2020</t>
        </is>
      </c>
      <c r="B3334" s="1" t="n">
        <v>43878</v>
      </c>
      <c r="C3334" s="1" t="n">
        <v>45190</v>
      </c>
      <c r="D3334" t="inlineStr">
        <is>
          <t>KALMAR LÄN</t>
        </is>
      </c>
      <c r="E3334" t="inlineStr">
        <is>
          <t>NYBRO</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9168-2020</t>
        </is>
      </c>
      <c r="B3335" s="1" t="n">
        <v>43879</v>
      </c>
      <c r="C3335" s="1" t="n">
        <v>45190</v>
      </c>
      <c r="D3335" t="inlineStr">
        <is>
          <t>KALMAR LÄN</t>
        </is>
      </c>
      <c r="E3335" t="inlineStr">
        <is>
          <t>VÄSTERVIK</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8999-2020</t>
        </is>
      </c>
      <c r="B3336" s="1" t="n">
        <v>43879</v>
      </c>
      <c r="C3336" s="1" t="n">
        <v>45190</v>
      </c>
      <c r="D3336" t="inlineStr">
        <is>
          <t>KALMAR LÄN</t>
        </is>
      </c>
      <c r="E3336" t="inlineStr">
        <is>
          <t>HULTSFRED</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9023-2020</t>
        </is>
      </c>
      <c r="B3337" s="1" t="n">
        <v>43879</v>
      </c>
      <c r="C3337" s="1" t="n">
        <v>45190</v>
      </c>
      <c r="D3337" t="inlineStr">
        <is>
          <t>KALMAR LÄN</t>
        </is>
      </c>
      <c r="E3337" t="inlineStr">
        <is>
          <t>NYBRO</t>
        </is>
      </c>
      <c r="F3337" t="inlineStr">
        <is>
          <t>Kyrkan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9151-2020</t>
        </is>
      </c>
      <c r="B3338" s="1" t="n">
        <v>43879</v>
      </c>
      <c r="C3338" s="1" t="n">
        <v>45190</v>
      </c>
      <c r="D3338" t="inlineStr">
        <is>
          <t>KALMAR LÄN</t>
        </is>
      </c>
      <c r="E3338" t="inlineStr">
        <is>
          <t>VIMMERBY</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9283-2020</t>
        </is>
      </c>
      <c r="B3339" s="1" t="n">
        <v>43879</v>
      </c>
      <c r="C3339" s="1" t="n">
        <v>45190</v>
      </c>
      <c r="D3339" t="inlineStr">
        <is>
          <t>KALMAR LÄN</t>
        </is>
      </c>
      <c r="E3339" t="inlineStr">
        <is>
          <t>NYBRO</t>
        </is>
      </c>
      <c r="F3339" t="inlineStr">
        <is>
          <t>Kyrkan</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8996-2020</t>
        </is>
      </c>
      <c r="B3340" s="1" t="n">
        <v>43879</v>
      </c>
      <c r="C3340" s="1" t="n">
        <v>45190</v>
      </c>
      <c r="D3340" t="inlineStr">
        <is>
          <t>KALMAR LÄN</t>
        </is>
      </c>
      <c r="E3340" t="inlineStr">
        <is>
          <t>HULTSFRED</t>
        </is>
      </c>
      <c r="F3340" t="inlineStr">
        <is>
          <t>Kommuner</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9107-2020</t>
        </is>
      </c>
      <c r="B3341" s="1" t="n">
        <v>43879</v>
      </c>
      <c r="C3341" s="1" t="n">
        <v>45190</v>
      </c>
      <c r="D3341" t="inlineStr">
        <is>
          <t>KALMAR LÄN</t>
        </is>
      </c>
      <c r="E3341" t="inlineStr">
        <is>
          <t>HULTSFRED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9332-2020</t>
        </is>
      </c>
      <c r="B3342" s="1" t="n">
        <v>43880</v>
      </c>
      <c r="C3342" s="1" t="n">
        <v>45190</v>
      </c>
      <c r="D3342" t="inlineStr">
        <is>
          <t>KALMAR LÄN</t>
        </is>
      </c>
      <c r="E3342" t="inlineStr">
        <is>
          <t>VÄSTERVIK</t>
        </is>
      </c>
      <c r="G3342" t="n">
        <v>1.4</v>
      </c>
      <c r="H3342" t="n">
        <v>0</v>
      </c>
      <c r="I3342" t="n">
        <v>0</v>
      </c>
      <c r="J3342" t="n">
        <v>0</v>
      </c>
      <c r="K3342" t="n">
        <v>0</v>
      </c>
      <c r="L3342" t="n">
        <v>0</v>
      </c>
      <c r="M3342" t="n">
        <v>0</v>
      </c>
      <c r="N3342" t="n">
        <v>0</v>
      </c>
      <c r="O3342" t="n">
        <v>0</v>
      </c>
      <c r="P3342" t="n">
        <v>0</v>
      </c>
      <c r="Q3342" t="n">
        <v>0</v>
      </c>
      <c r="R3342" s="2" t="inlineStr"/>
    </row>
    <row r="3343" ht="15" customHeight="1">
      <c r="A3343" t="inlineStr">
        <is>
          <t>A 9377-2020</t>
        </is>
      </c>
      <c r="B3343" s="1" t="n">
        <v>43880</v>
      </c>
      <c r="C3343" s="1" t="n">
        <v>45190</v>
      </c>
      <c r="D3343" t="inlineStr">
        <is>
          <t>KALMAR LÄN</t>
        </is>
      </c>
      <c r="E3343" t="inlineStr">
        <is>
          <t>OSKARSHAMN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9410-2020</t>
        </is>
      </c>
      <c r="B3344" s="1" t="n">
        <v>43880</v>
      </c>
      <c r="C3344" s="1" t="n">
        <v>45190</v>
      </c>
      <c r="D3344" t="inlineStr">
        <is>
          <t>KALMAR LÄN</t>
        </is>
      </c>
      <c r="E3344" t="inlineStr">
        <is>
          <t>NYBRO</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9322-2020</t>
        </is>
      </c>
      <c r="B3345" s="1" t="n">
        <v>43880</v>
      </c>
      <c r="C3345" s="1" t="n">
        <v>45190</v>
      </c>
      <c r="D3345" t="inlineStr">
        <is>
          <t>KALMAR LÄN</t>
        </is>
      </c>
      <c r="E3345" t="inlineStr">
        <is>
          <t>KALMAR</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9382-2020</t>
        </is>
      </c>
      <c r="B3346" s="1" t="n">
        <v>43880</v>
      </c>
      <c r="C3346" s="1" t="n">
        <v>45190</v>
      </c>
      <c r="D3346" t="inlineStr">
        <is>
          <t>KALMAR LÄN</t>
        </is>
      </c>
      <c r="E3346" t="inlineStr">
        <is>
          <t>VIMMERBY</t>
        </is>
      </c>
      <c r="G3346" t="n">
        <v>2.5</v>
      </c>
      <c r="H3346" t="n">
        <v>0</v>
      </c>
      <c r="I3346" t="n">
        <v>0</v>
      </c>
      <c r="J3346" t="n">
        <v>0</v>
      </c>
      <c r="K3346" t="n">
        <v>0</v>
      </c>
      <c r="L3346" t="n">
        <v>0</v>
      </c>
      <c r="M3346" t="n">
        <v>0</v>
      </c>
      <c r="N3346" t="n">
        <v>0</v>
      </c>
      <c r="O3346" t="n">
        <v>0</v>
      </c>
      <c r="P3346" t="n">
        <v>0</v>
      </c>
      <c r="Q3346" t="n">
        <v>0</v>
      </c>
      <c r="R3346" s="2" t="inlineStr"/>
    </row>
    <row r="3347" ht="15" customHeight="1">
      <c r="A3347" t="inlineStr">
        <is>
          <t>A 9415-2020</t>
        </is>
      </c>
      <c r="B3347" s="1" t="n">
        <v>43880</v>
      </c>
      <c r="C3347" s="1" t="n">
        <v>45190</v>
      </c>
      <c r="D3347" t="inlineStr">
        <is>
          <t>KALMAR LÄN</t>
        </is>
      </c>
      <c r="E3347" t="inlineStr">
        <is>
          <t>EMMABODA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9434-2020</t>
        </is>
      </c>
      <c r="B3348" s="1" t="n">
        <v>43880</v>
      </c>
      <c r="C3348" s="1" t="n">
        <v>45190</v>
      </c>
      <c r="D3348" t="inlineStr">
        <is>
          <t>KALMAR LÄN</t>
        </is>
      </c>
      <c r="E3348" t="inlineStr">
        <is>
          <t>NYBRO</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9280-2020</t>
        </is>
      </c>
      <c r="B3349" s="1" t="n">
        <v>43880</v>
      </c>
      <c r="C3349" s="1" t="n">
        <v>45190</v>
      </c>
      <c r="D3349" t="inlineStr">
        <is>
          <t>KALMAR LÄN</t>
        </is>
      </c>
      <c r="E3349" t="inlineStr">
        <is>
          <t>HULTSFRED</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9547-2020</t>
        </is>
      </c>
      <c r="B3350" s="1" t="n">
        <v>43881</v>
      </c>
      <c r="C3350" s="1" t="n">
        <v>45190</v>
      </c>
      <c r="D3350" t="inlineStr">
        <is>
          <t>KALMAR LÄN</t>
        </is>
      </c>
      <c r="E3350" t="inlineStr">
        <is>
          <t>MÖNSTERÅS</t>
        </is>
      </c>
      <c r="G3350" t="n">
        <v>4.9</v>
      </c>
      <c r="H3350" t="n">
        <v>0</v>
      </c>
      <c r="I3350" t="n">
        <v>0</v>
      </c>
      <c r="J3350" t="n">
        <v>0</v>
      </c>
      <c r="K3350" t="n">
        <v>0</v>
      </c>
      <c r="L3350" t="n">
        <v>0</v>
      </c>
      <c r="M3350" t="n">
        <v>0</v>
      </c>
      <c r="N3350" t="n">
        <v>0</v>
      </c>
      <c r="O3350" t="n">
        <v>0</v>
      </c>
      <c r="P3350" t="n">
        <v>0</v>
      </c>
      <c r="Q3350" t="n">
        <v>0</v>
      </c>
      <c r="R3350" s="2" t="inlineStr"/>
    </row>
    <row r="3351" ht="15" customHeight="1">
      <c r="A3351" t="inlineStr">
        <is>
          <t>A 9863-2020</t>
        </is>
      </c>
      <c r="B3351" s="1" t="n">
        <v>43881</v>
      </c>
      <c r="C3351" s="1" t="n">
        <v>45190</v>
      </c>
      <c r="D3351" t="inlineStr">
        <is>
          <t>KALMAR LÄN</t>
        </is>
      </c>
      <c r="E3351" t="inlineStr">
        <is>
          <t>EMMABODA</t>
        </is>
      </c>
      <c r="F3351" t="inlineStr">
        <is>
          <t>Kyrkan</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9809-2020</t>
        </is>
      </c>
      <c r="B3352" s="1" t="n">
        <v>43881</v>
      </c>
      <c r="C3352" s="1" t="n">
        <v>45190</v>
      </c>
      <c r="D3352" t="inlineStr">
        <is>
          <t>KALMAR LÄN</t>
        </is>
      </c>
      <c r="E3352" t="inlineStr">
        <is>
          <t>OSKARSHAMN</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9873-2020</t>
        </is>
      </c>
      <c r="B3353" s="1" t="n">
        <v>43881</v>
      </c>
      <c r="C3353" s="1" t="n">
        <v>45190</v>
      </c>
      <c r="D3353" t="inlineStr">
        <is>
          <t>KALMAR LÄN</t>
        </is>
      </c>
      <c r="E3353" t="inlineStr">
        <is>
          <t>EMMABODA</t>
        </is>
      </c>
      <c r="F3353" t="inlineStr">
        <is>
          <t>Kyrkan</t>
        </is>
      </c>
      <c r="G3353" t="n">
        <v>2.8</v>
      </c>
      <c r="H3353" t="n">
        <v>0</v>
      </c>
      <c r="I3353" t="n">
        <v>0</v>
      </c>
      <c r="J3353" t="n">
        <v>0</v>
      </c>
      <c r="K3353" t="n">
        <v>0</v>
      </c>
      <c r="L3353" t="n">
        <v>0</v>
      </c>
      <c r="M3353" t="n">
        <v>0</v>
      </c>
      <c r="N3353" t="n">
        <v>0</v>
      </c>
      <c r="O3353" t="n">
        <v>0</v>
      </c>
      <c r="P3353" t="n">
        <v>0</v>
      </c>
      <c r="Q3353" t="n">
        <v>0</v>
      </c>
      <c r="R3353" s="2" t="inlineStr"/>
    </row>
    <row r="3354" ht="15" customHeight="1">
      <c r="A3354" t="inlineStr">
        <is>
          <t>A 9564-2020</t>
        </is>
      </c>
      <c r="B3354" s="1" t="n">
        <v>43881</v>
      </c>
      <c r="C3354" s="1" t="n">
        <v>45190</v>
      </c>
      <c r="D3354" t="inlineStr">
        <is>
          <t>KALMAR LÄN</t>
        </is>
      </c>
      <c r="E3354" t="inlineStr">
        <is>
          <t>KALMAR</t>
        </is>
      </c>
      <c r="G3354" t="n">
        <v>8</v>
      </c>
      <c r="H3354" t="n">
        <v>0</v>
      </c>
      <c r="I3354" t="n">
        <v>0</v>
      </c>
      <c r="J3354" t="n">
        <v>0</v>
      </c>
      <c r="K3354" t="n">
        <v>0</v>
      </c>
      <c r="L3354" t="n">
        <v>0</v>
      </c>
      <c r="M3354" t="n">
        <v>0</v>
      </c>
      <c r="N3354" t="n">
        <v>0</v>
      </c>
      <c r="O3354" t="n">
        <v>0</v>
      </c>
      <c r="P3354" t="n">
        <v>0</v>
      </c>
      <c r="Q3354" t="n">
        <v>0</v>
      </c>
      <c r="R3354" s="2" t="inlineStr"/>
    </row>
    <row r="3355" ht="15" customHeight="1">
      <c r="A3355" t="inlineStr">
        <is>
          <t>A 9718-2020</t>
        </is>
      </c>
      <c r="B3355" s="1" t="n">
        <v>43881</v>
      </c>
      <c r="C3355" s="1" t="n">
        <v>45190</v>
      </c>
      <c r="D3355" t="inlineStr">
        <is>
          <t>KALMAR LÄN</t>
        </is>
      </c>
      <c r="E3355" t="inlineStr">
        <is>
          <t>VIMMERBY</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9691-2020</t>
        </is>
      </c>
      <c r="B3356" s="1" t="n">
        <v>43881</v>
      </c>
      <c r="C3356" s="1" t="n">
        <v>45190</v>
      </c>
      <c r="D3356" t="inlineStr">
        <is>
          <t>KALMAR LÄN</t>
        </is>
      </c>
      <c r="E3356" t="inlineStr">
        <is>
          <t>MÖNSTERÅS</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9781-2020</t>
        </is>
      </c>
      <c r="B3357" s="1" t="n">
        <v>43881</v>
      </c>
      <c r="C3357" s="1" t="n">
        <v>45190</v>
      </c>
      <c r="D3357" t="inlineStr">
        <is>
          <t>KALMAR LÄN</t>
        </is>
      </c>
      <c r="E3357" t="inlineStr">
        <is>
          <t>EMMABODA</t>
        </is>
      </c>
      <c r="G3357" t="n">
        <v>1.7</v>
      </c>
      <c r="H3357" t="n">
        <v>0</v>
      </c>
      <c r="I3357" t="n">
        <v>0</v>
      </c>
      <c r="J3357" t="n">
        <v>0</v>
      </c>
      <c r="K3357" t="n">
        <v>0</v>
      </c>
      <c r="L3357" t="n">
        <v>0</v>
      </c>
      <c r="M3357" t="n">
        <v>0</v>
      </c>
      <c r="N3357" t="n">
        <v>0</v>
      </c>
      <c r="O3357" t="n">
        <v>0</v>
      </c>
      <c r="P3357" t="n">
        <v>0</v>
      </c>
      <c r="Q3357" t="n">
        <v>0</v>
      </c>
      <c r="R3357" s="2" t="inlineStr"/>
    </row>
    <row r="3358" ht="15" customHeight="1">
      <c r="A3358" t="inlineStr">
        <is>
          <t>A 9849-2020</t>
        </is>
      </c>
      <c r="B3358" s="1" t="n">
        <v>43882</v>
      </c>
      <c r="C3358" s="1" t="n">
        <v>45190</v>
      </c>
      <c r="D3358" t="inlineStr">
        <is>
          <t>KALMAR LÄN</t>
        </is>
      </c>
      <c r="E3358" t="inlineStr">
        <is>
          <t>OSKARSHAMN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9911-2020</t>
        </is>
      </c>
      <c r="B3359" s="1" t="n">
        <v>43882</v>
      </c>
      <c r="C3359" s="1" t="n">
        <v>45190</v>
      </c>
      <c r="D3359" t="inlineStr">
        <is>
          <t>KALMAR LÄN</t>
        </is>
      </c>
      <c r="E3359" t="inlineStr">
        <is>
          <t>MÖNSTERÅS</t>
        </is>
      </c>
      <c r="G3359" t="n">
        <v>1.9</v>
      </c>
      <c r="H3359" t="n">
        <v>0</v>
      </c>
      <c r="I3359" t="n">
        <v>0</v>
      </c>
      <c r="J3359" t="n">
        <v>0</v>
      </c>
      <c r="K3359" t="n">
        <v>0</v>
      </c>
      <c r="L3359" t="n">
        <v>0</v>
      </c>
      <c r="M3359" t="n">
        <v>0</v>
      </c>
      <c r="N3359" t="n">
        <v>0</v>
      </c>
      <c r="O3359" t="n">
        <v>0</v>
      </c>
      <c r="P3359" t="n">
        <v>0</v>
      </c>
      <c r="Q3359" t="n">
        <v>0</v>
      </c>
      <c r="R3359" s="2" t="inlineStr"/>
    </row>
    <row r="3360" ht="15" customHeight="1">
      <c r="A3360" t="inlineStr">
        <is>
          <t>A 9918-2020</t>
        </is>
      </c>
      <c r="B3360" s="1" t="n">
        <v>43882</v>
      </c>
      <c r="C3360" s="1" t="n">
        <v>45190</v>
      </c>
      <c r="D3360" t="inlineStr">
        <is>
          <t>KALMAR LÄN</t>
        </is>
      </c>
      <c r="E3360" t="inlineStr">
        <is>
          <t>HULTSFRED</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9844-2020</t>
        </is>
      </c>
      <c r="B3361" s="1" t="n">
        <v>43882</v>
      </c>
      <c r="C3361" s="1" t="n">
        <v>45190</v>
      </c>
      <c r="D3361" t="inlineStr">
        <is>
          <t>KALMAR LÄN</t>
        </is>
      </c>
      <c r="E3361" t="inlineStr">
        <is>
          <t>OSKARSHAMN</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9895-2020</t>
        </is>
      </c>
      <c r="B3362" s="1" t="n">
        <v>43882</v>
      </c>
      <c r="C3362" s="1" t="n">
        <v>45190</v>
      </c>
      <c r="D3362" t="inlineStr">
        <is>
          <t>KALMAR LÄN</t>
        </is>
      </c>
      <c r="E3362" t="inlineStr">
        <is>
          <t>MÖNSTERÅS</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9839-2020</t>
        </is>
      </c>
      <c r="B3363" s="1" t="n">
        <v>43882</v>
      </c>
      <c r="C3363" s="1" t="n">
        <v>45190</v>
      </c>
      <c r="D3363" t="inlineStr">
        <is>
          <t>KALMAR LÄN</t>
        </is>
      </c>
      <c r="E3363" t="inlineStr">
        <is>
          <t>OSKARSHAMN</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9913-2020</t>
        </is>
      </c>
      <c r="B3364" s="1" t="n">
        <v>43882</v>
      </c>
      <c r="C3364" s="1" t="n">
        <v>45190</v>
      </c>
      <c r="D3364" t="inlineStr">
        <is>
          <t>KALMAR LÄN</t>
        </is>
      </c>
      <c r="E3364" t="inlineStr">
        <is>
          <t>MÖNSTERÅS</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9855-2020</t>
        </is>
      </c>
      <c r="B3365" s="1" t="n">
        <v>43882</v>
      </c>
      <c r="C3365" s="1" t="n">
        <v>45190</v>
      </c>
      <c r="D3365" t="inlineStr">
        <is>
          <t>KALMAR LÄN</t>
        </is>
      </c>
      <c r="E3365" t="inlineStr">
        <is>
          <t>OSKARSHAMN</t>
        </is>
      </c>
      <c r="G3365" t="n">
        <v>6.7</v>
      </c>
      <c r="H3365" t="n">
        <v>0</v>
      </c>
      <c r="I3365" t="n">
        <v>0</v>
      </c>
      <c r="J3365" t="n">
        <v>0</v>
      </c>
      <c r="K3365" t="n">
        <v>0</v>
      </c>
      <c r="L3365" t="n">
        <v>0</v>
      </c>
      <c r="M3365" t="n">
        <v>0</v>
      </c>
      <c r="N3365" t="n">
        <v>0</v>
      </c>
      <c r="O3365" t="n">
        <v>0</v>
      </c>
      <c r="P3365" t="n">
        <v>0</v>
      </c>
      <c r="Q3365" t="n">
        <v>0</v>
      </c>
      <c r="R3365" s="2" t="inlineStr"/>
    </row>
    <row r="3366" ht="15" customHeight="1">
      <c r="A3366" t="inlineStr">
        <is>
          <t>A 9908-2020</t>
        </is>
      </c>
      <c r="B3366" s="1" t="n">
        <v>43882</v>
      </c>
      <c r="C3366" s="1" t="n">
        <v>45190</v>
      </c>
      <c r="D3366" t="inlineStr">
        <is>
          <t>KALMAR LÄN</t>
        </is>
      </c>
      <c r="E3366" t="inlineStr">
        <is>
          <t>BORGHOLM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10068-2020</t>
        </is>
      </c>
      <c r="B3367" s="1" t="n">
        <v>43883</v>
      </c>
      <c r="C3367" s="1" t="n">
        <v>45190</v>
      </c>
      <c r="D3367" t="inlineStr">
        <is>
          <t>KALMAR LÄN</t>
        </is>
      </c>
      <c r="E3367" t="inlineStr">
        <is>
          <t>OSKARSHAMN</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10082-2020</t>
        </is>
      </c>
      <c r="B3368" s="1" t="n">
        <v>43884</v>
      </c>
      <c r="C3368" s="1" t="n">
        <v>45190</v>
      </c>
      <c r="D3368" t="inlineStr">
        <is>
          <t>KALMAR LÄN</t>
        </is>
      </c>
      <c r="E3368" t="inlineStr">
        <is>
          <t>HÖGSBY</t>
        </is>
      </c>
      <c r="G3368" t="n">
        <v>4.2</v>
      </c>
      <c r="H3368" t="n">
        <v>0</v>
      </c>
      <c r="I3368" t="n">
        <v>0</v>
      </c>
      <c r="J3368" t="n">
        <v>0</v>
      </c>
      <c r="K3368" t="n">
        <v>0</v>
      </c>
      <c r="L3368" t="n">
        <v>0</v>
      </c>
      <c r="M3368" t="n">
        <v>0</v>
      </c>
      <c r="N3368" t="n">
        <v>0</v>
      </c>
      <c r="O3368" t="n">
        <v>0</v>
      </c>
      <c r="P3368" t="n">
        <v>0</v>
      </c>
      <c r="Q3368" t="n">
        <v>0</v>
      </c>
      <c r="R3368" s="2" t="inlineStr"/>
    </row>
    <row r="3369" ht="15" customHeight="1">
      <c r="A3369" t="inlineStr">
        <is>
          <t>A 10190-2020</t>
        </is>
      </c>
      <c r="B3369" s="1" t="n">
        <v>43885</v>
      </c>
      <c r="C3369" s="1" t="n">
        <v>45190</v>
      </c>
      <c r="D3369" t="inlineStr">
        <is>
          <t>KALMAR LÄN</t>
        </is>
      </c>
      <c r="E3369" t="inlineStr">
        <is>
          <t>TORSÅS</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10246-2020</t>
        </is>
      </c>
      <c r="B3370" s="1" t="n">
        <v>43885</v>
      </c>
      <c r="C3370" s="1" t="n">
        <v>45190</v>
      </c>
      <c r="D3370" t="inlineStr">
        <is>
          <t>KALMAR LÄN</t>
        </is>
      </c>
      <c r="E3370" t="inlineStr">
        <is>
          <t>HULTSFRED</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10397-2020</t>
        </is>
      </c>
      <c r="B3371" s="1" t="n">
        <v>43885</v>
      </c>
      <c r="C3371" s="1" t="n">
        <v>45190</v>
      </c>
      <c r="D3371" t="inlineStr">
        <is>
          <t>KALMAR LÄN</t>
        </is>
      </c>
      <c r="E3371" t="inlineStr">
        <is>
          <t>EMMABODA</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10373-2020</t>
        </is>
      </c>
      <c r="B3372" s="1" t="n">
        <v>43885</v>
      </c>
      <c r="C3372" s="1" t="n">
        <v>45190</v>
      </c>
      <c r="D3372" t="inlineStr">
        <is>
          <t>KALMAR LÄN</t>
        </is>
      </c>
      <c r="E3372" t="inlineStr">
        <is>
          <t>VÄSTERVIK</t>
        </is>
      </c>
      <c r="F3372" t="inlineStr">
        <is>
          <t>Kyrkan</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11067-2020</t>
        </is>
      </c>
      <c r="B3373" s="1" t="n">
        <v>43885</v>
      </c>
      <c r="C3373" s="1" t="n">
        <v>45190</v>
      </c>
      <c r="D3373" t="inlineStr">
        <is>
          <t>KALMAR LÄN</t>
        </is>
      </c>
      <c r="E3373" t="inlineStr">
        <is>
          <t>VÄSTERVIK</t>
        </is>
      </c>
      <c r="F3373" t="inlineStr">
        <is>
          <t>Övriga Aktiebolag</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10188-2020</t>
        </is>
      </c>
      <c r="B3374" s="1" t="n">
        <v>43885</v>
      </c>
      <c r="C3374" s="1" t="n">
        <v>45190</v>
      </c>
      <c r="D3374" t="inlineStr">
        <is>
          <t>KALMAR LÄN</t>
        </is>
      </c>
      <c r="E3374" t="inlineStr">
        <is>
          <t>TORSÅS</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10259-2020</t>
        </is>
      </c>
      <c r="B3375" s="1" t="n">
        <v>43885</v>
      </c>
      <c r="C3375" s="1" t="n">
        <v>45190</v>
      </c>
      <c r="D3375" t="inlineStr">
        <is>
          <t>KALMAR LÄN</t>
        </is>
      </c>
      <c r="E3375" t="inlineStr">
        <is>
          <t>HULTSFRED</t>
        </is>
      </c>
      <c r="G3375" t="n">
        <v>3.1</v>
      </c>
      <c r="H3375" t="n">
        <v>0</v>
      </c>
      <c r="I3375" t="n">
        <v>0</v>
      </c>
      <c r="J3375" t="n">
        <v>0</v>
      </c>
      <c r="K3375" t="n">
        <v>0</v>
      </c>
      <c r="L3375" t="n">
        <v>0</v>
      </c>
      <c r="M3375" t="n">
        <v>0</v>
      </c>
      <c r="N3375" t="n">
        <v>0</v>
      </c>
      <c r="O3375" t="n">
        <v>0</v>
      </c>
      <c r="P3375" t="n">
        <v>0</v>
      </c>
      <c r="Q3375" t="n">
        <v>0</v>
      </c>
      <c r="R3375" s="2" t="inlineStr"/>
    </row>
    <row r="3376" ht="15" customHeight="1">
      <c r="A3376" t="inlineStr">
        <is>
          <t>A 10419-2020</t>
        </is>
      </c>
      <c r="B3376" s="1" t="n">
        <v>43886</v>
      </c>
      <c r="C3376" s="1" t="n">
        <v>45190</v>
      </c>
      <c r="D3376" t="inlineStr">
        <is>
          <t>KALMAR LÄN</t>
        </is>
      </c>
      <c r="E3376" t="inlineStr">
        <is>
          <t>EMMABODA</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10519-2020</t>
        </is>
      </c>
      <c r="B3377" s="1" t="n">
        <v>43886</v>
      </c>
      <c r="C3377" s="1" t="n">
        <v>45190</v>
      </c>
      <c r="D3377" t="inlineStr">
        <is>
          <t>KALMAR LÄN</t>
        </is>
      </c>
      <c r="E3377" t="inlineStr">
        <is>
          <t>KALMAR</t>
        </is>
      </c>
      <c r="G3377" t="n">
        <v>4.2</v>
      </c>
      <c r="H3377" t="n">
        <v>0</v>
      </c>
      <c r="I3377" t="n">
        <v>0</v>
      </c>
      <c r="J3377" t="n">
        <v>0</v>
      </c>
      <c r="K3377" t="n">
        <v>0</v>
      </c>
      <c r="L3377" t="n">
        <v>0</v>
      </c>
      <c r="M3377" t="n">
        <v>0</v>
      </c>
      <c r="N3377" t="n">
        <v>0</v>
      </c>
      <c r="O3377" t="n">
        <v>0</v>
      </c>
      <c r="P3377" t="n">
        <v>0</v>
      </c>
      <c r="Q3377" t="n">
        <v>0</v>
      </c>
      <c r="R3377" s="2" t="inlineStr"/>
    </row>
    <row r="3378" ht="15" customHeight="1">
      <c r="A3378" t="inlineStr">
        <is>
          <t>A 10161-2020</t>
        </is>
      </c>
      <c r="B3378" s="1" t="n">
        <v>43886</v>
      </c>
      <c r="C3378" s="1" t="n">
        <v>45190</v>
      </c>
      <c r="D3378" t="inlineStr">
        <is>
          <t>KALMAR LÄN</t>
        </is>
      </c>
      <c r="E3378" t="inlineStr">
        <is>
          <t>OSKARSHAMN</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11181-2020</t>
        </is>
      </c>
      <c r="B3379" s="1" t="n">
        <v>43886</v>
      </c>
      <c r="C3379" s="1" t="n">
        <v>45190</v>
      </c>
      <c r="D3379" t="inlineStr">
        <is>
          <t>KALMAR LÄN</t>
        </is>
      </c>
      <c r="E3379" t="inlineStr">
        <is>
          <t>HULTSFRED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10099-2020</t>
        </is>
      </c>
      <c r="B3380" s="1" t="n">
        <v>43887</v>
      </c>
      <c r="C3380" s="1" t="n">
        <v>45190</v>
      </c>
      <c r="D3380" t="inlineStr">
        <is>
          <t>KALMAR LÄN</t>
        </is>
      </c>
      <c r="E3380" t="inlineStr">
        <is>
          <t>MÖNSTERÅS</t>
        </is>
      </c>
      <c r="G3380" t="n">
        <v>1.8</v>
      </c>
      <c r="H3380" t="n">
        <v>0</v>
      </c>
      <c r="I3380" t="n">
        <v>0</v>
      </c>
      <c r="J3380" t="n">
        <v>0</v>
      </c>
      <c r="K3380" t="n">
        <v>0</v>
      </c>
      <c r="L3380" t="n">
        <v>0</v>
      </c>
      <c r="M3380" t="n">
        <v>0</v>
      </c>
      <c r="N3380" t="n">
        <v>0</v>
      </c>
      <c r="O3380" t="n">
        <v>0</v>
      </c>
      <c r="P3380" t="n">
        <v>0</v>
      </c>
      <c r="Q3380" t="n">
        <v>0</v>
      </c>
      <c r="R3380" s="2" t="inlineStr"/>
    </row>
    <row r="3381" ht="15" customHeight="1">
      <c r="A3381" t="inlineStr">
        <is>
          <t>A 10221-2020</t>
        </is>
      </c>
      <c r="B3381" s="1" t="n">
        <v>43887</v>
      </c>
      <c r="C3381" s="1" t="n">
        <v>45190</v>
      </c>
      <c r="D3381" t="inlineStr">
        <is>
          <t>KALMAR LÄN</t>
        </is>
      </c>
      <c r="E3381" t="inlineStr">
        <is>
          <t>TORSÅS</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10328-2020</t>
        </is>
      </c>
      <c r="B3382" s="1" t="n">
        <v>43887</v>
      </c>
      <c r="C3382" s="1" t="n">
        <v>45190</v>
      </c>
      <c r="D3382" t="inlineStr">
        <is>
          <t>KALMAR LÄN</t>
        </is>
      </c>
      <c r="E3382" t="inlineStr">
        <is>
          <t>KALMAR</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10484-2020</t>
        </is>
      </c>
      <c r="B3383" s="1" t="n">
        <v>43887</v>
      </c>
      <c r="C3383" s="1" t="n">
        <v>45190</v>
      </c>
      <c r="D3383" t="inlineStr">
        <is>
          <t>KALMAR LÄN</t>
        </is>
      </c>
      <c r="E3383" t="inlineStr">
        <is>
          <t>VIMMERBY</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10614-2020</t>
        </is>
      </c>
      <c r="B3384" s="1" t="n">
        <v>43887</v>
      </c>
      <c r="C3384" s="1" t="n">
        <v>45190</v>
      </c>
      <c r="D3384" t="inlineStr">
        <is>
          <t>KALMAR LÄN</t>
        </is>
      </c>
      <c r="E3384" t="inlineStr">
        <is>
          <t>NYBRO</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10323-2020</t>
        </is>
      </c>
      <c r="B3385" s="1" t="n">
        <v>43887</v>
      </c>
      <c r="C3385" s="1" t="n">
        <v>45190</v>
      </c>
      <c r="D3385" t="inlineStr">
        <is>
          <t>KALMAR LÄN</t>
        </is>
      </c>
      <c r="E3385" t="inlineStr">
        <is>
          <t>KALMAR</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10327-2020</t>
        </is>
      </c>
      <c r="B3386" s="1" t="n">
        <v>43887</v>
      </c>
      <c r="C3386" s="1" t="n">
        <v>45190</v>
      </c>
      <c r="D3386" t="inlineStr">
        <is>
          <t>KALMAR LÄN</t>
        </is>
      </c>
      <c r="E3386" t="inlineStr">
        <is>
          <t>KALMAR</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10474-2020</t>
        </is>
      </c>
      <c r="B3387" s="1" t="n">
        <v>43887</v>
      </c>
      <c r="C3387" s="1" t="n">
        <v>45190</v>
      </c>
      <c r="D3387" t="inlineStr">
        <is>
          <t>KALMAR LÄN</t>
        </is>
      </c>
      <c r="E3387" t="inlineStr">
        <is>
          <t>VIMMERBY</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10619-2020</t>
        </is>
      </c>
      <c r="B3388" s="1" t="n">
        <v>43887</v>
      </c>
      <c r="C3388" s="1" t="n">
        <v>45190</v>
      </c>
      <c r="D3388" t="inlineStr">
        <is>
          <t>KALMAR LÄN</t>
        </is>
      </c>
      <c r="E3388" t="inlineStr">
        <is>
          <t>NYBRO</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10677-2020</t>
        </is>
      </c>
      <c r="B3389" s="1" t="n">
        <v>43887</v>
      </c>
      <c r="C3389" s="1" t="n">
        <v>45190</v>
      </c>
      <c r="D3389" t="inlineStr">
        <is>
          <t>KALMAR LÄN</t>
        </is>
      </c>
      <c r="E3389" t="inlineStr">
        <is>
          <t>HULTSFRED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11937-2020</t>
        </is>
      </c>
      <c r="B3390" s="1" t="n">
        <v>43888</v>
      </c>
      <c r="C3390" s="1" t="n">
        <v>45190</v>
      </c>
      <c r="D3390" t="inlineStr">
        <is>
          <t>KALMAR LÄN</t>
        </is>
      </c>
      <c r="E3390" t="inlineStr">
        <is>
          <t>EMMABODA</t>
        </is>
      </c>
      <c r="G3390" t="n">
        <v>6.3</v>
      </c>
      <c r="H3390" t="n">
        <v>0</v>
      </c>
      <c r="I3390" t="n">
        <v>0</v>
      </c>
      <c r="J3390" t="n">
        <v>0</v>
      </c>
      <c r="K3390" t="n">
        <v>0</v>
      </c>
      <c r="L3390" t="n">
        <v>0</v>
      </c>
      <c r="M3390" t="n">
        <v>0</v>
      </c>
      <c r="N3390" t="n">
        <v>0</v>
      </c>
      <c r="O3390" t="n">
        <v>0</v>
      </c>
      <c r="P3390" t="n">
        <v>0</v>
      </c>
      <c r="Q3390" t="n">
        <v>0</v>
      </c>
      <c r="R3390" s="2" t="inlineStr"/>
    </row>
    <row r="3391" ht="15" customHeight="1">
      <c r="A3391" t="inlineStr">
        <is>
          <t>A 10672-2020</t>
        </is>
      </c>
      <c r="B3391" s="1" t="n">
        <v>43888</v>
      </c>
      <c r="C3391" s="1" t="n">
        <v>45190</v>
      </c>
      <c r="D3391" t="inlineStr">
        <is>
          <t>KALMAR LÄN</t>
        </is>
      </c>
      <c r="E3391" t="inlineStr">
        <is>
          <t>NYBRO</t>
        </is>
      </c>
      <c r="G3391" t="n">
        <v>1.9</v>
      </c>
      <c r="H3391" t="n">
        <v>0</v>
      </c>
      <c r="I3391" t="n">
        <v>0</v>
      </c>
      <c r="J3391" t="n">
        <v>0</v>
      </c>
      <c r="K3391" t="n">
        <v>0</v>
      </c>
      <c r="L3391" t="n">
        <v>0</v>
      </c>
      <c r="M3391" t="n">
        <v>0</v>
      </c>
      <c r="N3391" t="n">
        <v>0</v>
      </c>
      <c r="O3391" t="n">
        <v>0</v>
      </c>
      <c r="P3391" t="n">
        <v>0</v>
      </c>
      <c r="Q3391" t="n">
        <v>0</v>
      </c>
      <c r="R3391" s="2" t="inlineStr"/>
    </row>
    <row r="3392" ht="15" customHeight="1">
      <c r="A3392" t="inlineStr">
        <is>
          <t>A 10923-2020</t>
        </is>
      </c>
      <c r="B3392" s="1" t="n">
        <v>43889</v>
      </c>
      <c r="C3392" s="1" t="n">
        <v>45190</v>
      </c>
      <c r="D3392" t="inlineStr">
        <is>
          <t>KALMAR LÄN</t>
        </is>
      </c>
      <c r="E3392" t="inlineStr">
        <is>
          <t>VIMMERBY</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10910-2020</t>
        </is>
      </c>
      <c r="B3393" s="1" t="n">
        <v>43889</v>
      </c>
      <c r="C3393" s="1" t="n">
        <v>45190</v>
      </c>
      <c r="D3393" t="inlineStr">
        <is>
          <t>KALMAR LÄN</t>
        </is>
      </c>
      <c r="E3393" t="inlineStr">
        <is>
          <t>EMMABODA</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10867-2020</t>
        </is>
      </c>
      <c r="B3394" s="1" t="n">
        <v>43889</v>
      </c>
      <c r="C3394" s="1" t="n">
        <v>45190</v>
      </c>
      <c r="D3394" t="inlineStr">
        <is>
          <t>KALMAR LÄN</t>
        </is>
      </c>
      <c r="E3394" t="inlineStr">
        <is>
          <t>HULTSFRED</t>
        </is>
      </c>
      <c r="F3394" t="inlineStr">
        <is>
          <t>Sveaskog</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10869-2020</t>
        </is>
      </c>
      <c r="B3395" s="1" t="n">
        <v>43889</v>
      </c>
      <c r="C3395" s="1" t="n">
        <v>45190</v>
      </c>
      <c r="D3395" t="inlineStr">
        <is>
          <t>KALMAR LÄN</t>
        </is>
      </c>
      <c r="E3395" t="inlineStr">
        <is>
          <t>HULTSFRED</t>
        </is>
      </c>
      <c r="F3395" t="inlineStr">
        <is>
          <t>Sveaskog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11147-2020</t>
        </is>
      </c>
      <c r="B3396" s="1" t="n">
        <v>43891</v>
      </c>
      <c r="C3396" s="1" t="n">
        <v>45190</v>
      </c>
      <c r="D3396" t="inlineStr">
        <is>
          <t>KALMAR LÄN</t>
        </is>
      </c>
      <c r="E3396" t="inlineStr">
        <is>
          <t>MÖNSTERÅS</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11196-2020</t>
        </is>
      </c>
      <c r="B3397" s="1" t="n">
        <v>43892</v>
      </c>
      <c r="C3397" s="1" t="n">
        <v>45190</v>
      </c>
      <c r="D3397" t="inlineStr">
        <is>
          <t>KALMAR LÄN</t>
        </is>
      </c>
      <c r="E3397" t="inlineStr">
        <is>
          <t>HULTSFRED</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11253-2020</t>
        </is>
      </c>
      <c r="B3398" s="1" t="n">
        <v>43892</v>
      </c>
      <c r="C3398" s="1" t="n">
        <v>45190</v>
      </c>
      <c r="D3398" t="inlineStr">
        <is>
          <t>KALMAR LÄN</t>
        </is>
      </c>
      <c r="E3398" t="inlineStr">
        <is>
          <t>VÄSTERVIK</t>
        </is>
      </c>
      <c r="F3398" t="inlineStr">
        <is>
          <t>Övriga Aktiebolag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11371-2020</t>
        </is>
      </c>
      <c r="B3399" s="1" t="n">
        <v>43892</v>
      </c>
      <c r="C3399" s="1" t="n">
        <v>45190</v>
      </c>
      <c r="D3399" t="inlineStr">
        <is>
          <t>KALMAR LÄN</t>
        </is>
      </c>
      <c r="E3399" t="inlineStr">
        <is>
          <t>TORSÅS</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11384-2020</t>
        </is>
      </c>
      <c r="B3400" s="1" t="n">
        <v>43892</v>
      </c>
      <c r="C3400" s="1" t="n">
        <v>45190</v>
      </c>
      <c r="D3400" t="inlineStr">
        <is>
          <t>KALMAR LÄN</t>
        </is>
      </c>
      <c r="E3400" t="inlineStr">
        <is>
          <t>TORSÅS</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11255-2020</t>
        </is>
      </c>
      <c r="B3401" s="1" t="n">
        <v>43892</v>
      </c>
      <c r="C3401" s="1" t="n">
        <v>45190</v>
      </c>
      <c r="D3401" t="inlineStr">
        <is>
          <t>KALMAR LÄN</t>
        </is>
      </c>
      <c r="E3401" t="inlineStr">
        <is>
          <t>VÄSTERVIK</t>
        </is>
      </c>
      <c r="F3401" t="inlineStr">
        <is>
          <t>Övriga Aktiebolag</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11243-2020</t>
        </is>
      </c>
      <c r="B3402" s="1" t="n">
        <v>43892</v>
      </c>
      <c r="C3402" s="1" t="n">
        <v>45190</v>
      </c>
      <c r="D3402" t="inlineStr">
        <is>
          <t>KALMAR LÄN</t>
        </is>
      </c>
      <c r="E3402" t="inlineStr">
        <is>
          <t>VIMMERBY</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11379-2020</t>
        </is>
      </c>
      <c r="B3403" s="1" t="n">
        <v>43892</v>
      </c>
      <c r="C3403" s="1" t="n">
        <v>45190</v>
      </c>
      <c r="D3403" t="inlineStr">
        <is>
          <t>KALMAR LÄN</t>
        </is>
      </c>
      <c r="E3403" t="inlineStr">
        <is>
          <t>TORSÅS</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11544-2020</t>
        </is>
      </c>
      <c r="B3404" s="1" t="n">
        <v>43893</v>
      </c>
      <c r="C3404" s="1" t="n">
        <v>45190</v>
      </c>
      <c r="D3404" t="inlineStr">
        <is>
          <t>KALMAR LÄN</t>
        </is>
      </c>
      <c r="E3404" t="inlineStr">
        <is>
          <t>NYBRO</t>
        </is>
      </c>
      <c r="G3404" t="n">
        <v>4.3</v>
      </c>
      <c r="H3404" t="n">
        <v>0</v>
      </c>
      <c r="I3404" t="n">
        <v>0</v>
      </c>
      <c r="J3404" t="n">
        <v>0</v>
      </c>
      <c r="K3404" t="n">
        <v>0</v>
      </c>
      <c r="L3404" t="n">
        <v>0</v>
      </c>
      <c r="M3404" t="n">
        <v>0</v>
      </c>
      <c r="N3404" t="n">
        <v>0</v>
      </c>
      <c r="O3404" t="n">
        <v>0</v>
      </c>
      <c r="P3404" t="n">
        <v>0</v>
      </c>
      <c r="Q3404" t="n">
        <v>0</v>
      </c>
      <c r="R3404" s="2" t="inlineStr"/>
    </row>
    <row r="3405" ht="15" customHeight="1">
      <c r="A3405" t="inlineStr">
        <is>
          <t>A 11702-2020</t>
        </is>
      </c>
      <c r="B3405" s="1" t="n">
        <v>43894</v>
      </c>
      <c r="C3405" s="1" t="n">
        <v>45190</v>
      </c>
      <c r="D3405" t="inlineStr">
        <is>
          <t>KALMAR LÄN</t>
        </is>
      </c>
      <c r="E3405" t="inlineStr">
        <is>
          <t>KALMAR</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12006-2020</t>
        </is>
      </c>
      <c r="B3406" s="1" t="n">
        <v>43894</v>
      </c>
      <c r="C3406" s="1" t="n">
        <v>45190</v>
      </c>
      <c r="D3406" t="inlineStr">
        <is>
          <t>KALMAR LÄN</t>
        </is>
      </c>
      <c r="E3406" t="inlineStr">
        <is>
          <t>NYBRO</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11927-2020</t>
        </is>
      </c>
      <c r="B3407" s="1" t="n">
        <v>43894</v>
      </c>
      <c r="C3407" s="1" t="n">
        <v>45190</v>
      </c>
      <c r="D3407" t="inlineStr">
        <is>
          <t>KALMAR LÄN</t>
        </is>
      </c>
      <c r="E3407" t="inlineStr">
        <is>
          <t>KALMAR</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12270-2020</t>
        </is>
      </c>
      <c r="B3408" s="1" t="n">
        <v>43895</v>
      </c>
      <c r="C3408" s="1" t="n">
        <v>45190</v>
      </c>
      <c r="D3408" t="inlineStr">
        <is>
          <t>KALMAR LÄN</t>
        </is>
      </c>
      <c r="E3408" t="inlineStr">
        <is>
          <t>MÖNSTERÅS</t>
        </is>
      </c>
      <c r="G3408" t="n">
        <v>4.5</v>
      </c>
      <c r="H3408" t="n">
        <v>0</v>
      </c>
      <c r="I3408" t="n">
        <v>0</v>
      </c>
      <c r="J3408" t="n">
        <v>0</v>
      </c>
      <c r="K3408" t="n">
        <v>0</v>
      </c>
      <c r="L3408" t="n">
        <v>0</v>
      </c>
      <c r="M3408" t="n">
        <v>0</v>
      </c>
      <c r="N3408" t="n">
        <v>0</v>
      </c>
      <c r="O3408" t="n">
        <v>0</v>
      </c>
      <c r="P3408" t="n">
        <v>0</v>
      </c>
      <c r="Q3408" t="n">
        <v>0</v>
      </c>
      <c r="R3408" s="2" t="inlineStr"/>
    </row>
    <row r="3409" ht="15" customHeight="1">
      <c r="A3409" t="inlineStr">
        <is>
          <t>A 12349-2020</t>
        </is>
      </c>
      <c r="B3409" s="1" t="n">
        <v>43896</v>
      </c>
      <c r="C3409" s="1" t="n">
        <v>45190</v>
      </c>
      <c r="D3409" t="inlineStr">
        <is>
          <t>KALMAR LÄN</t>
        </is>
      </c>
      <c r="E3409" t="inlineStr">
        <is>
          <t>EMMABODA</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12430-2020</t>
        </is>
      </c>
      <c r="B3410" s="1" t="n">
        <v>43896</v>
      </c>
      <c r="C3410" s="1" t="n">
        <v>45190</v>
      </c>
      <c r="D3410" t="inlineStr">
        <is>
          <t>KALMAR LÄN</t>
        </is>
      </c>
      <c r="E3410" t="inlineStr">
        <is>
          <t>VÄSTERVIK</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13619-2020</t>
        </is>
      </c>
      <c r="B3411" s="1" t="n">
        <v>43896</v>
      </c>
      <c r="C3411" s="1" t="n">
        <v>45190</v>
      </c>
      <c r="D3411" t="inlineStr">
        <is>
          <t>KALMAR LÄN</t>
        </is>
      </c>
      <c r="E3411" t="inlineStr">
        <is>
          <t>NYBRO</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12555-2020</t>
        </is>
      </c>
      <c r="B3412" s="1" t="n">
        <v>43898</v>
      </c>
      <c r="C3412" s="1" t="n">
        <v>45190</v>
      </c>
      <c r="D3412" t="inlineStr">
        <is>
          <t>KALMAR LÄN</t>
        </is>
      </c>
      <c r="E3412" t="inlineStr">
        <is>
          <t>TORSÅS</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13957-2020</t>
        </is>
      </c>
      <c r="B3413" s="1" t="n">
        <v>43899</v>
      </c>
      <c r="C3413" s="1" t="n">
        <v>45190</v>
      </c>
      <c r="D3413" t="inlineStr">
        <is>
          <t>KALMAR LÄN</t>
        </is>
      </c>
      <c r="E3413" t="inlineStr">
        <is>
          <t>KALMAR</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12612-2020</t>
        </is>
      </c>
      <c r="B3414" s="1" t="n">
        <v>43899</v>
      </c>
      <c r="C3414" s="1" t="n">
        <v>45190</v>
      </c>
      <c r="D3414" t="inlineStr">
        <is>
          <t>KALMAR LÄN</t>
        </is>
      </c>
      <c r="E3414" t="inlineStr">
        <is>
          <t>EMMABODA</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12849-2020</t>
        </is>
      </c>
      <c r="B3415" s="1" t="n">
        <v>43899</v>
      </c>
      <c r="C3415" s="1" t="n">
        <v>45190</v>
      </c>
      <c r="D3415" t="inlineStr">
        <is>
          <t>KALMAR LÄN</t>
        </is>
      </c>
      <c r="E3415" t="inlineStr">
        <is>
          <t>BORGHOLM</t>
        </is>
      </c>
      <c r="G3415" t="n">
        <v>4.5</v>
      </c>
      <c r="H3415" t="n">
        <v>0</v>
      </c>
      <c r="I3415" t="n">
        <v>0</v>
      </c>
      <c r="J3415" t="n">
        <v>0</v>
      </c>
      <c r="K3415" t="n">
        <v>0</v>
      </c>
      <c r="L3415" t="n">
        <v>0</v>
      </c>
      <c r="M3415" t="n">
        <v>0</v>
      </c>
      <c r="N3415" t="n">
        <v>0</v>
      </c>
      <c r="O3415" t="n">
        <v>0</v>
      </c>
      <c r="P3415" t="n">
        <v>0</v>
      </c>
      <c r="Q3415" t="n">
        <v>0</v>
      </c>
      <c r="R3415" s="2" t="inlineStr"/>
    </row>
    <row r="3416" ht="15" customHeight="1">
      <c r="A3416" t="inlineStr">
        <is>
          <t>A 12873-2020</t>
        </is>
      </c>
      <c r="B3416" s="1" t="n">
        <v>43899</v>
      </c>
      <c r="C3416" s="1" t="n">
        <v>45190</v>
      </c>
      <c r="D3416" t="inlineStr">
        <is>
          <t>KALMAR LÄN</t>
        </is>
      </c>
      <c r="E3416" t="inlineStr">
        <is>
          <t>NYBRO</t>
        </is>
      </c>
      <c r="G3416" t="n">
        <v>4.2</v>
      </c>
      <c r="H3416" t="n">
        <v>0</v>
      </c>
      <c r="I3416" t="n">
        <v>0</v>
      </c>
      <c r="J3416" t="n">
        <v>0</v>
      </c>
      <c r="K3416" t="n">
        <v>0</v>
      </c>
      <c r="L3416" t="n">
        <v>0</v>
      </c>
      <c r="M3416" t="n">
        <v>0</v>
      </c>
      <c r="N3416" t="n">
        <v>0</v>
      </c>
      <c r="O3416" t="n">
        <v>0</v>
      </c>
      <c r="P3416" t="n">
        <v>0</v>
      </c>
      <c r="Q3416" t="n">
        <v>0</v>
      </c>
      <c r="R3416" s="2" t="inlineStr"/>
    </row>
    <row r="3417" ht="15" customHeight="1">
      <c r="A3417" t="inlineStr">
        <is>
          <t>A 14174-2020</t>
        </is>
      </c>
      <c r="B3417" s="1" t="n">
        <v>43899</v>
      </c>
      <c r="C3417" s="1" t="n">
        <v>45190</v>
      </c>
      <c r="D3417" t="inlineStr">
        <is>
          <t>KALMAR LÄN</t>
        </is>
      </c>
      <c r="E3417" t="inlineStr">
        <is>
          <t>HULTSFRED</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12643-2020</t>
        </is>
      </c>
      <c r="B3418" s="1" t="n">
        <v>43899</v>
      </c>
      <c r="C3418" s="1" t="n">
        <v>45190</v>
      </c>
      <c r="D3418" t="inlineStr">
        <is>
          <t>KALMAR LÄN</t>
        </is>
      </c>
      <c r="E3418" t="inlineStr">
        <is>
          <t>EMMABODA</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12789-2020</t>
        </is>
      </c>
      <c r="B3419" s="1" t="n">
        <v>43899</v>
      </c>
      <c r="C3419" s="1" t="n">
        <v>45190</v>
      </c>
      <c r="D3419" t="inlineStr">
        <is>
          <t>KALMAR LÄN</t>
        </is>
      </c>
      <c r="E3419" t="inlineStr">
        <is>
          <t>OSKARSHAMN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12823-2020</t>
        </is>
      </c>
      <c r="B3420" s="1" t="n">
        <v>43899</v>
      </c>
      <c r="C3420" s="1" t="n">
        <v>45190</v>
      </c>
      <c r="D3420" t="inlineStr">
        <is>
          <t>KALMAR LÄN</t>
        </is>
      </c>
      <c r="E3420" t="inlineStr">
        <is>
          <t>VIMMERBY</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12616-2020</t>
        </is>
      </c>
      <c r="B3421" s="1" t="n">
        <v>43899</v>
      </c>
      <c r="C3421" s="1" t="n">
        <v>45190</v>
      </c>
      <c r="D3421" t="inlineStr">
        <is>
          <t>KALMAR LÄN</t>
        </is>
      </c>
      <c r="E3421" t="inlineStr">
        <is>
          <t>OSKARSHAMN</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12645-2020</t>
        </is>
      </c>
      <c r="B3422" s="1" t="n">
        <v>43899</v>
      </c>
      <c r="C3422" s="1" t="n">
        <v>45190</v>
      </c>
      <c r="D3422" t="inlineStr">
        <is>
          <t>KALMAR LÄN</t>
        </is>
      </c>
      <c r="E3422" t="inlineStr">
        <is>
          <t>EMMABODA</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12689-2020</t>
        </is>
      </c>
      <c r="B3423" s="1" t="n">
        <v>43899</v>
      </c>
      <c r="C3423" s="1" t="n">
        <v>45190</v>
      </c>
      <c r="D3423" t="inlineStr">
        <is>
          <t>KALMAR LÄN</t>
        </is>
      </c>
      <c r="E3423" t="inlineStr">
        <is>
          <t>EMMABODA</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14102-2020</t>
        </is>
      </c>
      <c r="B3424" s="1" t="n">
        <v>43900</v>
      </c>
      <c r="C3424" s="1" t="n">
        <v>45190</v>
      </c>
      <c r="D3424" t="inlineStr">
        <is>
          <t>KALMAR LÄN</t>
        </is>
      </c>
      <c r="E3424" t="inlineStr">
        <is>
          <t>EMMABODA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14945-2020</t>
        </is>
      </c>
      <c r="B3425" s="1" t="n">
        <v>43900</v>
      </c>
      <c r="C3425" s="1" t="n">
        <v>45190</v>
      </c>
      <c r="D3425" t="inlineStr">
        <is>
          <t>KALMAR LÄN</t>
        </is>
      </c>
      <c r="E3425" t="inlineStr">
        <is>
          <t>KALMAR</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12997-2020</t>
        </is>
      </c>
      <c r="B3426" s="1" t="n">
        <v>43900</v>
      </c>
      <c r="C3426" s="1" t="n">
        <v>45190</v>
      </c>
      <c r="D3426" t="inlineStr">
        <is>
          <t>KALMAR LÄN</t>
        </is>
      </c>
      <c r="E3426" t="inlineStr">
        <is>
          <t>MÖNSTERÅS</t>
        </is>
      </c>
      <c r="G3426" t="n">
        <v>3.8</v>
      </c>
      <c r="H3426" t="n">
        <v>0</v>
      </c>
      <c r="I3426" t="n">
        <v>0</v>
      </c>
      <c r="J3426" t="n">
        <v>0</v>
      </c>
      <c r="K3426" t="n">
        <v>0</v>
      </c>
      <c r="L3426" t="n">
        <v>0</v>
      </c>
      <c r="M3426" t="n">
        <v>0</v>
      </c>
      <c r="N3426" t="n">
        <v>0</v>
      </c>
      <c r="O3426" t="n">
        <v>0</v>
      </c>
      <c r="P3426" t="n">
        <v>0</v>
      </c>
      <c r="Q3426" t="n">
        <v>0</v>
      </c>
      <c r="R3426" s="2" t="inlineStr"/>
    </row>
    <row r="3427" ht="15" customHeight="1">
      <c r="A3427" t="inlineStr">
        <is>
          <t>A 13046-2020</t>
        </is>
      </c>
      <c r="B3427" s="1" t="n">
        <v>43900</v>
      </c>
      <c r="C3427" s="1" t="n">
        <v>45190</v>
      </c>
      <c r="D3427" t="inlineStr">
        <is>
          <t>KALMAR LÄN</t>
        </is>
      </c>
      <c r="E3427" t="inlineStr">
        <is>
          <t>HULTSFRED</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13496-2020</t>
        </is>
      </c>
      <c r="B3428" s="1" t="n">
        <v>43900</v>
      </c>
      <c r="C3428" s="1" t="n">
        <v>45190</v>
      </c>
      <c r="D3428" t="inlineStr">
        <is>
          <t>KALMAR LÄN</t>
        </is>
      </c>
      <c r="E3428" t="inlineStr">
        <is>
          <t>VIMMERBY</t>
        </is>
      </c>
      <c r="G3428" t="n">
        <v>2.8</v>
      </c>
      <c r="H3428" t="n">
        <v>0</v>
      </c>
      <c r="I3428" t="n">
        <v>0</v>
      </c>
      <c r="J3428" t="n">
        <v>0</v>
      </c>
      <c r="K3428" t="n">
        <v>0</v>
      </c>
      <c r="L3428" t="n">
        <v>0</v>
      </c>
      <c r="M3428" t="n">
        <v>0</v>
      </c>
      <c r="N3428" t="n">
        <v>0</v>
      </c>
      <c r="O3428" t="n">
        <v>0</v>
      </c>
      <c r="P3428" t="n">
        <v>0</v>
      </c>
      <c r="Q3428" t="n">
        <v>0</v>
      </c>
      <c r="R3428" s="2" t="inlineStr"/>
    </row>
    <row r="3429" ht="15" customHeight="1">
      <c r="A3429" t="inlineStr">
        <is>
          <t>A 13045-2020</t>
        </is>
      </c>
      <c r="B3429" s="1" t="n">
        <v>43900</v>
      </c>
      <c r="C3429" s="1" t="n">
        <v>45190</v>
      </c>
      <c r="D3429" t="inlineStr">
        <is>
          <t>KALMAR LÄN</t>
        </is>
      </c>
      <c r="E3429" t="inlineStr">
        <is>
          <t>HULTSFRED</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13227-2020</t>
        </is>
      </c>
      <c r="B3430" s="1" t="n">
        <v>43901</v>
      </c>
      <c r="C3430" s="1" t="n">
        <v>45190</v>
      </c>
      <c r="D3430" t="inlineStr">
        <is>
          <t>KALMAR LÄN</t>
        </is>
      </c>
      <c r="E3430" t="inlineStr">
        <is>
          <t>OSKARSHAMN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13228-2020</t>
        </is>
      </c>
      <c r="B3431" s="1" t="n">
        <v>43901</v>
      </c>
      <c r="C3431" s="1" t="n">
        <v>45190</v>
      </c>
      <c r="D3431" t="inlineStr">
        <is>
          <t>KALMAR LÄN</t>
        </is>
      </c>
      <c r="E3431" t="inlineStr">
        <is>
          <t>OSKARSHAMN</t>
        </is>
      </c>
      <c r="G3431" t="n">
        <v>2</v>
      </c>
      <c r="H3431" t="n">
        <v>0</v>
      </c>
      <c r="I3431" t="n">
        <v>0</v>
      </c>
      <c r="J3431" t="n">
        <v>0</v>
      </c>
      <c r="K3431" t="n">
        <v>0</v>
      </c>
      <c r="L3431" t="n">
        <v>0</v>
      </c>
      <c r="M3431" t="n">
        <v>0</v>
      </c>
      <c r="N3431" t="n">
        <v>0</v>
      </c>
      <c r="O3431" t="n">
        <v>0</v>
      </c>
      <c r="P3431" t="n">
        <v>0</v>
      </c>
      <c r="Q3431" t="n">
        <v>0</v>
      </c>
      <c r="R3431" s="2" t="inlineStr"/>
    </row>
    <row r="3432" ht="15" customHeight="1">
      <c r="A3432" t="inlineStr">
        <is>
          <t>A 13690-2020</t>
        </is>
      </c>
      <c r="B3432" s="1" t="n">
        <v>43902</v>
      </c>
      <c r="C3432" s="1" t="n">
        <v>45190</v>
      </c>
      <c r="D3432" t="inlineStr">
        <is>
          <t>KALMAR LÄN</t>
        </is>
      </c>
      <c r="E3432" t="inlineStr">
        <is>
          <t>EMMABODA</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13514-2020</t>
        </is>
      </c>
      <c r="B3433" s="1" t="n">
        <v>43902</v>
      </c>
      <c r="C3433" s="1" t="n">
        <v>45190</v>
      </c>
      <c r="D3433" t="inlineStr">
        <is>
          <t>KALMAR LÄN</t>
        </is>
      </c>
      <c r="E3433" t="inlineStr">
        <is>
          <t>VÄSTERVIK</t>
        </is>
      </c>
      <c r="F3433" t="inlineStr">
        <is>
          <t>Holmen skog AB</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13526-2020</t>
        </is>
      </c>
      <c r="B3434" s="1" t="n">
        <v>43902</v>
      </c>
      <c r="C3434" s="1" t="n">
        <v>45190</v>
      </c>
      <c r="D3434" t="inlineStr">
        <is>
          <t>KALMAR LÄN</t>
        </is>
      </c>
      <c r="E3434" t="inlineStr">
        <is>
          <t>VÄSTERVIK</t>
        </is>
      </c>
      <c r="F3434" t="inlineStr">
        <is>
          <t>Holmen skog AB</t>
        </is>
      </c>
      <c r="G3434" t="n">
        <v>18.6</v>
      </c>
      <c r="H3434" t="n">
        <v>0</v>
      </c>
      <c r="I3434" t="n">
        <v>0</v>
      </c>
      <c r="J3434" t="n">
        <v>0</v>
      </c>
      <c r="K3434" t="n">
        <v>0</v>
      </c>
      <c r="L3434" t="n">
        <v>0</v>
      </c>
      <c r="M3434" t="n">
        <v>0</v>
      </c>
      <c r="N3434" t="n">
        <v>0</v>
      </c>
      <c r="O3434" t="n">
        <v>0</v>
      </c>
      <c r="P3434" t="n">
        <v>0</v>
      </c>
      <c r="Q3434" t="n">
        <v>0</v>
      </c>
      <c r="R3434" s="2" t="inlineStr"/>
    </row>
    <row r="3435" ht="15" customHeight="1">
      <c r="A3435" t="inlineStr">
        <is>
          <t>A 13523-2020</t>
        </is>
      </c>
      <c r="B3435" s="1" t="n">
        <v>43902</v>
      </c>
      <c r="C3435" s="1" t="n">
        <v>45190</v>
      </c>
      <c r="D3435" t="inlineStr">
        <is>
          <t>KALMAR LÄN</t>
        </is>
      </c>
      <c r="E3435" t="inlineStr">
        <is>
          <t>VÄSTERVIK</t>
        </is>
      </c>
      <c r="F3435" t="inlineStr">
        <is>
          <t>Holmen skog AB</t>
        </is>
      </c>
      <c r="G3435" t="n">
        <v>3.8</v>
      </c>
      <c r="H3435" t="n">
        <v>0</v>
      </c>
      <c r="I3435" t="n">
        <v>0</v>
      </c>
      <c r="J3435" t="n">
        <v>0</v>
      </c>
      <c r="K3435" t="n">
        <v>0</v>
      </c>
      <c r="L3435" t="n">
        <v>0</v>
      </c>
      <c r="M3435" t="n">
        <v>0</v>
      </c>
      <c r="N3435" t="n">
        <v>0</v>
      </c>
      <c r="O3435" t="n">
        <v>0</v>
      </c>
      <c r="P3435" t="n">
        <v>0</v>
      </c>
      <c r="Q3435" t="n">
        <v>0</v>
      </c>
      <c r="R3435" s="2" t="inlineStr"/>
    </row>
    <row r="3436" ht="15" customHeight="1">
      <c r="A3436" t="inlineStr">
        <is>
          <t>A 13550-2020</t>
        </is>
      </c>
      <c r="B3436" s="1" t="n">
        <v>43902</v>
      </c>
      <c r="C3436" s="1" t="n">
        <v>45190</v>
      </c>
      <c r="D3436" t="inlineStr">
        <is>
          <t>KALMAR LÄN</t>
        </is>
      </c>
      <c r="E3436" t="inlineStr">
        <is>
          <t>HULTSFRED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14410-2020</t>
        </is>
      </c>
      <c r="B3437" s="1" t="n">
        <v>43902</v>
      </c>
      <c r="C3437" s="1" t="n">
        <v>45190</v>
      </c>
      <c r="D3437" t="inlineStr">
        <is>
          <t>KALMAR LÄN</t>
        </is>
      </c>
      <c r="E3437" t="inlineStr">
        <is>
          <t>VIMMERBY</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13606-2020</t>
        </is>
      </c>
      <c r="B3438" s="1" t="n">
        <v>43903</v>
      </c>
      <c r="C3438" s="1" t="n">
        <v>45190</v>
      </c>
      <c r="D3438" t="inlineStr">
        <is>
          <t>KALMAR LÄN</t>
        </is>
      </c>
      <c r="E3438" t="inlineStr">
        <is>
          <t>VIMMERBY</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13647-2020</t>
        </is>
      </c>
      <c r="B3439" s="1" t="n">
        <v>43903</v>
      </c>
      <c r="C3439" s="1" t="n">
        <v>45190</v>
      </c>
      <c r="D3439" t="inlineStr">
        <is>
          <t>KALMAR LÄN</t>
        </is>
      </c>
      <c r="E3439" t="inlineStr">
        <is>
          <t>TORSÅS</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14022-2020</t>
        </is>
      </c>
      <c r="B3440" s="1" t="n">
        <v>43906</v>
      </c>
      <c r="C3440" s="1" t="n">
        <v>45190</v>
      </c>
      <c r="D3440" t="inlineStr">
        <is>
          <t>KALMAR LÄN</t>
        </is>
      </c>
      <c r="E3440" t="inlineStr">
        <is>
          <t>VIMMERBY</t>
        </is>
      </c>
      <c r="F3440" t="inlineStr">
        <is>
          <t>Kommuner</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14889-2020</t>
        </is>
      </c>
      <c r="B3441" s="1" t="n">
        <v>43906</v>
      </c>
      <c r="C3441" s="1" t="n">
        <v>45190</v>
      </c>
      <c r="D3441" t="inlineStr">
        <is>
          <t>KALMAR LÄN</t>
        </is>
      </c>
      <c r="E3441" t="inlineStr">
        <is>
          <t>VÄSTERVIK</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14002-2020</t>
        </is>
      </c>
      <c r="B3442" s="1" t="n">
        <v>43906</v>
      </c>
      <c r="C3442" s="1" t="n">
        <v>45190</v>
      </c>
      <c r="D3442" t="inlineStr">
        <is>
          <t>KALMAR LÄN</t>
        </is>
      </c>
      <c r="E3442" t="inlineStr">
        <is>
          <t>HULTSFRED</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14020-2020</t>
        </is>
      </c>
      <c r="B3443" s="1" t="n">
        <v>43906</v>
      </c>
      <c r="C3443" s="1" t="n">
        <v>45190</v>
      </c>
      <c r="D3443" t="inlineStr">
        <is>
          <t>KALMAR LÄN</t>
        </is>
      </c>
      <c r="E3443" t="inlineStr">
        <is>
          <t>MÖNSTERÅS</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14891-2020</t>
        </is>
      </c>
      <c r="B3444" s="1" t="n">
        <v>43906</v>
      </c>
      <c r="C3444" s="1" t="n">
        <v>45190</v>
      </c>
      <c r="D3444" t="inlineStr">
        <is>
          <t>KALMAR LÄN</t>
        </is>
      </c>
      <c r="E3444" t="inlineStr">
        <is>
          <t>VÄSTERVIK</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14887-2020</t>
        </is>
      </c>
      <c r="B3445" s="1" t="n">
        <v>43906</v>
      </c>
      <c r="C3445" s="1" t="n">
        <v>45190</v>
      </c>
      <c r="D3445" t="inlineStr">
        <is>
          <t>KALMAR LÄN</t>
        </is>
      </c>
      <c r="E3445" t="inlineStr">
        <is>
          <t>VÄSTERVIK</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14304-2020</t>
        </is>
      </c>
      <c r="B3446" s="1" t="n">
        <v>43907</v>
      </c>
      <c r="C3446" s="1" t="n">
        <v>45190</v>
      </c>
      <c r="D3446" t="inlineStr">
        <is>
          <t>KALMAR LÄN</t>
        </is>
      </c>
      <c r="E3446" t="inlineStr">
        <is>
          <t>KALMAR</t>
        </is>
      </c>
      <c r="G3446" t="n">
        <v>3.8</v>
      </c>
      <c r="H3446" t="n">
        <v>0</v>
      </c>
      <c r="I3446" t="n">
        <v>0</v>
      </c>
      <c r="J3446" t="n">
        <v>0</v>
      </c>
      <c r="K3446" t="n">
        <v>0</v>
      </c>
      <c r="L3446" t="n">
        <v>0</v>
      </c>
      <c r="M3446" t="n">
        <v>0</v>
      </c>
      <c r="N3446" t="n">
        <v>0</v>
      </c>
      <c r="O3446" t="n">
        <v>0</v>
      </c>
      <c r="P3446" t="n">
        <v>0</v>
      </c>
      <c r="Q3446" t="n">
        <v>0</v>
      </c>
      <c r="R3446" s="2" t="inlineStr"/>
    </row>
    <row r="3447" ht="15" customHeight="1">
      <c r="A3447" t="inlineStr">
        <is>
          <t>A 14191-2020</t>
        </is>
      </c>
      <c r="B3447" s="1" t="n">
        <v>43907</v>
      </c>
      <c r="C3447" s="1" t="n">
        <v>45190</v>
      </c>
      <c r="D3447" t="inlineStr">
        <is>
          <t>KALMAR LÄN</t>
        </is>
      </c>
      <c r="E3447" t="inlineStr">
        <is>
          <t>TORSÅS</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15839-2020</t>
        </is>
      </c>
      <c r="B3448" s="1" t="n">
        <v>43907</v>
      </c>
      <c r="C3448" s="1" t="n">
        <v>45190</v>
      </c>
      <c r="D3448" t="inlineStr">
        <is>
          <t>KALMAR LÄN</t>
        </is>
      </c>
      <c r="E3448" t="inlineStr">
        <is>
          <t>NYBRO</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15784-2020</t>
        </is>
      </c>
      <c r="B3449" s="1" t="n">
        <v>43907</v>
      </c>
      <c r="C3449" s="1" t="n">
        <v>45190</v>
      </c>
      <c r="D3449" t="inlineStr">
        <is>
          <t>KALMAR LÄN</t>
        </is>
      </c>
      <c r="E3449" t="inlineStr">
        <is>
          <t>TORSÅS</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14131-2020</t>
        </is>
      </c>
      <c r="B3450" s="1" t="n">
        <v>43907</v>
      </c>
      <c r="C3450" s="1" t="n">
        <v>45190</v>
      </c>
      <c r="D3450" t="inlineStr">
        <is>
          <t>KALMAR LÄN</t>
        </is>
      </c>
      <c r="E3450" t="inlineStr">
        <is>
          <t>OSKARSHAMN</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14178-2020</t>
        </is>
      </c>
      <c r="B3451" s="1" t="n">
        <v>43907</v>
      </c>
      <c r="C3451" s="1" t="n">
        <v>45190</v>
      </c>
      <c r="D3451" t="inlineStr">
        <is>
          <t>KALMAR LÄN</t>
        </is>
      </c>
      <c r="E3451" t="inlineStr">
        <is>
          <t>HULTSFRED</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14301-2020</t>
        </is>
      </c>
      <c r="B3452" s="1" t="n">
        <v>43907</v>
      </c>
      <c r="C3452" s="1" t="n">
        <v>45190</v>
      </c>
      <c r="D3452" t="inlineStr">
        <is>
          <t>KALMAR LÄN</t>
        </is>
      </c>
      <c r="E3452" t="inlineStr">
        <is>
          <t>KALMAR</t>
        </is>
      </c>
      <c r="G3452" t="n">
        <v>2.9</v>
      </c>
      <c r="H3452" t="n">
        <v>0</v>
      </c>
      <c r="I3452" t="n">
        <v>0</v>
      </c>
      <c r="J3452" t="n">
        <v>0</v>
      </c>
      <c r="K3452" t="n">
        <v>0</v>
      </c>
      <c r="L3452" t="n">
        <v>0</v>
      </c>
      <c r="M3452" t="n">
        <v>0</v>
      </c>
      <c r="N3452" t="n">
        <v>0</v>
      </c>
      <c r="O3452" t="n">
        <v>0</v>
      </c>
      <c r="P3452" t="n">
        <v>0</v>
      </c>
      <c r="Q3452" t="n">
        <v>0</v>
      </c>
      <c r="R3452" s="2" t="inlineStr"/>
    </row>
    <row r="3453" ht="15" customHeight="1">
      <c r="A3453" t="inlineStr">
        <is>
          <t>A 14456-2020</t>
        </is>
      </c>
      <c r="B3453" s="1" t="n">
        <v>43908</v>
      </c>
      <c r="C3453" s="1" t="n">
        <v>45190</v>
      </c>
      <c r="D3453" t="inlineStr">
        <is>
          <t>KALMAR LÄN</t>
        </is>
      </c>
      <c r="E3453" t="inlineStr">
        <is>
          <t>VÄSTERVIK</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16580-2020</t>
        </is>
      </c>
      <c r="B3454" s="1" t="n">
        <v>43908</v>
      </c>
      <c r="C3454" s="1" t="n">
        <v>45190</v>
      </c>
      <c r="D3454" t="inlineStr">
        <is>
          <t>KALMAR LÄN</t>
        </is>
      </c>
      <c r="E3454" t="inlineStr">
        <is>
          <t>VÄSTERVIK</t>
        </is>
      </c>
      <c r="F3454" t="inlineStr">
        <is>
          <t>Övriga Aktiebolag</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14335-2020</t>
        </is>
      </c>
      <c r="B3455" s="1" t="n">
        <v>43908</v>
      </c>
      <c r="C3455" s="1" t="n">
        <v>45190</v>
      </c>
      <c r="D3455" t="inlineStr">
        <is>
          <t>KALMAR LÄN</t>
        </is>
      </c>
      <c r="E3455" t="inlineStr">
        <is>
          <t>TORSÅS</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14338-2020</t>
        </is>
      </c>
      <c r="B3456" s="1" t="n">
        <v>43908</v>
      </c>
      <c r="C3456" s="1" t="n">
        <v>45190</v>
      </c>
      <c r="D3456" t="inlineStr">
        <is>
          <t>KALMAR LÄN</t>
        </is>
      </c>
      <c r="E3456" t="inlineStr">
        <is>
          <t>TORSÅS</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14723-2020</t>
        </is>
      </c>
      <c r="B3457" s="1" t="n">
        <v>43908</v>
      </c>
      <c r="C3457" s="1" t="n">
        <v>45190</v>
      </c>
      <c r="D3457" t="inlineStr">
        <is>
          <t>KALMAR LÄN</t>
        </is>
      </c>
      <c r="E3457" t="inlineStr">
        <is>
          <t>NYBRO</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14537-2020</t>
        </is>
      </c>
      <c r="B3458" s="1" t="n">
        <v>43908</v>
      </c>
      <c r="C3458" s="1" t="n">
        <v>45190</v>
      </c>
      <c r="D3458" t="inlineStr">
        <is>
          <t>KALMAR LÄN</t>
        </is>
      </c>
      <c r="E3458" t="inlineStr">
        <is>
          <t>EMMABODA</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14844-2020</t>
        </is>
      </c>
      <c r="B3459" s="1" t="n">
        <v>43909</v>
      </c>
      <c r="C3459" s="1" t="n">
        <v>45190</v>
      </c>
      <c r="D3459" t="inlineStr">
        <is>
          <t>KALMAR LÄN</t>
        </is>
      </c>
      <c r="E3459" t="inlineStr">
        <is>
          <t>TORSÅS</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16520-2020</t>
        </is>
      </c>
      <c r="B3460" s="1" t="n">
        <v>43909</v>
      </c>
      <c r="C3460" s="1" t="n">
        <v>45190</v>
      </c>
      <c r="D3460" t="inlineStr">
        <is>
          <t>KALMAR LÄN</t>
        </is>
      </c>
      <c r="E3460" t="inlineStr">
        <is>
          <t>HÖGSBY</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14830-2020</t>
        </is>
      </c>
      <c r="B3461" s="1" t="n">
        <v>43909</v>
      </c>
      <c r="C3461" s="1" t="n">
        <v>45190</v>
      </c>
      <c r="D3461" t="inlineStr">
        <is>
          <t>KALMAR LÄN</t>
        </is>
      </c>
      <c r="E3461" t="inlineStr">
        <is>
          <t>KALMAR</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14839-2020</t>
        </is>
      </c>
      <c r="B3462" s="1" t="n">
        <v>43909</v>
      </c>
      <c r="C3462" s="1" t="n">
        <v>45190</v>
      </c>
      <c r="D3462" t="inlineStr">
        <is>
          <t>KALMAR LÄN</t>
        </is>
      </c>
      <c r="E3462" t="inlineStr">
        <is>
          <t>TORSÅS</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16832-2020</t>
        </is>
      </c>
      <c r="B3463" s="1" t="n">
        <v>43910</v>
      </c>
      <c r="C3463" s="1" t="n">
        <v>45190</v>
      </c>
      <c r="D3463" t="inlineStr">
        <is>
          <t>KALMAR LÄN</t>
        </is>
      </c>
      <c r="E3463" t="inlineStr">
        <is>
          <t>HULTSFRED</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14960-2020</t>
        </is>
      </c>
      <c r="B3464" s="1" t="n">
        <v>43910</v>
      </c>
      <c r="C3464" s="1" t="n">
        <v>45190</v>
      </c>
      <c r="D3464" t="inlineStr">
        <is>
          <t>KALMAR LÄN</t>
        </is>
      </c>
      <c r="E3464" t="inlineStr">
        <is>
          <t>HULTSFRED</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14983-2020</t>
        </is>
      </c>
      <c r="B3465" s="1" t="n">
        <v>43910</v>
      </c>
      <c r="C3465" s="1" t="n">
        <v>45190</v>
      </c>
      <c r="D3465" t="inlineStr">
        <is>
          <t>KALMAR LÄN</t>
        </is>
      </c>
      <c r="E3465" t="inlineStr">
        <is>
          <t>HÖGSBY</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15136-2020</t>
        </is>
      </c>
      <c r="B3466" s="1" t="n">
        <v>43911</v>
      </c>
      <c r="C3466" s="1" t="n">
        <v>45190</v>
      </c>
      <c r="D3466" t="inlineStr">
        <is>
          <t>KALMAR LÄN</t>
        </is>
      </c>
      <c r="E3466" t="inlineStr">
        <is>
          <t>TORSÅS</t>
        </is>
      </c>
      <c r="G3466" t="n">
        <v>2.3</v>
      </c>
      <c r="H3466" t="n">
        <v>0</v>
      </c>
      <c r="I3466" t="n">
        <v>0</v>
      </c>
      <c r="J3466" t="n">
        <v>0</v>
      </c>
      <c r="K3466" t="n">
        <v>0</v>
      </c>
      <c r="L3466" t="n">
        <v>0</v>
      </c>
      <c r="M3466" t="n">
        <v>0</v>
      </c>
      <c r="N3466" t="n">
        <v>0</v>
      </c>
      <c r="O3466" t="n">
        <v>0</v>
      </c>
      <c r="P3466" t="n">
        <v>0</v>
      </c>
      <c r="Q3466" t="n">
        <v>0</v>
      </c>
      <c r="R3466" s="2" t="inlineStr"/>
    </row>
    <row r="3467" ht="15" customHeight="1">
      <c r="A3467" t="inlineStr">
        <is>
          <t>A 15135-2020</t>
        </is>
      </c>
      <c r="B3467" s="1" t="n">
        <v>43911</v>
      </c>
      <c r="C3467" s="1" t="n">
        <v>45190</v>
      </c>
      <c r="D3467" t="inlineStr">
        <is>
          <t>KALMAR LÄN</t>
        </is>
      </c>
      <c r="E3467" t="inlineStr">
        <is>
          <t>TORSÅS</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15352-2020</t>
        </is>
      </c>
      <c r="B3468" s="1" t="n">
        <v>43913</v>
      </c>
      <c r="C3468" s="1" t="n">
        <v>45190</v>
      </c>
      <c r="D3468" t="inlineStr">
        <is>
          <t>KALMAR LÄN</t>
        </is>
      </c>
      <c r="E3468" t="inlineStr">
        <is>
          <t>HULTSFRED</t>
        </is>
      </c>
      <c r="G3468" t="n">
        <v>4.6</v>
      </c>
      <c r="H3468" t="n">
        <v>0</v>
      </c>
      <c r="I3468" t="n">
        <v>0</v>
      </c>
      <c r="J3468" t="n">
        <v>0</v>
      </c>
      <c r="K3468" t="n">
        <v>0</v>
      </c>
      <c r="L3468" t="n">
        <v>0</v>
      </c>
      <c r="M3468" t="n">
        <v>0</v>
      </c>
      <c r="N3468" t="n">
        <v>0</v>
      </c>
      <c r="O3468" t="n">
        <v>0</v>
      </c>
      <c r="P3468" t="n">
        <v>0</v>
      </c>
      <c r="Q3468" t="n">
        <v>0</v>
      </c>
      <c r="R3468" s="2" t="inlineStr"/>
    </row>
    <row r="3469" ht="15" customHeight="1">
      <c r="A3469" t="inlineStr">
        <is>
          <t>A 15356-2020</t>
        </is>
      </c>
      <c r="B3469" s="1" t="n">
        <v>43913</v>
      </c>
      <c r="C3469" s="1" t="n">
        <v>45190</v>
      </c>
      <c r="D3469" t="inlineStr">
        <is>
          <t>KALMAR LÄN</t>
        </is>
      </c>
      <c r="E3469" t="inlineStr">
        <is>
          <t>HULTSFRED</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16805-2020</t>
        </is>
      </c>
      <c r="B3470" s="1" t="n">
        <v>43913</v>
      </c>
      <c r="C3470" s="1" t="n">
        <v>45190</v>
      </c>
      <c r="D3470" t="inlineStr">
        <is>
          <t>KALMAR LÄN</t>
        </is>
      </c>
      <c r="E3470" t="inlineStr">
        <is>
          <t>NYBRO</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15206-2020</t>
        </is>
      </c>
      <c r="B3471" s="1" t="n">
        <v>43913</v>
      </c>
      <c r="C3471" s="1" t="n">
        <v>45190</v>
      </c>
      <c r="D3471" t="inlineStr">
        <is>
          <t>KALMAR LÄN</t>
        </is>
      </c>
      <c r="E3471" t="inlineStr">
        <is>
          <t>HULTSFRED</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15350-2020</t>
        </is>
      </c>
      <c r="B3472" s="1" t="n">
        <v>43913</v>
      </c>
      <c r="C3472" s="1" t="n">
        <v>45190</v>
      </c>
      <c r="D3472" t="inlineStr">
        <is>
          <t>KALMAR LÄN</t>
        </is>
      </c>
      <c r="E3472" t="inlineStr">
        <is>
          <t>HULTSFRED</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15618-2020</t>
        </is>
      </c>
      <c r="B3473" s="1" t="n">
        <v>43914</v>
      </c>
      <c r="C3473" s="1" t="n">
        <v>45190</v>
      </c>
      <c r="D3473" t="inlineStr">
        <is>
          <t>KALMAR LÄN</t>
        </is>
      </c>
      <c r="E3473" t="inlineStr">
        <is>
          <t>KALMAR</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16810-2020</t>
        </is>
      </c>
      <c r="B3474" s="1" t="n">
        <v>43914</v>
      </c>
      <c r="C3474" s="1" t="n">
        <v>45190</v>
      </c>
      <c r="D3474" t="inlineStr">
        <is>
          <t>KALMAR LÄN</t>
        </is>
      </c>
      <c r="E3474" t="inlineStr">
        <is>
          <t>NYBRO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15521-2020</t>
        </is>
      </c>
      <c r="B3475" s="1" t="n">
        <v>43914</v>
      </c>
      <c r="C3475" s="1" t="n">
        <v>45190</v>
      </c>
      <c r="D3475" t="inlineStr">
        <is>
          <t>KALMAR LÄN</t>
        </is>
      </c>
      <c r="E3475" t="inlineStr">
        <is>
          <t>BORGHOLM</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16439-2020</t>
        </is>
      </c>
      <c r="B3476" s="1" t="n">
        <v>43914</v>
      </c>
      <c r="C3476" s="1" t="n">
        <v>45190</v>
      </c>
      <c r="D3476" t="inlineStr">
        <is>
          <t>KALMAR LÄN</t>
        </is>
      </c>
      <c r="E3476" t="inlineStr">
        <is>
          <t>NYBRO</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15414-2020</t>
        </is>
      </c>
      <c r="B3477" s="1" t="n">
        <v>43914</v>
      </c>
      <c r="C3477" s="1" t="n">
        <v>45190</v>
      </c>
      <c r="D3477" t="inlineStr">
        <is>
          <t>KALMAR LÄN</t>
        </is>
      </c>
      <c r="E3477" t="inlineStr">
        <is>
          <t>NYBRO</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15479-2020</t>
        </is>
      </c>
      <c r="B3478" s="1" t="n">
        <v>43914</v>
      </c>
      <c r="C3478" s="1" t="n">
        <v>45190</v>
      </c>
      <c r="D3478" t="inlineStr">
        <is>
          <t>KALMAR LÄN</t>
        </is>
      </c>
      <c r="E3478" t="inlineStr">
        <is>
          <t>NYBRO</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15985-2020</t>
        </is>
      </c>
      <c r="B3479" s="1" t="n">
        <v>43914</v>
      </c>
      <c r="C3479" s="1" t="n">
        <v>45190</v>
      </c>
      <c r="D3479" t="inlineStr">
        <is>
          <t>KALMAR LÄN</t>
        </is>
      </c>
      <c r="E3479" t="inlineStr">
        <is>
          <t>NYBRO</t>
        </is>
      </c>
      <c r="G3479" t="n">
        <v>3.2</v>
      </c>
      <c r="H3479" t="n">
        <v>0</v>
      </c>
      <c r="I3479" t="n">
        <v>0</v>
      </c>
      <c r="J3479" t="n">
        <v>0</v>
      </c>
      <c r="K3479" t="n">
        <v>0</v>
      </c>
      <c r="L3479" t="n">
        <v>0</v>
      </c>
      <c r="M3479" t="n">
        <v>0</v>
      </c>
      <c r="N3479" t="n">
        <v>0</v>
      </c>
      <c r="O3479" t="n">
        <v>0</v>
      </c>
      <c r="P3479" t="n">
        <v>0</v>
      </c>
      <c r="Q3479" t="n">
        <v>0</v>
      </c>
      <c r="R3479" s="2" t="inlineStr"/>
    </row>
    <row r="3480" ht="15" customHeight="1">
      <c r="A3480" t="inlineStr">
        <is>
          <t>A 15661-2020</t>
        </is>
      </c>
      <c r="B3480" s="1" t="n">
        <v>43915</v>
      </c>
      <c r="C3480" s="1" t="n">
        <v>45190</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15700-2020</t>
        </is>
      </c>
      <c r="B3481" s="1" t="n">
        <v>43915</v>
      </c>
      <c r="C3481" s="1" t="n">
        <v>45190</v>
      </c>
      <c r="D3481" t="inlineStr">
        <is>
          <t>KALMAR LÄN</t>
        </is>
      </c>
      <c r="E3481" t="inlineStr">
        <is>
          <t>KALMAR</t>
        </is>
      </c>
      <c r="G3481" t="n">
        <v>5.3</v>
      </c>
      <c r="H3481" t="n">
        <v>0</v>
      </c>
      <c r="I3481" t="n">
        <v>0</v>
      </c>
      <c r="J3481" t="n">
        <v>0</v>
      </c>
      <c r="K3481" t="n">
        <v>0</v>
      </c>
      <c r="L3481" t="n">
        <v>0</v>
      </c>
      <c r="M3481" t="n">
        <v>0</v>
      </c>
      <c r="N3481" t="n">
        <v>0</v>
      </c>
      <c r="O3481" t="n">
        <v>0</v>
      </c>
      <c r="P3481" t="n">
        <v>0</v>
      </c>
      <c r="Q3481" t="n">
        <v>0</v>
      </c>
      <c r="R3481" s="2" t="inlineStr"/>
    </row>
    <row r="3482" ht="15" customHeight="1">
      <c r="A3482" t="inlineStr">
        <is>
          <t>A 15992-2020</t>
        </is>
      </c>
      <c r="B3482" s="1" t="n">
        <v>43916</v>
      </c>
      <c r="C3482" s="1" t="n">
        <v>45190</v>
      </c>
      <c r="D3482" t="inlineStr">
        <is>
          <t>KALMAR LÄN</t>
        </is>
      </c>
      <c r="E3482" t="inlineStr">
        <is>
          <t>KALMAR</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15989-2020</t>
        </is>
      </c>
      <c r="B3483" s="1" t="n">
        <v>43916</v>
      </c>
      <c r="C3483" s="1" t="n">
        <v>45190</v>
      </c>
      <c r="D3483" t="inlineStr">
        <is>
          <t>KALMAR LÄN</t>
        </is>
      </c>
      <c r="E3483" t="inlineStr">
        <is>
          <t>KALMAR</t>
        </is>
      </c>
      <c r="G3483" t="n">
        <v>4.3</v>
      </c>
      <c r="H3483" t="n">
        <v>0</v>
      </c>
      <c r="I3483" t="n">
        <v>0</v>
      </c>
      <c r="J3483" t="n">
        <v>0</v>
      </c>
      <c r="K3483" t="n">
        <v>0</v>
      </c>
      <c r="L3483" t="n">
        <v>0</v>
      </c>
      <c r="M3483" t="n">
        <v>0</v>
      </c>
      <c r="N3483" t="n">
        <v>0</v>
      </c>
      <c r="O3483" t="n">
        <v>0</v>
      </c>
      <c r="P3483" t="n">
        <v>0</v>
      </c>
      <c r="Q3483" t="n">
        <v>0</v>
      </c>
      <c r="R3483" s="2" t="inlineStr"/>
    </row>
    <row r="3484" ht="15" customHeight="1">
      <c r="A3484" t="inlineStr">
        <is>
          <t>A 16002-2020</t>
        </is>
      </c>
      <c r="B3484" s="1" t="n">
        <v>43916</v>
      </c>
      <c r="C3484" s="1" t="n">
        <v>45190</v>
      </c>
      <c r="D3484" t="inlineStr">
        <is>
          <t>KALMAR LÄN</t>
        </is>
      </c>
      <c r="E3484" t="inlineStr">
        <is>
          <t>NYBRO</t>
        </is>
      </c>
      <c r="G3484" t="n">
        <v>3.3</v>
      </c>
      <c r="H3484" t="n">
        <v>0</v>
      </c>
      <c r="I3484" t="n">
        <v>0</v>
      </c>
      <c r="J3484" t="n">
        <v>0</v>
      </c>
      <c r="K3484" t="n">
        <v>0</v>
      </c>
      <c r="L3484" t="n">
        <v>0</v>
      </c>
      <c r="M3484" t="n">
        <v>0</v>
      </c>
      <c r="N3484" t="n">
        <v>0</v>
      </c>
      <c r="O3484" t="n">
        <v>0</v>
      </c>
      <c r="P3484" t="n">
        <v>0</v>
      </c>
      <c r="Q3484" t="n">
        <v>0</v>
      </c>
      <c r="R3484" s="2" t="inlineStr"/>
    </row>
    <row r="3485" ht="15" customHeight="1">
      <c r="A3485" t="inlineStr">
        <is>
          <t>A 15995-2020</t>
        </is>
      </c>
      <c r="B3485" s="1" t="n">
        <v>43916</v>
      </c>
      <c r="C3485" s="1" t="n">
        <v>45190</v>
      </c>
      <c r="D3485" t="inlineStr">
        <is>
          <t>KALMAR LÄN</t>
        </is>
      </c>
      <c r="E3485" t="inlineStr">
        <is>
          <t>NYBRO</t>
        </is>
      </c>
      <c r="G3485" t="n">
        <v>11.7</v>
      </c>
      <c r="H3485" t="n">
        <v>0</v>
      </c>
      <c r="I3485" t="n">
        <v>0</v>
      </c>
      <c r="J3485" t="n">
        <v>0</v>
      </c>
      <c r="K3485" t="n">
        <v>0</v>
      </c>
      <c r="L3485" t="n">
        <v>0</v>
      </c>
      <c r="M3485" t="n">
        <v>0</v>
      </c>
      <c r="N3485" t="n">
        <v>0</v>
      </c>
      <c r="O3485" t="n">
        <v>0</v>
      </c>
      <c r="P3485" t="n">
        <v>0</v>
      </c>
      <c r="Q3485" t="n">
        <v>0</v>
      </c>
      <c r="R3485" s="2" t="inlineStr"/>
    </row>
    <row r="3486" ht="15" customHeight="1">
      <c r="A3486" t="inlineStr">
        <is>
          <t>A 15981-2020</t>
        </is>
      </c>
      <c r="B3486" s="1" t="n">
        <v>43916</v>
      </c>
      <c r="C3486" s="1" t="n">
        <v>45190</v>
      </c>
      <c r="D3486" t="inlineStr">
        <is>
          <t>KALMAR LÄN</t>
        </is>
      </c>
      <c r="E3486" t="inlineStr">
        <is>
          <t>HULTSFRED</t>
        </is>
      </c>
      <c r="G3486" t="n">
        <v>7</v>
      </c>
      <c r="H3486" t="n">
        <v>0</v>
      </c>
      <c r="I3486" t="n">
        <v>0</v>
      </c>
      <c r="J3486" t="n">
        <v>0</v>
      </c>
      <c r="K3486" t="n">
        <v>0</v>
      </c>
      <c r="L3486" t="n">
        <v>0</v>
      </c>
      <c r="M3486" t="n">
        <v>0</v>
      </c>
      <c r="N3486" t="n">
        <v>0</v>
      </c>
      <c r="O3486" t="n">
        <v>0</v>
      </c>
      <c r="P3486" t="n">
        <v>0</v>
      </c>
      <c r="Q3486" t="n">
        <v>0</v>
      </c>
      <c r="R3486" s="2" t="inlineStr"/>
    </row>
    <row r="3487" ht="15" customHeight="1">
      <c r="A3487" t="inlineStr">
        <is>
          <t>A 16086-2020</t>
        </is>
      </c>
      <c r="B3487" s="1" t="n">
        <v>43916</v>
      </c>
      <c r="C3487" s="1" t="n">
        <v>45190</v>
      </c>
      <c r="D3487" t="inlineStr">
        <is>
          <t>KALMAR LÄN</t>
        </is>
      </c>
      <c r="E3487" t="inlineStr">
        <is>
          <t>EMMABODA</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16168-2020</t>
        </is>
      </c>
      <c r="B3488" s="1" t="n">
        <v>43917</v>
      </c>
      <c r="C3488" s="1" t="n">
        <v>45190</v>
      </c>
      <c r="D3488" t="inlineStr">
        <is>
          <t>KALMAR LÄN</t>
        </is>
      </c>
      <c r="E3488" t="inlineStr">
        <is>
          <t>NYBRO</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16263-2020</t>
        </is>
      </c>
      <c r="B3489" s="1" t="n">
        <v>43917</v>
      </c>
      <c r="C3489" s="1" t="n">
        <v>45190</v>
      </c>
      <c r="D3489" t="inlineStr">
        <is>
          <t>KALMAR LÄN</t>
        </is>
      </c>
      <c r="E3489" t="inlineStr">
        <is>
          <t>KALMAR</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16331-2020</t>
        </is>
      </c>
      <c r="B3490" s="1" t="n">
        <v>43917</v>
      </c>
      <c r="C3490" s="1" t="n">
        <v>45190</v>
      </c>
      <c r="D3490" t="inlineStr">
        <is>
          <t>KALMAR LÄN</t>
        </is>
      </c>
      <c r="E3490" t="inlineStr">
        <is>
          <t>NYBRO</t>
        </is>
      </c>
      <c r="G3490" t="n">
        <v>0.8</v>
      </c>
      <c r="H3490" t="n">
        <v>0</v>
      </c>
      <c r="I3490" t="n">
        <v>0</v>
      </c>
      <c r="J3490" t="n">
        <v>0</v>
      </c>
      <c r="K3490" t="n">
        <v>0</v>
      </c>
      <c r="L3490" t="n">
        <v>0</v>
      </c>
      <c r="M3490" t="n">
        <v>0</v>
      </c>
      <c r="N3490" t="n">
        <v>0</v>
      </c>
      <c r="O3490" t="n">
        <v>0</v>
      </c>
      <c r="P3490" t="n">
        <v>0</v>
      </c>
      <c r="Q3490" t="n">
        <v>0</v>
      </c>
      <c r="R3490" s="2" t="inlineStr"/>
    </row>
    <row r="3491" ht="15" customHeight="1">
      <c r="A3491" t="inlineStr">
        <is>
          <t>A 16222-2020</t>
        </is>
      </c>
      <c r="B3491" s="1" t="n">
        <v>43917</v>
      </c>
      <c r="C3491" s="1" t="n">
        <v>45190</v>
      </c>
      <c r="D3491" t="inlineStr">
        <is>
          <t>KALMAR LÄN</t>
        </is>
      </c>
      <c r="E3491" t="inlineStr">
        <is>
          <t>VIMMERBY</t>
        </is>
      </c>
      <c r="G3491" t="n">
        <v>1.8</v>
      </c>
      <c r="H3491" t="n">
        <v>0</v>
      </c>
      <c r="I3491" t="n">
        <v>0</v>
      </c>
      <c r="J3491" t="n">
        <v>0</v>
      </c>
      <c r="K3491" t="n">
        <v>0</v>
      </c>
      <c r="L3491" t="n">
        <v>0</v>
      </c>
      <c r="M3491" t="n">
        <v>0</v>
      </c>
      <c r="N3491" t="n">
        <v>0</v>
      </c>
      <c r="O3491" t="n">
        <v>0</v>
      </c>
      <c r="P3491" t="n">
        <v>0</v>
      </c>
      <c r="Q3491" t="n">
        <v>0</v>
      </c>
      <c r="R3491" s="2" t="inlineStr"/>
    </row>
    <row r="3492" ht="15" customHeight="1">
      <c r="A3492" t="inlineStr">
        <is>
          <t>A 16271-2020</t>
        </is>
      </c>
      <c r="B3492" s="1" t="n">
        <v>43917</v>
      </c>
      <c r="C3492" s="1" t="n">
        <v>45190</v>
      </c>
      <c r="D3492" t="inlineStr">
        <is>
          <t>KALMAR LÄN</t>
        </is>
      </c>
      <c r="E3492" t="inlineStr">
        <is>
          <t>BORGHOLM</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16275-2020</t>
        </is>
      </c>
      <c r="B3493" s="1" t="n">
        <v>43917</v>
      </c>
      <c r="C3493" s="1" t="n">
        <v>45190</v>
      </c>
      <c r="D3493" t="inlineStr">
        <is>
          <t>KALMAR LÄN</t>
        </is>
      </c>
      <c r="E3493" t="inlineStr">
        <is>
          <t>TORSÅS</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16541-2020</t>
        </is>
      </c>
      <c r="B3494" s="1" t="n">
        <v>43920</v>
      </c>
      <c r="C3494" s="1" t="n">
        <v>45190</v>
      </c>
      <c r="D3494" t="inlineStr">
        <is>
          <t>KALMAR LÄN</t>
        </is>
      </c>
      <c r="E3494" t="inlineStr">
        <is>
          <t>MÖNSTERÅS</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16558-2020</t>
        </is>
      </c>
      <c r="B3495" s="1" t="n">
        <v>43920</v>
      </c>
      <c r="C3495" s="1" t="n">
        <v>45190</v>
      </c>
      <c r="D3495" t="inlineStr">
        <is>
          <t>KALMAR LÄN</t>
        </is>
      </c>
      <c r="E3495" t="inlineStr">
        <is>
          <t>EMMABODA</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16565-2020</t>
        </is>
      </c>
      <c r="B3496" s="1" t="n">
        <v>43920</v>
      </c>
      <c r="C3496" s="1" t="n">
        <v>45190</v>
      </c>
      <c r="D3496" t="inlineStr">
        <is>
          <t>KALMAR LÄN</t>
        </is>
      </c>
      <c r="E3496" t="inlineStr">
        <is>
          <t>NYBRO</t>
        </is>
      </c>
      <c r="G3496" t="n">
        <v>7.5</v>
      </c>
      <c r="H3496" t="n">
        <v>0</v>
      </c>
      <c r="I3496" t="n">
        <v>0</v>
      </c>
      <c r="J3496" t="n">
        <v>0</v>
      </c>
      <c r="K3496" t="n">
        <v>0</v>
      </c>
      <c r="L3496" t="n">
        <v>0</v>
      </c>
      <c r="M3496" t="n">
        <v>0</v>
      </c>
      <c r="N3496" t="n">
        <v>0</v>
      </c>
      <c r="O3496" t="n">
        <v>0</v>
      </c>
      <c r="P3496" t="n">
        <v>0</v>
      </c>
      <c r="Q3496" t="n">
        <v>0</v>
      </c>
      <c r="R3496" s="2" t="inlineStr"/>
    </row>
    <row r="3497" ht="15" customHeight="1">
      <c r="A3497" t="inlineStr">
        <is>
          <t>A 16752-2020</t>
        </is>
      </c>
      <c r="B3497" s="1" t="n">
        <v>43920</v>
      </c>
      <c r="C3497" s="1" t="n">
        <v>45190</v>
      </c>
      <c r="D3497" t="inlineStr">
        <is>
          <t>KALMAR LÄN</t>
        </is>
      </c>
      <c r="E3497" t="inlineStr">
        <is>
          <t>TORSÅS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16486-2020</t>
        </is>
      </c>
      <c r="B3498" s="1" t="n">
        <v>43920</v>
      </c>
      <c r="C3498" s="1" t="n">
        <v>45190</v>
      </c>
      <c r="D3498" t="inlineStr">
        <is>
          <t>KALMAR LÄN</t>
        </is>
      </c>
      <c r="E3498" t="inlineStr">
        <is>
          <t>OSKARSHAMN</t>
        </is>
      </c>
      <c r="G3498" t="n">
        <v>5.1</v>
      </c>
      <c r="H3498" t="n">
        <v>0</v>
      </c>
      <c r="I3498" t="n">
        <v>0</v>
      </c>
      <c r="J3498" t="n">
        <v>0</v>
      </c>
      <c r="K3498" t="n">
        <v>0</v>
      </c>
      <c r="L3498" t="n">
        <v>0</v>
      </c>
      <c r="M3498" t="n">
        <v>0</v>
      </c>
      <c r="N3498" t="n">
        <v>0</v>
      </c>
      <c r="O3498" t="n">
        <v>0</v>
      </c>
      <c r="P3498" t="n">
        <v>0</v>
      </c>
      <c r="Q3498" t="n">
        <v>0</v>
      </c>
      <c r="R3498" s="2" t="inlineStr"/>
    </row>
    <row r="3499" ht="15" customHeight="1">
      <c r="A3499" t="inlineStr">
        <is>
          <t>A 16556-2020</t>
        </is>
      </c>
      <c r="B3499" s="1" t="n">
        <v>43920</v>
      </c>
      <c r="C3499" s="1" t="n">
        <v>45190</v>
      </c>
      <c r="D3499" t="inlineStr">
        <is>
          <t>KALMAR LÄN</t>
        </is>
      </c>
      <c r="E3499" t="inlineStr">
        <is>
          <t>EMMABODA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16747-2020</t>
        </is>
      </c>
      <c r="B3500" s="1" t="n">
        <v>43920</v>
      </c>
      <c r="C3500" s="1" t="n">
        <v>45190</v>
      </c>
      <c r="D3500" t="inlineStr">
        <is>
          <t>KALMAR LÄN</t>
        </is>
      </c>
      <c r="E3500" t="inlineStr">
        <is>
          <t>TORSÅS</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17058-2020</t>
        </is>
      </c>
      <c r="B3501" s="1" t="n">
        <v>43921</v>
      </c>
      <c r="C3501" s="1" t="n">
        <v>45190</v>
      </c>
      <c r="D3501" t="inlineStr">
        <is>
          <t>KALMAR LÄN</t>
        </is>
      </c>
      <c r="E3501" t="inlineStr">
        <is>
          <t>HULTSFRED</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17562-2020</t>
        </is>
      </c>
      <c r="B3502" s="1" t="n">
        <v>43921</v>
      </c>
      <c r="C3502" s="1" t="n">
        <v>45190</v>
      </c>
      <c r="D3502" t="inlineStr">
        <is>
          <t>KALMAR LÄN</t>
        </is>
      </c>
      <c r="E3502" t="inlineStr">
        <is>
          <t>OSKARSHAMN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16850-2020</t>
        </is>
      </c>
      <c r="B3503" s="1" t="n">
        <v>43921</v>
      </c>
      <c r="C3503" s="1" t="n">
        <v>45190</v>
      </c>
      <c r="D3503" t="inlineStr">
        <is>
          <t>KALMAR LÄN</t>
        </is>
      </c>
      <c r="E3503" t="inlineStr">
        <is>
          <t>HULTSFRED</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16934-2020</t>
        </is>
      </c>
      <c r="B3504" s="1" t="n">
        <v>43921</v>
      </c>
      <c r="C3504" s="1" t="n">
        <v>45190</v>
      </c>
      <c r="D3504" t="inlineStr">
        <is>
          <t>KALMAR LÄN</t>
        </is>
      </c>
      <c r="E3504" t="inlineStr">
        <is>
          <t>HULTSFRED</t>
        </is>
      </c>
      <c r="G3504" t="n">
        <v>3</v>
      </c>
      <c r="H3504" t="n">
        <v>0</v>
      </c>
      <c r="I3504" t="n">
        <v>0</v>
      </c>
      <c r="J3504" t="n">
        <v>0</v>
      </c>
      <c r="K3504" t="n">
        <v>0</v>
      </c>
      <c r="L3504" t="n">
        <v>0</v>
      </c>
      <c r="M3504" t="n">
        <v>0</v>
      </c>
      <c r="N3504" t="n">
        <v>0</v>
      </c>
      <c r="O3504" t="n">
        <v>0</v>
      </c>
      <c r="P3504" t="n">
        <v>0</v>
      </c>
      <c r="Q3504" t="n">
        <v>0</v>
      </c>
      <c r="R3504" s="2" t="inlineStr"/>
    </row>
    <row r="3505" ht="15" customHeight="1">
      <c r="A3505" t="inlineStr">
        <is>
          <t>A 17608-2020</t>
        </is>
      </c>
      <c r="B3505" s="1" t="n">
        <v>43921</v>
      </c>
      <c r="C3505" s="1" t="n">
        <v>45190</v>
      </c>
      <c r="D3505" t="inlineStr">
        <is>
          <t>KALMAR LÄN</t>
        </is>
      </c>
      <c r="E3505" t="inlineStr">
        <is>
          <t>MÖNSTERÅS</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17333-2020</t>
        </is>
      </c>
      <c r="B3506" s="1" t="n">
        <v>43922</v>
      </c>
      <c r="C3506" s="1" t="n">
        <v>45190</v>
      </c>
      <c r="D3506" t="inlineStr">
        <is>
          <t>KALMAR LÄN</t>
        </is>
      </c>
      <c r="E3506" t="inlineStr">
        <is>
          <t>NYBRO</t>
        </is>
      </c>
      <c r="F3506" t="inlineStr">
        <is>
          <t>Kommuner</t>
        </is>
      </c>
      <c r="G3506" t="n">
        <v>5.4</v>
      </c>
      <c r="H3506" t="n">
        <v>0</v>
      </c>
      <c r="I3506" t="n">
        <v>0</v>
      </c>
      <c r="J3506" t="n">
        <v>0</v>
      </c>
      <c r="K3506" t="n">
        <v>0</v>
      </c>
      <c r="L3506" t="n">
        <v>0</v>
      </c>
      <c r="M3506" t="n">
        <v>0</v>
      </c>
      <c r="N3506" t="n">
        <v>0</v>
      </c>
      <c r="O3506" t="n">
        <v>0</v>
      </c>
      <c r="P3506" t="n">
        <v>0</v>
      </c>
      <c r="Q3506" t="n">
        <v>0</v>
      </c>
      <c r="R3506" s="2" t="inlineStr"/>
    </row>
    <row r="3507" ht="15" customHeight="1">
      <c r="A3507" t="inlineStr">
        <is>
          <t>A 17338-2020</t>
        </is>
      </c>
      <c r="B3507" s="1" t="n">
        <v>43922</v>
      </c>
      <c r="C3507" s="1" t="n">
        <v>45190</v>
      </c>
      <c r="D3507" t="inlineStr">
        <is>
          <t>KALMAR LÄN</t>
        </is>
      </c>
      <c r="E3507" t="inlineStr">
        <is>
          <t>TORSÅS</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17119-2020</t>
        </is>
      </c>
      <c r="B3508" s="1" t="n">
        <v>43922</v>
      </c>
      <c r="C3508" s="1" t="n">
        <v>45190</v>
      </c>
      <c r="D3508" t="inlineStr">
        <is>
          <t>KALMAR LÄN</t>
        </is>
      </c>
      <c r="E3508" t="inlineStr">
        <is>
          <t>HULTSFRED</t>
        </is>
      </c>
      <c r="F3508" t="inlineStr">
        <is>
          <t>Övriga Aktiebolag</t>
        </is>
      </c>
      <c r="G3508" t="n">
        <v>0.8</v>
      </c>
      <c r="H3508" t="n">
        <v>0</v>
      </c>
      <c r="I3508" t="n">
        <v>0</v>
      </c>
      <c r="J3508" t="n">
        <v>0</v>
      </c>
      <c r="K3508" t="n">
        <v>0</v>
      </c>
      <c r="L3508" t="n">
        <v>0</v>
      </c>
      <c r="M3508" t="n">
        <v>0</v>
      </c>
      <c r="N3508" t="n">
        <v>0</v>
      </c>
      <c r="O3508" t="n">
        <v>0</v>
      </c>
      <c r="P3508" t="n">
        <v>0</v>
      </c>
      <c r="Q3508" t="n">
        <v>0</v>
      </c>
      <c r="R3508" s="2" t="inlineStr"/>
    </row>
    <row r="3509" ht="15" customHeight="1">
      <c r="A3509" t="inlineStr">
        <is>
          <t>A 17387-2020</t>
        </is>
      </c>
      <c r="B3509" s="1" t="n">
        <v>43923</v>
      </c>
      <c r="C3509" s="1" t="n">
        <v>45190</v>
      </c>
      <c r="D3509" t="inlineStr">
        <is>
          <t>KALMAR LÄN</t>
        </is>
      </c>
      <c r="E3509" t="inlineStr">
        <is>
          <t>EMMABODA</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17499-2020</t>
        </is>
      </c>
      <c r="B3510" s="1" t="n">
        <v>43923</v>
      </c>
      <c r="C3510" s="1" t="n">
        <v>45190</v>
      </c>
      <c r="D3510" t="inlineStr">
        <is>
          <t>KALMAR LÄN</t>
        </is>
      </c>
      <c r="E3510" t="inlineStr">
        <is>
          <t>NYBRO</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17529-2020</t>
        </is>
      </c>
      <c r="B3511" s="1" t="n">
        <v>43923</v>
      </c>
      <c r="C3511" s="1" t="n">
        <v>45190</v>
      </c>
      <c r="D3511" t="inlineStr">
        <is>
          <t>KALMAR LÄN</t>
        </is>
      </c>
      <c r="E3511" t="inlineStr">
        <is>
          <t>EMMABODA</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17394-2020</t>
        </is>
      </c>
      <c r="B3512" s="1" t="n">
        <v>43923</v>
      </c>
      <c r="C3512" s="1" t="n">
        <v>45190</v>
      </c>
      <c r="D3512" t="inlineStr">
        <is>
          <t>KALMAR LÄN</t>
        </is>
      </c>
      <c r="E3512" t="inlineStr">
        <is>
          <t>TORSÅS</t>
        </is>
      </c>
      <c r="G3512" t="n">
        <v>5.4</v>
      </c>
      <c r="H3512" t="n">
        <v>0</v>
      </c>
      <c r="I3512" t="n">
        <v>0</v>
      </c>
      <c r="J3512" t="n">
        <v>0</v>
      </c>
      <c r="K3512" t="n">
        <v>0</v>
      </c>
      <c r="L3512" t="n">
        <v>0</v>
      </c>
      <c r="M3512" t="n">
        <v>0</v>
      </c>
      <c r="N3512" t="n">
        <v>0</v>
      </c>
      <c r="O3512" t="n">
        <v>0</v>
      </c>
      <c r="P3512" t="n">
        <v>0</v>
      </c>
      <c r="Q3512" t="n">
        <v>0</v>
      </c>
      <c r="R3512" s="2" t="inlineStr"/>
    </row>
    <row r="3513" ht="15" customHeight="1">
      <c r="A3513" t="inlineStr">
        <is>
          <t>A 17937-2020</t>
        </is>
      </c>
      <c r="B3513" s="1" t="n">
        <v>43924</v>
      </c>
      <c r="C3513" s="1" t="n">
        <v>45190</v>
      </c>
      <c r="D3513" t="inlineStr">
        <is>
          <t>KALMAR LÄN</t>
        </is>
      </c>
      <c r="E3513" t="inlineStr">
        <is>
          <t>HULTSFRED</t>
        </is>
      </c>
      <c r="F3513" t="inlineStr">
        <is>
          <t>Övriga Aktiebolag</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17933-2020</t>
        </is>
      </c>
      <c r="B3514" s="1" t="n">
        <v>43924</v>
      </c>
      <c r="C3514" s="1" t="n">
        <v>45190</v>
      </c>
      <c r="D3514" t="inlineStr">
        <is>
          <t>KALMAR LÄN</t>
        </is>
      </c>
      <c r="E3514" t="inlineStr">
        <is>
          <t>HULTSFRED</t>
        </is>
      </c>
      <c r="F3514" t="inlineStr">
        <is>
          <t>Övriga Aktiebolag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17834-2020</t>
        </is>
      </c>
      <c r="B3515" s="1" t="n">
        <v>43924</v>
      </c>
      <c r="C3515" s="1" t="n">
        <v>45190</v>
      </c>
      <c r="D3515" t="inlineStr">
        <is>
          <t>KALMAR LÄN</t>
        </is>
      </c>
      <c r="E3515" t="inlineStr">
        <is>
          <t>HÖGSBY</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17863-2020</t>
        </is>
      </c>
      <c r="B3516" s="1" t="n">
        <v>43924</v>
      </c>
      <c r="C3516" s="1" t="n">
        <v>45190</v>
      </c>
      <c r="D3516" t="inlineStr">
        <is>
          <t>KALMAR LÄN</t>
        </is>
      </c>
      <c r="E3516" t="inlineStr">
        <is>
          <t>HÖGSBY</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17928-2020</t>
        </is>
      </c>
      <c r="B3517" s="1" t="n">
        <v>43924</v>
      </c>
      <c r="C3517" s="1" t="n">
        <v>45190</v>
      </c>
      <c r="D3517" t="inlineStr">
        <is>
          <t>KALMAR LÄN</t>
        </is>
      </c>
      <c r="E3517" t="inlineStr">
        <is>
          <t>HULTSFRED</t>
        </is>
      </c>
      <c r="F3517" t="inlineStr">
        <is>
          <t>Övriga Aktiebolag</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17938-2020</t>
        </is>
      </c>
      <c r="B3518" s="1" t="n">
        <v>43924</v>
      </c>
      <c r="C3518" s="1" t="n">
        <v>45190</v>
      </c>
      <c r="D3518" t="inlineStr">
        <is>
          <t>KALMAR LÄN</t>
        </is>
      </c>
      <c r="E3518" t="inlineStr">
        <is>
          <t>HULTSFRED</t>
        </is>
      </c>
      <c r="F3518" t="inlineStr">
        <is>
          <t>Övriga Aktiebolag</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17932-2020</t>
        </is>
      </c>
      <c r="B3519" s="1" t="n">
        <v>43924</v>
      </c>
      <c r="C3519" s="1" t="n">
        <v>45190</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18032-2020</t>
        </is>
      </c>
      <c r="B3520" s="1" t="n">
        <v>43927</v>
      </c>
      <c r="C3520" s="1" t="n">
        <v>45190</v>
      </c>
      <c r="D3520" t="inlineStr">
        <is>
          <t>KALMAR LÄN</t>
        </is>
      </c>
      <c r="E3520" t="inlineStr">
        <is>
          <t>HÖGSBY</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18230-2020</t>
        </is>
      </c>
      <c r="B3521" s="1" t="n">
        <v>43927</v>
      </c>
      <c r="C3521" s="1" t="n">
        <v>45190</v>
      </c>
      <c r="D3521" t="inlineStr">
        <is>
          <t>KALMAR LÄN</t>
        </is>
      </c>
      <c r="E3521" t="inlineStr">
        <is>
          <t>OSKARSHAMN</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18413-2020</t>
        </is>
      </c>
      <c r="B3522" s="1" t="n">
        <v>43928</v>
      </c>
      <c r="C3522" s="1" t="n">
        <v>45190</v>
      </c>
      <c r="D3522" t="inlineStr">
        <is>
          <t>KALMAR LÄN</t>
        </is>
      </c>
      <c r="E3522" t="inlineStr">
        <is>
          <t>TORSÅS</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18573-2020</t>
        </is>
      </c>
      <c r="B3523" s="1" t="n">
        <v>43929</v>
      </c>
      <c r="C3523" s="1" t="n">
        <v>45190</v>
      </c>
      <c r="D3523" t="inlineStr">
        <is>
          <t>KALMAR LÄN</t>
        </is>
      </c>
      <c r="E3523" t="inlineStr">
        <is>
          <t>MÖNSTERÅS</t>
        </is>
      </c>
      <c r="G3523" t="n">
        <v>11.2</v>
      </c>
      <c r="H3523" t="n">
        <v>0</v>
      </c>
      <c r="I3523" t="n">
        <v>0</v>
      </c>
      <c r="J3523" t="n">
        <v>0</v>
      </c>
      <c r="K3523" t="n">
        <v>0</v>
      </c>
      <c r="L3523" t="n">
        <v>0</v>
      </c>
      <c r="M3523" t="n">
        <v>0</v>
      </c>
      <c r="N3523" t="n">
        <v>0</v>
      </c>
      <c r="O3523" t="n">
        <v>0</v>
      </c>
      <c r="P3523" t="n">
        <v>0</v>
      </c>
      <c r="Q3523" t="n">
        <v>0</v>
      </c>
      <c r="R3523" s="2" t="inlineStr"/>
    </row>
    <row r="3524" ht="15" customHeight="1">
      <c r="A3524" t="inlineStr">
        <is>
          <t>A 18594-2020</t>
        </is>
      </c>
      <c r="B3524" s="1" t="n">
        <v>43929</v>
      </c>
      <c r="C3524" s="1" t="n">
        <v>45190</v>
      </c>
      <c r="D3524" t="inlineStr">
        <is>
          <t>KALMAR LÄN</t>
        </is>
      </c>
      <c r="E3524" t="inlineStr">
        <is>
          <t>TORSÅS</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18465-2020</t>
        </is>
      </c>
      <c r="B3525" s="1" t="n">
        <v>43929</v>
      </c>
      <c r="C3525" s="1" t="n">
        <v>45190</v>
      </c>
      <c r="D3525" t="inlineStr">
        <is>
          <t>KALMAR LÄN</t>
        </is>
      </c>
      <c r="E3525" t="inlineStr">
        <is>
          <t>HULTSFRED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18649-2020</t>
        </is>
      </c>
      <c r="B3526" s="1" t="n">
        <v>43929</v>
      </c>
      <c r="C3526" s="1" t="n">
        <v>45190</v>
      </c>
      <c r="D3526" t="inlineStr">
        <is>
          <t>KALMAR LÄN</t>
        </is>
      </c>
      <c r="E3526" t="inlineStr">
        <is>
          <t>KALMAR</t>
        </is>
      </c>
      <c r="G3526" t="n">
        <v>12.6</v>
      </c>
      <c r="H3526" t="n">
        <v>0</v>
      </c>
      <c r="I3526" t="n">
        <v>0</v>
      </c>
      <c r="J3526" t="n">
        <v>0</v>
      </c>
      <c r="K3526" t="n">
        <v>0</v>
      </c>
      <c r="L3526" t="n">
        <v>0</v>
      </c>
      <c r="M3526" t="n">
        <v>0</v>
      </c>
      <c r="N3526" t="n">
        <v>0</v>
      </c>
      <c r="O3526" t="n">
        <v>0</v>
      </c>
      <c r="P3526" t="n">
        <v>0</v>
      </c>
      <c r="Q3526" t="n">
        <v>0</v>
      </c>
      <c r="R3526" s="2" t="inlineStr"/>
    </row>
    <row r="3527" ht="15" customHeight="1">
      <c r="A3527" t="inlineStr">
        <is>
          <t>A 18711-2020</t>
        </is>
      </c>
      <c r="B3527" s="1" t="n">
        <v>43930</v>
      </c>
      <c r="C3527" s="1" t="n">
        <v>45190</v>
      </c>
      <c r="D3527" t="inlineStr">
        <is>
          <t>KALMAR LÄN</t>
        </is>
      </c>
      <c r="E3527" t="inlineStr">
        <is>
          <t>OSKARSHAMN</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18676-2020</t>
        </is>
      </c>
      <c r="B3528" s="1" t="n">
        <v>43930</v>
      </c>
      <c r="C3528" s="1" t="n">
        <v>45190</v>
      </c>
      <c r="D3528" t="inlineStr">
        <is>
          <t>KALMAR LÄN</t>
        </is>
      </c>
      <c r="E3528" t="inlineStr">
        <is>
          <t>VIMMERBY</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18646-2020</t>
        </is>
      </c>
      <c r="B3529" s="1" t="n">
        <v>43930</v>
      </c>
      <c r="C3529" s="1" t="n">
        <v>45190</v>
      </c>
      <c r="D3529" t="inlineStr">
        <is>
          <t>KALMAR LÄN</t>
        </is>
      </c>
      <c r="E3529" t="inlineStr">
        <is>
          <t>EMMABODA</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18855-2020</t>
        </is>
      </c>
      <c r="B3530" s="1" t="n">
        <v>43930</v>
      </c>
      <c r="C3530" s="1" t="n">
        <v>45190</v>
      </c>
      <c r="D3530" t="inlineStr">
        <is>
          <t>KALMAR LÄN</t>
        </is>
      </c>
      <c r="E3530" t="inlineStr">
        <is>
          <t>VIMMERBY</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18909-2020</t>
        </is>
      </c>
      <c r="B3531" s="1" t="n">
        <v>43935</v>
      </c>
      <c r="C3531" s="1" t="n">
        <v>45190</v>
      </c>
      <c r="D3531" t="inlineStr">
        <is>
          <t>KALMAR LÄN</t>
        </is>
      </c>
      <c r="E3531" t="inlineStr">
        <is>
          <t>VIMMERBY</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19003-2020</t>
        </is>
      </c>
      <c r="B3532" s="1" t="n">
        <v>43936</v>
      </c>
      <c r="C3532" s="1" t="n">
        <v>45190</v>
      </c>
      <c r="D3532" t="inlineStr">
        <is>
          <t>KALMAR LÄN</t>
        </is>
      </c>
      <c r="E3532" t="inlineStr">
        <is>
          <t>KALMAR</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19041-2020</t>
        </is>
      </c>
      <c r="B3533" s="1" t="n">
        <v>43936</v>
      </c>
      <c r="C3533" s="1" t="n">
        <v>45190</v>
      </c>
      <c r="D3533" t="inlineStr">
        <is>
          <t>KALMAR LÄN</t>
        </is>
      </c>
      <c r="E3533" t="inlineStr">
        <is>
          <t>TORSÅS</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19069-2020</t>
        </is>
      </c>
      <c r="B3534" s="1" t="n">
        <v>43936</v>
      </c>
      <c r="C3534" s="1" t="n">
        <v>45190</v>
      </c>
      <c r="D3534" t="inlineStr">
        <is>
          <t>KALMAR LÄN</t>
        </is>
      </c>
      <c r="E3534" t="inlineStr">
        <is>
          <t>HULTSFRED</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19047-2020</t>
        </is>
      </c>
      <c r="B3535" s="1" t="n">
        <v>43936</v>
      </c>
      <c r="C3535" s="1" t="n">
        <v>45190</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19261-2020</t>
        </is>
      </c>
      <c r="B3536" s="1" t="n">
        <v>43937</v>
      </c>
      <c r="C3536" s="1" t="n">
        <v>45190</v>
      </c>
      <c r="D3536" t="inlineStr">
        <is>
          <t>KALMAR LÄN</t>
        </is>
      </c>
      <c r="E3536" t="inlineStr">
        <is>
          <t>OSKARSHAMN</t>
        </is>
      </c>
      <c r="F3536" t="inlineStr">
        <is>
          <t>Övriga Aktiebolag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19368-2020</t>
        </is>
      </c>
      <c r="B3537" s="1" t="n">
        <v>43938</v>
      </c>
      <c r="C3537" s="1" t="n">
        <v>45190</v>
      </c>
      <c r="D3537" t="inlineStr">
        <is>
          <t>KALMAR LÄN</t>
        </is>
      </c>
      <c r="E3537" t="inlineStr">
        <is>
          <t>NYBRO</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19393-2020</t>
        </is>
      </c>
      <c r="B3538" s="1" t="n">
        <v>43938</v>
      </c>
      <c r="C3538" s="1" t="n">
        <v>45190</v>
      </c>
      <c r="D3538" t="inlineStr">
        <is>
          <t>KALMAR LÄN</t>
        </is>
      </c>
      <c r="E3538" t="inlineStr">
        <is>
          <t>NYBRO</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19422-2020</t>
        </is>
      </c>
      <c r="B3539" s="1" t="n">
        <v>43938</v>
      </c>
      <c r="C3539" s="1" t="n">
        <v>45190</v>
      </c>
      <c r="D3539" t="inlineStr">
        <is>
          <t>KALMAR LÄN</t>
        </is>
      </c>
      <c r="E3539" t="inlineStr">
        <is>
          <t>VÄSTERVIK</t>
        </is>
      </c>
      <c r="F3539" t="inlineStr">
        <is>
          <t>Holmen skog AB</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19437-2020</t>
        </is>
      </c>
      <c r="B3540" s="1" t="n">
        <v>43938</v>
      </c>
      <c r="C3540" s="1" t="n">
        <v>45190</v>
      </c>
      <c r="D3540" t="inlineStr">
        <is>
          <t>KALMAR LÄN</t>
        </is>
      </c>
      <c r="E3540" t="inlineStr">
        <is>
          <t>VÄSTERVIK</t>
        </is>
      </c>
      <c r="F3540" t="inlineStr">
        <is>
          <t>Holmen skog AB</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19467-2020</t>
        </is>
      </c>
      <c r="B3541" s="1" t="n">
        <v>43938</v>
      </c>
      <c r="C3541" s="1" t="n">
        <v>45190</v>
      </c>
      <c r="D3541" t="inlineStr">
        <is>
          <t>KALMAR LÄN</t>
        </is>
      </c>
      <c r="E3541" t="inlineStr">
        <is>
          <t>OSKARSHAMN</t>
        </is>
      </c>
      <c r="G3541" t="n">
        <v>3.3</v>
      </c>
      <c r="H3541" t="n">
        <v>0</v>
      </c>
      <c r="I3541" t="n">
        <v>0</v>
      </c>
      <c r="J3541" t="n">
        <v>0</v>
      </c>
      <c r="K3541" t="n">
        <v>0</v>
      </c>
      <c r="L3541" t="n">
        <v>0</v>
      </c>
      <c r="M3541" t="n">
        <v>0</v>
      </c>
      <c r="N3541" t="n">
        <v>0</v>
      </c>
      <c r="O3541" t="n">
        <v>0</v>
      </c>
      <c r="P3541" t="n">
        <v>0</v>
      </c>
      <c r="Q3541" t="n">
        <v>0</v>
      </c>
      <c r="R3541" s="2" t="inlineStr"/>
    </row>
    <row r="3542" ht="15" customHeight="1">
      <c r="A3542" t="inlineStr">
        <is>
          <t>A 19373-2020</t>
        </is>
      </c>
      <c r="B3542" s="1" t="n">
        <v>43938</v>
      </c>
      <c r="C3542" s="1" t="n">
        <v>45190</v>
      </c>
      <c r="D3542" t="inlineStr">
        <is>
          <t>KALMAR LÄN</t>
        </is>
      </c>
      <c r="E3542" t="inlineStr">
        <is>
          <t>NYBRO</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19391-2020</t>
        </is>
      </c>
      <c r="B3543" s="1" t="n">
        <v>43938</v>
      </c>
      <c r="C3543" s="1" t="n">
        <v>45190</v>
      </c>
      <c r="D3543" t="inlineStr">
        <is>
          <t>KALMAR LÄN</t>
        </is>
      </c>
      <c r="E3543" t="inlineStr">
        <is>
          <t>NYBRO</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19673-2020</t>
        </is>
      </c>
      <c r="B3544" s="1" t="n">
        <v>43941</v>
      </c>
      <c r="C3544" s="1" t="n">
        <v>45190</v>
      </c>
      <c r="D3544" t="inlineStr">
        <is>
          <t>KALMAR LÄN</t>
        </is>
      </c>
      <c r="E3544" t="inlineStr">
        <is>
          <t>KALMAR</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19763-2020</t>
        </is>
      </c>
      <c r="B3545" s="1" t="n">
        <v>43942</v>
      </c>
      <c r="C3545" s="1" t="n">
        <v>45190</v>
      </c>
      <c r="D3545" t="inlineStr">
        <is>
          <t>KALMAR LÄN</t>
        </is>
      </c>
      <c r="E3545" t="inlineStr">
        <is>
          <t>TORSÅS</t>
        </is>
      </c>
      <c r="G3545" t="n">
        <v>5.9</v>
      </c>
      <c r="H3545" t="n">
        <v>0</v>
      </c>
      <c r="I3545" t="n">
        <v>0</v>
      </c>
      <c r="J3545" t="n">
        <v>0</v>
      </c>
      <c r="K3545" t="n">
        <v>0</v>
      </c>
      <c r="L3545" t="n">
        <v>0</v>
      </c>
      <c r="M3545" t="n">
        <v>0</v>
      </c>
      <c r="N3545" t="n">
        <v>0</v>
      </c>
      <c r="O3545" t="n">
        <v>0</v>
      </c>
      <c r="P3545" t="n">
        <v>0</v>
      </c>
      <c r="Q3545" t="n">
        <v>0</v>
      </c>
      <c r="R3545" s="2" t="inlineStr"/>
    </row>
    <row r="3546" ht="15" customHeight="1">
      <c r="A3546" t="inlineStr">
        <is>
          <t>A 19829-2020</t>
        </is>
      </c>
      <c r="B3546" s="1" t="n">
        <v>43942</v>
      </c>
      <c r="C3546" s="1" t="n">
        <v>45190</v>
      </c>
      <c r="D3546" t="inlineStr">
        <is>
          <t>KALMAR LÄN</t>
        </is>
      </c>
      <c r="E3546" t="inlineStr">
        <is>
          <t>VÄSTERVIK</t>
        </is>
      </c>
      <c r="F3546" t="inlineStr">
        <is>
          <t>Holmen skog AB</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20029-2020</t>
        </is>
      </c>
      <c r="B3547" s="1" t="n">
        <v>43943</v>
      </c>
      <c r="C3547" s="1" t="n">
        <v>45190</v>
      </c>
      <c r="D3547" t="inlineStr">
        <is>
          <t>KALMAR LÄN</t>
        </is>
      </c>
      <c r="E3547" t="inlineStr">
        <is>
          <t>HULTSFRED</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20095-2020</t>
        </is>
      </c>
      <c r="B3548" s="1" t="n">
        <v>43944</v>
      </c>
      <c r="C3548" s="1" t="n">
        <v>45190</v>
      </c>
      <c r="D3548" t="inlineStr">
        <is>
          <t>KALMAR LÄN</t>
        </is>
      </c>
      <c r="E3548" t="inlineStr">
        <is>
          <t>EMMABODA</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20231-2020</t>
        </is>
      </c>
      <c r="B3549" s="1" t="n">
        <v>43944</v>
      </c>
      <c r="C3549" s="1" t="n">
        <v>45190</v>
      </c>
      <c r="D3549" t="inlineStr">
        <is>
          <t>KALMAR LÄN</t>
        </is>
      </c>
      <c r="E3549" t="inlineStr">
        <is>
          <t>TORSÅS</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20345-2020</t>
        </is>
      </c>
      <c r="B3550" s="1" t="n">
        <v>43944</v>
      </c>
      <c r="C3550" s="1" t="n">
        <v>45190</v>
      </c>
      <c r="D3550" t="inlineStr">
        <is>
          <t>KALMAR LÄN</t>
        </is>
      </c>
      <c r="E3550" t="inlineStr">
        <is>
          <t>TORSÅS</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20411-2020</t>
        </is>
      </c>
      <c r="B3551" s="1" t="n">
        <v>43945</v>
      </c>
      <c r="C3551" s="1" t="n">
        <v>45190</v>
      </c>
      <c r="D3551" t="inlineStr">
        <is>
          <t>KALMAR LÄN</t>
        </is>
      </c>
      <c r="E3551" t="inlineStr">
        <is>
          <t>VÄSTERVIK</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20348-2020</t>
        </is>
      </c>
      <c r="B3552" s="1" t="n">
        <v>43945</v>
      </c>
      <c r="C3552" s="1" t="n">
        <v>45190</v>
      </c>
      <c r="D3552" t="inlineStr">
        <is>
          <t>KALMAR LÄN</t>
        </is>
      </c>
      <c r="E3552" t="inlineStr">
        <is>
          <t>OSKARSHAMN</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20749-2020</t>
        </is>
      </c>
      <c r="B3553" s="1" t="n">
        <v>43948</v>
      </c>
      <c r="C3553" s="1" t="n">
        <v>45190</v>
      </c>
      <c r="D3553" t="inlineStr">
        <is>
          <t>KALMAR LÄN</t>
        </is>
      </c>
      <c r="E3553" t="inlineStr">
        <is>
          <t>HÖGSBY</t>
        </is>
      </c>
      <c r="G3553" t="n">
        <v>6.3</v>
      </c>
      <c r="H3553" t="n">
        <v>0</v>
      </c>
      <c r="I3553" t="n">
        <v>0</v>
      </c>
      <c r="J3553" t="n">
        <v>0</v>
      </c>
      <c r="K3553" t="n">
        <v>0</v>
      </c>
      <c r="L3553" t="n">
        <v>0</v>
      </c>
      <c r="M3553" t="n">
        <v>0</v>
      </c>
      <c r="N3553" t="n">
        <v>0</v>
      </c>
      <c r="O3553" t="n">
        <v>0</v>
      </c>
      <c r="P3553" t="n">
        <v>0</v>
      </c>
      <c r="Q3553" t="n">
        <v>0</v>
      </c>
      <c r="R3553" s="2" t="inlineStr"/>
    </row>
    <row r="3554" ht="15" customHeight="1">
      <c r="A3554" t="inlineStr">
        <is>
          <t>A 20636-2020</t>
        </is>
      </c>
      <c r="B3554" s="1" t="n">
        <v>43949</v>
      </c>
      <c r="C3554" s="1" t="n">
        <v>45190</v>
      </c>
      <c r="D3554" t="inlineStr">
        <is>
          <t>KALMAR LÄN</t>
        </is>
      </c>
      <c r="E3554" t="inlineStr">
        <is>
          <t>KALMAR</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20647-2020</t>
        </is>
      </c>
      <c r="B3555" s="1" t="n">
        <v>43949</v>
      </c>
      <c r="C3555" s="1" t="n">
        <v>45190</v>
      </c>
      <c r="D3555" t="inlineStr">
        <is>
          <t>KALMAR LÄN</t>
        </is>
      </c>
      <c r="E3555" t="inlineStr">
        <is>
          <t>MÖNSTERÅS</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20694-2020</t>
        </is>
      </c>
      <c r="B3556" s="1" t="n">
        <v>43949</v>
      </c>
      <c r="C3556" s="1" t="n">
        <v>45190</v>
      </c>
      <c r="D3556" t="inlineStr">
        <is>
          <t>KALMAR LÄN</t>
        </is>
      </c>
      <c r="E3556" t="inlineStr">
        <is>
          <t>VÄSTERVIK</t>
        </is>
      </c>
      <c r="F3556" t="inlineStr">
        <is>
          <t>Holmen skog AB</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20970-2020</t>
        </is>
      </c>
      <c r="B3557" s="1" t="n">
        <v>43950</v>
      </c>
      <c r="C3557" s="1" t="n">
        <v>45190</v>
      </c>
      <c r="D3557" t="inlineStr">
        <is>
          <t>KALMAR LÄN</t>
        </is>
      </c>
      <c r="E3557" t="inlineStr">
        <is>
          <t>MÖNSTERÅS</t>
        </is>
      </c>
      <c r="F3557" t="inlineStr">
        <is>
          <t>Kommuner</t>
        </is>
      </c>
      <c r="G3557" t="n">
        <v>5.1</v>
      </c>
      <c r="H3557" t="n">
        <v>0</v>
      </c>
      <c r="I3557" t="n">
        <v>0</v>
      </c>
      <c r="J3557" t="n">
        <v>0</v>
      </c>
      <c r="K3557" t="n">
        <v>0</v>
      </c>
      <c r="L3557" t="n">
        <v>0</v>
      </c>
      <c r="M3557" t="n">
        <v>0</v>
      </c>
      <c r="N3557" t="n">
        <v>0</v>
      </c>
      <c r="O3557" t="n">
        <v>0</v>
      </c>
      <c r="P3557" t="n">
        <v>0</v>
      </c>
      <c r="Q3557" t="n">
        <v>0</v>
      </c>
      <c r="R3557" s="2" t="inlineStr"/>
    </row>
    <row r="3558" ht="15" customHeight="1">
      <c r="A3558" t="inlineStr">
        <is>
          <t>A 20965-2020</t>
        </is>
      </c>
      <c r="B3558" s="1" t="n">
        <v>43950</v>
      </c>
      <c r="C3558" s="1" t="n">
        <v>45190</v>
      </c>
      <c r="D3558" t="inlineStr">
        <is>
          <t>KALMAR LÄN</t>
        </is>
      </c>
      <c r="E3558" t="inlineStr">
        <is>
          <t>MÖNSTERÅS</t>
        </is>
      </c>
      <c r="F3558" t="inlineStr">
        <is>
          <t>Kommuner</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21023-2020</t>
        </is>
      </c>
      <c r="B3559" s="1" t="n">
        <v>43950</v>
      </c>
      <c r="C3559" s="1" t="n">
        <v>45190</v>
      </c>
      <c r="D3559" t="inlineStr">
        <is>
          <t>KALMAR LÄN</t>
        </is>
      </c>
      <c r="E3559" t="inlineStr">
        <is>
          <t>KALMAR</t>
        </is>
      </c>
      <c r="G3559" t="n">
        <v>5.8</v>
      </c>
      <c r="H3559" t="n">
        <v>0</v>
      </c>
      <c r="I3559" t="n">
        <v>0</v>
      </c>
      <c r="J3559" t="n">
        <v>0</v>
      </c>
      <c r="K3559" t="n">
        <v>0</v>
      </c>
      <c r="L3559" t="n">
        <v>0</v>
      </c>
      <c r="M3559" t="n">
        <v>0</v>
      </c>
      <c r="N3559" t="n">
        <v>0</v>
      </c>
      <c r="O3559" t="n">
        <v>0</v>
      </c>
      <c r="P3559" t="n">
        <v>0</v>
      </c>
      <c r="Q3559" t="n">
        <v>0</v>
      </c>
      <c r="R3559" s="2" t="inlineStr"/>
    </row>
    <row r="3560" ht="15" customHeight="1">
      <c r="A3560" t="inlineStr">
        <is>
          <t>A 21461-2020</t>
        </is>
      </c>
      <c r="B3560" s="1" t="n">
        <v>43951</v>
      </c>
      <c r="C3560" s="1" t="n">
        <v>45190</v>
      </c>
      <c r="D3560" t="inlineStr">
        <is>
          <t>KALMAR LÄN</t>
        </is>
      </c>
      <c r="E3560" t="inlineStr">
        <is>
          <t>HÖGSBY</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21205-2020</t>
        </is>
      </c>
      <c r="B3561" s="1" t="n">
        <v>43951</v>
      </c>
      <c r="C3561" s="1" t="n">
        <v>45190</v>
      </c>
      <c r="D3561" t="inlineStr">
        <is>
          <t>KALMAR LÄN</t>
        </is>
      </c>
      <c r="E3561" t="inlineStr">
        <is>
          <t>HULTSFRED</t>
        </is>
      </c>
      <c r="G3561" t="n">
        <v>12.3</v>
      </c>
      <c r="H3561" t="n">
        <v>0</v>
      </c>
      <c r="I3561" t="n">
        <v>0</v>
      </c>
      <c r="J3561" t="n">
        <v>0</v>
      </c>
      <c r="K3561" t="n">
        <v>0</v>
      </c>
      <c r="L3561" t="n">
        <v>0</v>
      </c>
      <c r="M3561" t="n">
        <v>0</v>
      </c>
      <c r="N3561" t="n">
        <v>0</v>
      </c>
      <c r="O3561" t="n">
        <v>0</v>
      </c>
      <c r="P3561" t="n">
        <v>0</v>
      </c>
      <c r="Q3561" t="n">
        <v>0</v>
      </c>
      <c r="R3561" s="2" t="inlineStr"/>
    </row>
    <row r="3562" ht="15" customHeight="1">
      <c r="A3562" t="inlineStr">
        <is>
          <t>A 21206-2020</t>
        </is>
      </c>
      <c r="B3562" s="1" t="n">
        <v>43951</v>
      </c>
      <c r="C3562" s="1" t="n">
        <v>45190</v>
      </c>
      <c r="D3562" t="inlineStr">
        <is>
          <t>KALMAR LÄN</t>
        </is>
      </c>
      <c r="E3562" t="inlineStr">
        <is>
          <t>HULTSFRED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21202-2020</t>
        </is>
      </c>
      <c r="B3563" s="1" t="n">
        <v>43951</v>
      </c>
      <c r="C3563" s="1" t="n">
        <v>45190</v>
      </c>
      <c r="D3563" t="inlineStr">
        <is>
          <t>KALMAR LÄN</t>
        </is>
      </c>
      <c r="E3563" t="inlineStr">
        <is>
          <t>OSKARSHAMN</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21464-2020</t>
        </is>
      </c>
      <c r="B3564" s="1" t="n">
        <v>43951</v>
      </c>
      <c r="C3564" s="1" t="n">
        <v>45190</v>
      </c>
      <c r="D3564" t="inlineStr">
        <is>
          <t>KALMAR LÄN</t>
        </is>
      </c>
      <c r="E3564" t="inlineStr">
        <is>
          <t>HÖGSBY</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21273-2020</t>
        </is>
      </c>
      <c r="B3565" s="1" t="n">
        <v>43955</v>
      </c>
      <c r="C3565" s="1" t="n">
        <v>45190</v>
      </c>
      <c r="D3565" t="inlineStr">
        <is>
          <t>KALMAR LÄN</t>
        </is>
      </c>
      <c r="E3565" t="inlineStr">
        <is>
          <t>HULTSFRED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21334-2020</t>
        </is>
      </c>
      <c r="B3566" s="1" t="n">
        <v>43955</v>
      </c>
      <c r="C3566" s="1" t="n">
        <v>45190</v>
      </c>
      <c r="D3566" t="inlineStr">
        <is>
          <t>KALMAR LÄN</t>
        </is>
      </c>
      <c r="E3566" t="inlineStr">
        <is>
          <t>OSKARSHAMN</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21317-2020</t>
        </is>
      </c>
      <c r="B3567" s="1" t="n">
        <v>43955</v>
      </c>
      <c r="C3567" s="1" t="n">
        <v>45190</v>
      </c>
      <c r="D3567" t="inlineStr">
        <is>
          <t>KALMAR LÄN</t>
        </is>
      </c>
      <c r="E3567" t="inlineStr">
        <is>
          <t>NYBRO</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21333-2020</t>
        </is>
      </c>
      <c r="B3568" s="1" t="n">
        <v>43955</v>
      </c>
      <c r="C3568" s="1" t="n">
        <v>45190</v>
      </c>
      <c r="D3568" t="inlineStr">
        <is>
          <t>KALMAR LÄN</t>
        </is>
      </c>
      <c r="E3568" t="inlineStr">
        <is>
          <t>NYBRO</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21246-2020</t>
        </is>
      </c>
      <c r="B3569" s="1" t="n">
        <v>43955</v>
      </c>
      <c r="C3569" s="1" t="n">
        <v>45190</v>
      </c>
      <c r="D3569" t="inlineStr">
        <is>
          <t>KALMAR LÄN</t>
        </is>
      </c>
      <c r="E3569" t="inlineStr">
        <is>
          <t>EMMABODA</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21331-2020</t>
        </is>
      </c>
      <c r="B3570" s="1" t="n">
        <v>43955</v>
      </c>
      <c r="C3570" s="1" t="n">
        <v>45190</v>
      </c>
      <c r="D3570" t="inlineStr">
        <is>
          <t>KALMAR LÄN</t>
        </is>
      </c>
      <c r="E3570" t="inlineStr">
        <is>
          <t>NYBRO</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21345-2020</t>
        </is>
      </c>
      <c r="B3571" s="1" t="n">
        <v>43955</v>
      </c>
      <c r="C3571" s="1" t="n">
        <v>45190</v>
      </c>
      <c r="D3571" t="inlineStr">
        <is>
          <t>KALMAR LÄN</t>
        </is>
      </c>
      <c r="E3571" t="inlineStr">
        <is>
          <t>OSKARSHAMN</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21247-2020</t>
        </is>
      </c>
      <c r="B3572" s="1" t="n">
        <v>43955</v>
      </c>
      <c r="C3572" s="1" t="n">
        <v>45190</v>
      </c>
      <c r="D3572" t="inlineStr">
        <is>
          <t>KALMAR LÄN</t>
        </is>
      </c>
      <c r="E3572" t="inlineStr">
        <is>
          <t>NYBRO</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21408-2020</t>
        </is>
      </c>
      <c r="B3573" s="1" t="n">
        <v>43955</v>
      </c>
      <c r="C3573" s="1" t="n">
        <v>45190</v>
      </c>
      <c r="D3573" t="inlineStr">
        <is>
          <t>KALMAR LÄN</t>
        </is>
      </c>
      <c r="E3573" t="inlineStr">
        <is>
          <t>VIMMERBY</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21528-2020</t>
        </is>
      </c>
      <c r="B3574" s="1" t="n">
        <v>43956</v>
      </c>
      <c r="C3574" s="1" t="n">
        <v>45190</v>
      </c>
      <c r="D3574" t="inlineStr">
        <is>
          <t>KALMAR LÄN</t>
        </is>
      </c>
      <c r="E3574" t="inlineStr">
        <is>
          <t>MÖNSTERÅS</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21438-2020</t>
        </is>
      </c>
      <c r="B3575" s="1" t="n">
        <v>43956</v>
      </c>
      <c r="C3575" s="1" t="n">
        <v>45190</v>
      </c>
      <c r="D3575" t="inlineStr">
        <is>
          <t>KALMAR LÄN</t>
        </is>
      </c>
      <c r="E3575" t="inlineStr">
        <is>
          <t>TORSÅS</t>
        </is>
      </c>
      <c r="G3575" t="n">
        <v>10.5</v>
      </c>
      <c r="H3575" t="n">
        <v>0</v>
      </c>
      <c r="I3575" t="n">
        <v>0</v>
      </c>
      <c r="J3575" t="n">
        <v>0</v>
      </c>
      <c r="K3575" t="n">
        <v>0</v>
      </c>
      <c r="L3575" t="n">
        <v>0</v>
      </c>
      <c r="M3575" t="n">
        <v>0</v>
      </c>
      <c r="N3575" t="n">
        <v>0</v>
      </c>
      <c r="O3575" t="n">
        <v>0</v>
      </c>
      <c r="P3575" t="n">
        <v>0</v>
      </c>
      <c r="Q3575" t="n">
        <v>0</v>
      </c>
      <c r="R3575" s="2" t="inlineStr"/>
    </row>
    <row r="3576" ht="15" customHeight="1">
      <c r="A3576" t="inlineStr">
        <is>
          <t>A 21457-2020</t>
        </is>
      </c>
      <c r="B3576" s="1" t="n">
        <v>43956</v>
      </c>
      <c r="C3576" s="1" t="n">
        <v>45190</v>
      </c>
      <c r="D3576" t="inlineStr">
        <is>
          <t>KALMAR LÄN</t>
        </is>
      </c>
      <c r="E3576" t="inlineStr">
        <is>
          <t>NYBRO</t>
        </is>
      </c>
      <c r="F3576" t="inlineStr">
        <is>
          <t>Kommuner</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21523-2020</t>
        </is>
      </c>
      <c r="B3577" s="1" t="n">
        <v>43956</v>
      </c>
      <c r="C3577" s="1" t="n">
        <v>45190</v>
      </c>
      <c r="D3577" t="inlineStr">
        <is>
          <t>KALMAR LÄN</t>
        </is>
      </c>
      <c r="E3577" t="inlineStr">
        <is>
          <t>MÖNSTERÅS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21581-2020</t>
        </is>
      </c>
      <c r="B3578" s="1" t="n">
        <v>43956</v>
      </c>
      <c r="C3578" s="1" t="n">
        <v>45190</v>
      </c>
      <c r="D3578" t="inlineStr">
        <is>
          <t>KALMAR LÄN</t>
        </is>
      </c>
      <c r="E3578" t="inlineStr">
        <is>
          <t>VIMMERBY</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21444-2020</t>
        </is>
      </c>
      <c r="B3579" s="1" t="n">
        <v>43956</v>
      </c>
      <c r="C3579" s="1" t="n">
        <v>45190</v>
      </c>
      <c r="D3579" t="inlineStr">
        <is>
          <t>KALMAR LÄN</t>
        </is>
      </c>
      <c r="E3579" t="inlineStr">
        <is>
          <t>TORSÅS</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21517-2020</t>
        </is>
      </c>
      <c r="B3580" s="1" t="n">
        <v>43956</v>
      </c>
      <c r="C3580" s="1" t="n">
        <v>45190</v>
      </c>
      <c r="D3580" t="inlineStr">
        <is>
          <t>KALMAR LÄN</t>
        </is>
      </c>
      <c r="E3580" t="inlineStr">
        <is>
          <t>MÖNSTERÅS</t>
        </is>
      </c>
      <c r="G3580" t="n">
        <v>13.4</v>
      </c>
      <c r="H3580" t="n">
        <v>0</v>
      </c>
      <c r="I3580" t="n">
        <v>0</v>
      </c>
      <c r="J3580" t="n">
        <v>0</v>
      </c>
      <c r="K3580" t="n">
        <v>0</v>
      </c>
      <c r="L3580" t="n">
        <v>0</v>
      </c>
      <c r="M3580" t="n">
        <v>0</v>
      </c>
      <c r="N3580" t="n">
        <v>0</v>
      </c>
      <c r="O3580" t="n">
        <v>0</v>
      </c>
      <c r="P3580" t="n">
        <v>0</v>
      </c>
      <c r="Q3580" t="n">
        <v>0</v>
      </c>
      <c r="R3580" s="2" t="inlineStr"/>
    </row>
    <row r="3581" ht="15" customHeight="1">
      <c r="A3581" t="inlineStr">
        <is>
          <t>A 21586-2020</t>
        </is>
      </c>
      <c r="B3581" s="1" t="n">
        <v>43956</v>
      </c>
      <c r="C3581" s="1" t="n">
        <v>45190</v>
      </c>
      <c r="D3581" t="inlineStr">
        <is>
          <t>KALMAR LÄN</t>
        </is>
      </c>
      <c r="E3581" t="inlineStr">
        <is>
          <t>KALMAR</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21692-2020</t>
        </is>
      </c>
      <c r="B3582" s="1" t="n">
        <v>43957</v>
      </c>
      <c r="C3582" s="1" t="n">
        <v>45190</v>
      </c>
      <c r="D3582" t="inlineStr">
        <is>
          <t>KALMAR LÄN</t>
        </is>
      </c>
      <c r="E3582" t="inlineStr">
        <is>
          <t>NYBRO</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21657-2020</t>
        </is>
      </c>
      <c r="B3583" s="1" t="n">
        <v>43957</v>
      </c>
      <c r="C3583" s="1" t="n">
        <v>45190</v>
      </c>
      <c r="D3583" t="inlineStr">
        <is>
          <t>KALMAR LÄN</t>
        </is>
      </c>
      <c r="E3583" t="inlineStr">
        <is>
          <t>NYBRO</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21788-2020</t>
        </is>
      </c>
      <c r="B3584" s="1" t="n">
        <v>43958</v>
      </c>
      <c r="C3584" s="1" t="n">
        <v>45190</v>
      </c>
      <c r="D3584" t="inlineStr">
        <is>
          <t>KALMAR LÄN</t>
        </is>
      </c>
      <c r="E3584" t="inlineStr">
        <is>
          <t>HULTSFRED</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21891-2020</t>
        </is>
      </c>
      <c r="B3585" s="1" t="n">
        <v>43958</v>
      </c>
      <c r="C3585" s="1" t="n">
        <v>45190</v>
      </c>
      <c r="D3585" t="inlineStr">
        <is>
          <t>KALMAR LÄN</t>
        </is>
      </c>
      <c r="E3585" t="inlineStr">
        <is>
          <t>VIMMERBY</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21903-2020</t>
        </is>
      </c>
      <c r="B3586" s="1" t="n">
        <v>43958</v>
      </c>
      <c r="C3586" s="1" t="n">
        <v>45190</v>
      </c>
      <c r="D3586" t="inlineStr">
        <is>
          <t>KALMAR LÄN</t>
        </is>
      </c>
      <c r="E3586" t="inlineStr">
        <is>
          <t>MÖNSTERÅS</t>
        </is>
      </c>
      <c r="G3586" t="n">
        <v>4.5</v>
      </c>
      <c r="H3586" t="n">
        <v>0</v>
      </c>
      <c r="I3586" t="n">
        <v>0</v>
      </c>
      <c r="J3586" t="n">
        <v>0</v>
      </c>
      <c r="K3586" t="n">
        <v>0</v>
      </c>
      <c r="L3586" t="n">
        <v>0</v>
      </c>
      <c r="M3586" t="n">
        <v>0</v>
      </c>
      <c r="N3586" t="n">
        <v>0</v>
      </c>
      <c r="O3586" t="n">
        <v>0</v>
      </c>
      <c r="P3586" t="n">
        <v>0</v>
      </c>
      <c r="Q3586" t="n">
        <v>0</v>
      </c>
      <c r="R3586" s="2" t="inlineStr"/>
    </row>
    <row r="3587" ht="15" customHeight="1">
      <c r="A3587" t="inlineStr">
        <is>
          <t>A 22118-2020</t>
        </is>
      </c>
      <c r="B3587" s="1" t="n">
        <v>43960</v>
      </c>
      <c r="C3587" s="1" t="n">
        <v>45190</v>
      </c>
      <c r="D3587" t="inlineStr">
        <is>
          <t>KALMAR LÄN</t>
        </is>
      </c>
      <c r="E3587" t="inlineStr">
        <is>
          <t>HULTSFRED</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22119-2020</t>
        </is>
      </c>
      <c r="B3588" s="1" t="n">
        <v>43960</v>
      </c>
      <c r="C3588" s="1" t="n">
        <v>45190</v>
      </c>
      <c r="D3588" t="inlineStr">
        <is>
          <t>KALMAR LÄN</t>
        </is>
      </c>
      <c r="E3588" t="inlineStr">
        <is>
          <t>HULTSFRED</t>
        </is>
      </c>
      <c r="G3588" t="n">
        <v>10.8</v>
      </c>
      <c r="H3588" t="n">
        <v>0</v>
      </c>
      <c r="I3588" t="n">
        <v>0</v>
      </c>
      <c r="J3588" t="n">
        <v>0</v>
      </c>
      <c r="K3588" t="n">
        <v>0</v>
      </c>
      <c r="L3588" t="n">
        <v>0</v>
      </c>
      <c r="M3588" t="n">
        <v>0</v>
      </c>
      <c r="N3588" t="n">
        <v>0</v>
      </c>
      <c r="O3588" t="n">
        <v>0</v>
      </c>
      <c r="P3588" t="n">
        <v>0</v>
      </c>
      <c r="Q3588" t="n">
        <v>0</v>
      </c>
      <c r="R3588" s="2" t="inlineStr"/>
    </row>
    <row r="3589" ht="15" customHeight="1">
      <c r="A3589" t="inlineStr">
        <is>
          <t>A 22722-2020</t>
        </is>
      </c>
      <c r="B3589" s="1" t="n">
        <v>43962</v>
      </c>
      <c r="C3589" s="1" t="n">
        <v>45190</v>
      </c>
      <c r="D3589" t="inlineStr">
        <is>
          <t>KALMAR LÄN</t>
        </is>
      </c>
      <c r="E3589" t="inlineStr">
        <is>
          <t>BORGHOLM</t>
        </is>
      </c>
      <c r="G3589" t="n">
        <v>4.5</v>
      </c>
      <c r="H3589" t="n">
        <v>0</v>
      </c>
      <c r="I3589" t="n">
        <v>0</v>
      </c>
      <c r="J3589" t="n">
        <v>0</v>
      </c>
      <c r="K3589" t="n">
        <v>0</v>
      </c>
      <c r="L3589" t="n">
        <v>0</v>
      </c>
      <c r="M3589" t="n">
        <v>0</v>
      </c>
      <c r="N3589" t="n">
        <v>0</v>
      </c>
      <c r="O3589" t="n">
        <v>0</v>
      </c>
      <c r="P3589" t="n">
        <v>0</v>
      </c>
      <c r="Q3589" t="n">
        <v>0</v>
      </c>
      <c r="R3589" s="2" t="inlineStr"/>
    </row>
    <row r="3590" ht="15" customHeight="1">
      <c r="A3590" t="inlineStr">
        <is>
          <t>A 22267-2020</t>
        </is>
      </c>
      <c r="B3590" s="1" t="n">
        <v>43962</v>
      </c>
      <c r="C3590" s="1" t="n">
        <v>45190</v>
      </c>
      <c r="D3590" t="inlineStr">
        <is>
          <t>KALMAR LÄN</t>
        </is>
      </c>
      <c r="E3590" t="inlineStr">
        <is>
          <t>VIMMERBY</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22306-2020</t>
        </is>
      </c>
      <c r="B3591" s="1" t="n">
        <v>43962</v>
      </c>
      <c r="C3591" s="1" t="n">
        <v>45190</v>
      </c>
      <c r="D3591" t="inlineStr">
        <is>
          <t>KALMAR LÄN</t>
        </is>
      </c>
      <c r="E3591" t="inlineStr">
        <is>
          <t>NYBRO</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22201-2020</t>
        </is>
      </c>
      <c r="B3592" s="1" t="n">
        <v>43962</v>
      </c>
      <c r="C3592" s="1" t="n">
        <v>45190</v>
      </c>
      <c r="D3592" t="inlineStr">
        <is>
          <t>KALMAR LÄN</t>
        </is>
      </c>
      <c r="E3592" t="inlineStr">
        <is>
          <t>OSKARSHAMN</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22244-2020</t>
        </is>
      </c>
      <c r="B3593" s="1" t="n">
        <v>43962</v>
      </c>
      <c r="C3593" s="1" t="n">
        <v>45190</v>
      </c>
      <c r="D3593" t="inlineStr">
        <is>
          <t>KALMAR LÄN</t>
        </is>
      </c>
      <c r="E3593" t="inlineStr">
        <is>
          <t>BORGHOLM</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22643-2020</t>
        </is>
      </c>
      <c r="B3594" s="1" t="n">
        <v>43963</v>
      </c>
      <c r="C3594" s="1" t="n">
        <v>45190</v>
      </c>
      <c r="D3594" t="inlineStr">
        <is>
          <t>KALMAR LÄN</t>
        </is>
      </c>
      <c r="E3594" t="inlineStr">
        <is>
          <t>VÄSTERVIK</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22439-2020</t>
        </is>
      </c>
      <c r="B3595" s="1" t="n">
        <v>43963</v>
      </c>
      <c r="C3595" s="1" t="n">
        <v>45190</v>
      </c>
      <c r="D3595" t="inlineStr">
        <is>
          <t>KALMAR LÄN</t>
        </is>
      </c>
      <c r="E3595" t="inlineStr">
        <is>
          <t>VIMMERBY</t>
        </is>
      </c>
      <c r="G3595" t="n">
        <v>13.8</v>
      </c>
      <c r="H3595" t="n">
        <v>0</v>
      </c>
      <c r="I3595" t="n">
        <v>0</v>
      </c>
      <c r="J3595" t="n">
        <v>0</v>
      </c>
      <c r="K3595" t="n">
        <v>0</v>
      </c>
      <c r="L3595" t="n">
        <v>0</v>
      </c>
      <c r="M3595" t="n">
        <v>0</v>
      </c>
      <c r="N3595" t="n">
        <v>0</v>
      </c>
      <c r="O3595" t="n">
        <v>0</v>
      </c>
      <c r="P3595" t="n">
        <v>0</v>
      </c>
      <c r="Q3595" t="n">
        <v>0</v>
      </c>
      <c r="R3595" s="2" t="inlineStr"/>
    </row>
    <row r="3596" ht="15" customHeight="1">
      <c r="A3596" t="inlineStr">
        <is>
          <t>A 22574-2020</t>
        </is>
      </c>
      <c r="B3596" s="1" t="n">
        <v>43963</v>
      </c>
      <c r="C3596" s="1" t="n">
        <v>45190</v>
      </c>
      <c r="D3596" t="inlineStr">
        <is>
          <t>KALMAR LÄN</t>
        </is>
      </c>
      <c r="E3596" t="inlineStr">
        <is>
          <t>VIMMERBY</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22637-2020</t>
        </is>
      </c>
      <c r="B3597" s="1" t="n">
        <v>43963</v>
      </c>
      <c r="C3597" s="1" t="n">
        <v>45190</v>
      </c>
      <c r="D3597" t="inlineStr">
        <is>
          <t>KALMAR LÄN</t>
        </is>
      </c>
      <c r="E3597" t="inlineStr">
        <is>
          <t>VIMMERBY</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22652-2020</t>
        </is>
      </c>
      <c r="B3598" s="1" t="n">
        <v>43963</v>
      </c>
      <c r="C3598" s="1" t="n">
        <v>45190</v>
      </c>
      <c r="D3598" t="inlineStr">
        <is>
          <t>KALMAR LÄN</t>
        </is>
      </c>
      <c r="E3598" t="inlineStr">
        <is>
          <t>KALMAR</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22669-2020</t>
        </is>
      </c>
      <c r="B3599" s="1" t="n">
        <v>43963</v>
      </c>
      <c r="C3599" s="1" t="n">
        <v>45190</v>
      </c>
      <c r="D3599" t="inlineStr">
        <is>
          <t>KALMAR LÄN</t>
        </is>
      </c>
      <c r="E3599" t="inlineStr">
        <is>
          <t>MÖNSTERÅS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22880-2020</t>
        </is>
      </c>
      <c r="B3600" s="1" t="n">
        <v>43964</v>
      </c>
      <c r="C3600" s="1" t="n">
        <v>45190</v>
      </c>
      <c r="D3600" t="inlineStr">
        <is>
          <t>KALMAR LÄN</t>
        </is>
      </c>
      <c r="E3600" t="inlineStr">
        <is>
          <t>VÄSTERVIK</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22838-2020</t>
        </is>
      </c>
      <c r="B3601" s="1" t="n">
        <v>43964</v>
      </c>
      <c r="C3601" s="1" t="n">
        <v>45190</v>
      </c>
      <c r="D3601" t="inlineStr">
        <is>
          <t>KALMAR LÄN</t>
        </is>
      </c>
      <c r="E3601" t="inlineStr">
        <is>
          <t>BORGHOLM</t>
        </is>
      </c>
      <c r="F3601" t="inlineStr">
        <is>
          <t>Sveaskog</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23064-2020</t>
        </is>
      </c>
      <c r="B3602" s="1" t="n">
        <v>43964</v>
      </c>
      <c r="C3602" s="1" t="n">
        <v>45190</v>
      </c>
      <c r="D3602" t="inlineStr">
        <is>
          <t>KALMAR LÄN</t>
        </is>
      </c>
      <c r="E3602" t="inlineStr">
        <is>
          <t>HULTSFRED</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22721-2020</t>
        </is>
      </c>
      <c r="B3603" s="1" t="n">
        <v>43964</v>
      </c>
      <c r="C3603" s="1" t="n">
        <v>45190</v>
      </c>
      <c r="D3603" t="inlineStr">
        <is>
          <t>KALMAR LÄN</t>
        </is>
      </c>
      <c r="E3603" t="inlineStr">
        <is>
          <t>HÖGSBY</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22803-2020</t>
        </is>
      </c>
      <c r="B3604" s="1" t="n">
        <v>43964</v>
      </c>
      <c r="C3604" s="1" t="n">
        <v>45190</v>
      </c>
      <c r="D3604" t="inlineStr">
        <is>
          <t>KALMAR LÄN</t>
        </is>
      </c>
      <c r="E3604" t="inlineStr">
        <is>
          <t>VÄSTERVIK</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22828-2020</t>
        </is>
      </c>
      <c r="B3605" s="1" t="n">
        <v>43964</v>
      </c>
      <c r="C3605" s="1" t="n">
        <v>45190</v>
      </c>
      <c r="D3605" t="inlineStr">
        <is>
          <t>KALMAR LÄN</t>
        </is>
      </c>
      <c r="E3605" t="inlineStr">
        <is>
          <t>VIMMERBY</t>
        </is>
      </c>
      <c r="G3605" t="n">
        <v>7.5</v>
      </c>
      <c r="H3605" t="n">
        <v>0</v>
      </c>
      <c r="I3605" t="n">
        <v>0</v>
      </c>
      <c r="J3605" t="n">
        <v>0</v>
      </c>
      <c r="K3605" t="n">
        <v>0</v>
      </c>
      <c r="L3605" t="n">
        <v>0</v>
      </c>
      <c r="M3605" t="n">
        <v>0</v>
      </c>
      <c r="N3605" t="n">
        <v>0</v>
      </c>
      <c r="O3605" t="n">
        <v>0</v>
      </c>
      <c r="P3605" t="n">
        <v>0</v>
      </c>
      <c r="Q3605" t="n">
        <v>0</v>
      </c>
      <c r="R3605" s="2" t="inlineStr"/>
    </row>
    <row r="3606" ht="15" customHeight="1">
      <c r="A3606" t="inlineStr">
        <is>
          <t>A 22812-2020</t>
        </is>
      </c>
      <c r="B3606" s="1" t="n">
        <v>43964</v>
      </c>
      <c r="C3606" s="1" t="n">
        <v>45190</v>
      </c>
      <c r="D3606" t="inlineStr">
        <is>
          <t>KALMAR LÄN</t>
        </is>
      </c>
      <c r="E3606" t="inlineStr">
        <is>
          <t>NYBRO</t>
        </is>
      </c>
      <c r="G3606" t="n">
        <v>6.8</v>
      </c>
      <c r="H3606" t="n">
        <v>0</v>
      </c>
      <c r="I3606" t="n">
        <v>0</v>
      </c>
      <c r="J3606" t="n">
        <v>0</v>
      </c>
      <c r="K3606" t="n">
        <v>0</v>
      </c>
      <c r="L3606" t="n">
        <v>0</v>
      </c>
      <c r="M3606" t="n">
        <v>0</v>
      </c>
      <c r="N3606" t="n">
        <v>0</v>
      </c>
      <c r="O3606" t="n">
        <v>0</v>
      </c>
      <c r="P3606" t="n">
        <v>0</v>
      </c>
      <c r="Q3606" t="n">
        <v>0</v>
      </c>
      <c r="R3606" s="2" t="inlineStr"/>
    </row>
    <row r="3607" ht="15" customHeight="1">
      <c r="A3607" t="inlineStr">
        <is>
          <t>A 22882-2020</t>
        </is>
      </c>
      <c r="B3607" s="1" t="n">
        <v>43964</v>
      </c>
      <c r="C3607" s="1" t="n">
        <v>45190</v>
      </c>
      <c r="D3607" t="inlineStr">
        <is>
          <t>KALMAR LÄN</t>
        </is>
      </c>
      <c r="E3607" t="inlineStr">
        <is>
          <t>VÄSTERVIK</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23061-2020</t>
        </is>
      </c>
      <c r="B3608" s="1" t="n">
        <v>43964</v>
      </c>
      <c r="C3608" s="1" t="n">
        <v>45190</v>
      </c>
      <c r="D3608" t="inlineStr">
        <is>
          <t>KALMAR LÄN</t>
        </is>
      </c>
      <c r="E3608" t="inlineStr">
        <is>
          <t>HULTSFRED</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22989-2020</t>
        </is>
      </c>
      <c r="B3609" s="1" t="n">
        <v>43965</v>
      </c>
      <c r="C3609" s="1" t="n">
        <v>45190</v>
      </c>
      <c r="D3609" t="inlineStr">
        <is>
          <t>KALMAR LÄN</t>
        </is>
      </c>
      <c r="E3609" t="inlineStr">
        <is>
          <t>HULTSFRED</t>
        </is>
      </c>
      <c r="F3609" t="inlineStr">
        <is>
          <t>Sveaskog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22985-2020</t>
        </is>
      </c>
      <c r="B3610" s="1" t="n">
        <v>43965</v>
      </c>
      <c r="C3610" s="1" t="n">
        <v>45190</v>
      </c>
      <c r="D3610" t="inlineStr">
        <is>
          <t>KALMAR LÄN</t>
        </is>
      </c>
      <c r="E3610" t="inlineStr">
        <is>
          <t>HULTSFRED</t>
        </is>
      </c>
      <c r="F3610" t="inlineStr">
        <is>
          <t>Sveaskog</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23088-2020</t>
        </is>
      </c>
      <c r="B3611" s="1" t="n">
        <v>43965</v>
      </c>
      <c r="C3611" s="1" t="n">
        <v>45190</v>
      </c>
      <c r="D3611" t="inlineStr">
        <is>
          <t>KALMAR LÄN</t>
        </is>
      </c>
      <c r="E3611" t="inlineStr">
        <is>
          <t>OSKARSHAMN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23391-2020</t>
        </is>
      </c>
      <c r="B3612" s="1" t="n">
        <v>43968</v>
      </c>
      <c r="C3612" s="1" t="n">
        <v>45190</v>
      </c>
      <c r="D3612" t="inlineStr">
        <is>
          <t>KALMAR LÄN</t>
        </is>
      </c>
      <c r="E3612" t="inlineStr">
        <is>
          <t>VIMMERBY</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23389-2020</t>
        </is>
      </c>
      <c r="B3613" s="1" t="n">
        <v>43968</v>
      </c>
      <c r="C3613" s="1" t="n">
        <v>45190</v>
      </c>
      <c r="D3613" t="inlineStr">
        <is>
          <t>KALMAR LÄN</t>
        </is>
      </c>
      <c r="E3613" t="inlineStr">
        <is>
          <t>NYBRO</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23394-2020</t>
        </is>
      </c>
      <c r="B3614" s="1" t="n">
        <v>43968</v>
      </c>
      <c r="C3614" s="1" t="n">
        <v>45190</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23483-2020</t>
        </is>
      </c>
      <c r="B3615" s="1" t="n">
        <v>43969</v>
      </c>
      <c r="C3615" s="1" t="n">
        <v>45190</v>
      </c>
      <c r="D3615" t="inlineStr">
        <is>
          <t>KALMAR LÄN</t>
        </is>
      </c>
      <c r="E3615" t="inlineStr">
        <is>
          <t>EMMABODA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23501-2020</t>
        </is>
      </c>
      <c r="B3616" s="1" t="n">
        <v>43969</v>
      </c>
      <c r="C3616" s="1" t="n">
        <v>45190</v>
      </c>
      <c r="D3616" t="inlineStr">
        <is>
          <t>KALMAR LÄN</t>
        </is>
      </c>
      <c r="E3616" t="inlineStr">
        <is>
          <t>EMMABODA</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23436-2020</t>
        </is>
      </c>
      <c r="B3617" s="1" t="n">
        <v>43969</v>
      </c>
      <c r="C3617" s="1" t="n">
        <v>45190</v>
      </c>
      <c r="D3617" t="inlineStr">
        <is>
          <t>KALMAR LÄN</t>
        </is>
      </c>
      <c r="E3617" t="inlineStr">
        <is>
          <t>HULTSFRED</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23472-2020</t>
        </is>
      </c>
      <c r="B3618" s="1" t="n">
        <v>43969</v>
      </c>
      <c r="C3618" s="1" t="n">
        <v>45190</v>
      </c>
      <c r="D3618" t="inlineStr">
        <is>
          <t>KALMAR LÄN</t>
        </is>
      </c>
      <c r="E3618" t="inlineStr">
        <is>
          <t>HULTSFRED</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23718-2020</t>
        </is>
      </c>
      <c r="B3619" s="1" t="n">
        <v>43970</v>
      </c>
      <c r="C3619" s="1" t="n">
        <v>45190</v>
      </c>
      <c r="D3619" t="inlineStr">
        <is>
          <t>KALMAR LÄN</t>
        </is>
      </c>
      <c r="E3619" t="inlineStr">
        <is>
          <t>OSKARSHAMN</t>
        </is>
      </c>
      <c r="F3619" t="inlineStr">
        <is>
          <t>Sveaskog</t>
        </is>
      </c>
      <c r="G3619" t="n">
        <v>5.1</v>
      </c>
      <c r="H3619" t="n">
        <v>0</v>
      </c>
      <c r="I3619" t="n">
        <v>0</v>
      </c>
      <c r="J3619" t="n">
        <v>0</v>
      </c>
      <c r="K3619" t="n">
        <v>0</v>
      </c>
      <c r="L3619" t="n">
        <v>0</v>
      </c>
      <c r="M3619" t="n">
        <v>0</v>
      </c>
      <c r="N3619" t="n">
        <v>0</v>
      </c>
      <c r="O3619" t="n">
        <v>0</v>
      </c>
      <c r="P3619" t="n">
        <v>0</v>
      </c>
      <c r="Q3619" t="n">
        <v>0</v>
      </c>
      <c r="R3619" s="2" t="inlineStr"/>
    </row>
    <row r="3620" ht="15" customHeight="1">
      <c r="A3620" t="inlineStr">
        <is>
          <t>A 23764-2020</t>
        </is>
      </c>
      <c r="B3620" s="1" t="n">
        <v>43970</v>
      </c>
      <c r="C3620" s="1" t="n">
        <v>45190</v>
      </c>
      <c r="D3620" t="inlineStr">
        <is>
          <t>KALMAR LÄN</t>
        </is>
      </c>
      <c r="E3620" t="inlineStr">
        <is>
          <t>EMMABODA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23761-2020</t>
        </is>
      </c>
      <c r="B3621" s="1" t="n">
        <v>43970</v>
      </c>
      <c r="C3621" s="1" t="n">
        <v>45190</v>
      </c>
      <c r="D3621" t="inlineStr">
        <is>
          <t>KALMAR LÄN</t>
        </is>
      </c>
      <c r="E3621" t="inlineStr">
        <is>
          <t>HULTSFRED</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23705-2020</t>
        </is>
      </c>
      <c r="B3622" s="1" t="n">
        <v>43970</v>
      </c>
      <c r="C3622" s="1" t="n">
        <v>45190</v>
      </c>
      <c r="D3622" t="inlineStr">
        <is>
          <t>KALMAR LÄN</t>
        </is>
      </c>
      <c r="E3622" t="inlineStr">
        <is>
          <t>VIMMERBY</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23754-2020</t>
        </is>
      </c>
      <c r="B3623" s="1" t="n">
        <v>43970</v>
      </c>
      <c r="C3623" s="1" t="n">
        <v>45190</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23931-2020</t>
        </is>
      </c>
      <c r="B3624" s="1" t="n">
        <v>43971</v>
      </c>
      <c r="C3624" s="1" t="n">
        <v>45190</v>
      </c>
      <c r="D3624" t="inlineStr">
        <is>
          <t>KALMAR LÄN</t>
        </is>
      </c>
      <c r="E3624" t="inlineStr">
        <is>
          <t>HULTSFRED</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24005-2020</t>
        </is>
      </c>
      <c r="B3625" s="1" t="n">
        <v>43971</v>
      </c>
      <c r="C3625" s="1" t="n">
        <v>45190</v>
      </c>
      <c r="D3625" t="inlineStr">
        <is>
          <t>KALMAR LÄN</t>
        </is>
      </c>
      <c r="E3625" t="inlineStr">
        <is>
          <t>NYBRO</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23939-2020</t>
        </is>
      </c>
      <c r="B3626" s="1" t="n">
        <v>43971</v>
      </c>
      <c r="C3626" s="1" t="n">
        <v>45190</v>
      </c>
      <c r="D3626" t="inlineStr">
        <is>
          <t>KALMAR LÄN</t>
        </is>
      </c>
      <c r="E3626" t="inlineStr">
        <is>
          <t>HULTSFRED</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24016-2020</t>
        </is>
      </c>
      <c r="B3627" s="1" t="n">
        <v>43971</v>
      </c>
      <c r="C3627" s="1" t="n">
        <v>45190</v>
      </c>
      <c r="D3627" t="inlineStr">
        <is>
          <t>KALMAR LÄN</t>
        </is>
      </c>
      <c r="E3627" t="inlineStr">
        <is>
          <t>VIMMERBY</t>
        </is>
      </c>
      <c r="G3627" t="n">
        <v>4.5</v>
      </c>
      <c r="H3627" t="n">
        <v>0</v>
      </c>
      <c r="I3627" t="n">
        <v>0</v>
      </c>
      <c r="J3627" t="n">
        <v>0</v>
      </c>
      <c r="K3627" t="n">
        <v>0</v>
      </c>
      <c r="L3627" t="n">
        <v>0</v>
      </c>
      <c r="M3627" t="n">
        <v>0</v>
      </c>
      <c r="N3627" t="n">
        <v>0</v>
      </c>
      <c r="O3627" t="n">
        <v>0</v>
      </c>
      <c r="P3627" t="n">
        <v>0</v>
      </c>
      <c r="Q3627" t="n">
        <v>0</v>
      </c>
      <c r="R3627" s="2" t="inlineStr"/>
    </row>
    <row r="3628" ht="15" customHeight="1">
      <c r="A3628" t="inlineStr">
        <is>
          <t>A 23867-2020</t>
        </is>
      </c>
      <c r="B3628" s="1" t="n">
        <v>43971</v>
      </c>
      <c r="C3628" s="1" t="n">
        <v>45190</v>
      </c>
      <c r="D3628" t="inlineStr">
        <is>
          <t>KALMAR LÄN</t>
        </is>
      </c>
      <c r="E3628" t="inlineStr">
        <is>
          <t>OSKARSHAMN</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23877-2020</t>
        </is>
      </c>
      <c r="B3629" s="1" t="n">
        <v>43971</v>
      </c>
      <c r="C3629" s="1" t="n">
        <v>45190</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24366-2020</t>
        </is>
      </c>
      <c r="B3630" s="1" t="n">
        <v>43973</v>
      </c>
      <c r="C3630" s="1" t="n">
        <v>45190</v>
      </c>
      <c r="D3630" t="inlineStr">
        <is>
          <t>KALMAR LÄN</t>
        </is>
      </c>
      <c r="E3630" t="inlineStr">
        <is>
          <t>VÄSTERVIK</t>
        </is>
      </c>
      <c r="G3630" t="n">
        <v>6.9</v>
      </c>
      <c r="H3630" t="n">
        <v>0</v>
      </c>
      <c r="I3630" t="n">
        <v>0</v>
      </c>
      <c r="J3630" t="n">
        <v>0</v>
      </c>
      <c r="K3630" t="n">
        <v>0</v>
      </c>
      <c r="L3630" t="n">
        <v>0</v>
      </c>
      <c r="M3630" t="n">
        <v>0</v>
      </c>
      <c r="N3630" t="n">
        <v>0</v>
      </c>
      <c r="O3630" t="n">
        <v>0</v>
      </c>
      <c r="P3630" t="n">
        <v>0</v>
      </c>
      <c r="Q3630" t="n">
        <v>0</v>
      </c>
      <c r="R3630" s="2" t="inlineStr"/>
    </row>
    <row r="3631" ht="15" customHeight="1">
      <c r="A3631" t="inlineStr">
        <is>
          <t>A 24189-2020</t>
        </is>
      </c>
      <c r="B3631" s="1" t="n">
        <v>43973</v>
      </c>
      <c r="C3631" s="1" t="n">
        <v>45190</v>
      </c>
      <c r="D3631" t="inlineStr">
        <is>
          <t>KALMAR LÄN</t>
        </is>
      </c>
      <c r="E3631" t="inlineStr">
        <is>
          <t>NYBRO</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24169-2020</t>
        </is>
      </c>
      <c r="B3632" s="1" t="n">
        <v>43975</v>
      </c>
      <c r="C3632" s="1" t="n">
        <v>45190</v>
      </c>
      <c r="D3632" t="inlineStr">
        <is>
          <t>KALMAR LÄN</t>
        </is>
      </c>
      <c r="E3632" t="inlineStr">
        <is>
          <t>NYBRO</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24170-2020</t>
        </is>
      </c>
      <c r="B3633" s="1" t="n">
        <v>43975</v>
      </c>
      <c r="C3633" s="1" t="n">
        <v>45190</v>
      </c>
      <c r="D3633" t="inlineStr">
        <is>
          <t>KALMAR LÄN</t>
        </is>
      </c>
      <c r="E3633" t="inlineStr">
        <is>
          <t>NYBRO</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24325-2020</t>
        </is>
      </c>
      <c r="B3634" s="1" t="n">
        <v>43976</v>
      </c>
      <c r="C3634" s="1" t="n">
        <v>45190</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24324-2020</t>
        </is>
      </c>
      <c r="B3635" s="1" t="n">
        <v>43976</v>
      </c>
      <c r="C3635" s="1" t="n">
        <v>45190</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24320-2020</t>
        </is>
      </c>
      <c r="B3636" s="1" t="n">
        <v>43976</v>
      </c>
      <c r="C3636" s="1" t="n">
        <v>45190</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24316-2020</t>
        </is>
      </c>
      <c r="B3637" s="1" t="n">
        <v>43976</v>
      </c>
      <c r="C3637" s="1" t="n">
        <v>45190</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24441-2020</t>
        </is>
      </c>
      <c r="B3638" s="1" t="n">
        <v>43977</v>
      </c>
      <c r="C3638" s="1" t="n">
        <v>45190</v>
      </c>
      <c r="D3638" t="inlineStr">
        <is>
          <t>KALMAR LÄN</t>
        </is>
      </c>
      <c r="E3638" t="inlineStr">
        <is>
          <t>HULTSFRED</t>
        </is>
      </c>
      <c r="F3638" t="inlineStr">
        <is>
          <t>Sveaskog</t>
        </is>
      </c>
      <c r="G3638" t="n">
        <v>1.7</v>
      </c>
      <c r="H3638" t="n">
        <v>0</v>
      </c>
      <c r="I3638" t="n">
        <v>0</v>
      </c>
      <c r="J3638" t="n">
        <v>0</v>
      </c>
      <c r="K3638" t="n">
        <v>0</v>
      </c>
      <c r="L3638" t="n">
        <v>0</v>
      </c>
      <c r="M3638" t="n">
        <v>0</v>
      </c>
      <c r="N3638" t="n">
        <v>0</v>
      </c>
      <c r="O3638" t="n">
        <v>0</v>
      </c>
      <c r="P3638" t="n">
        <v>0</v>
      </c>
      <c r="Q3638" t="n">
        <v>0</v>
      </c>
      <c r="R3638" s="2" t="inlineStr"/>
    </row>
    <row r="3639" ht="15" customHeight="1">
      <c r="A3639" t="inlineStr">
        <is>
          <t>A 24570-2020</t>
        </is>
      </c>
      <c r="B3639" s="1" t="n">
        <v>43977</v>
      </c>
      <c r="C3639" s="1" t="n">
        <v>45190</v>
      </c>
      <c r="D3639" t="inlineStr">
        <is>
          <t>KALMAR LÄN</t>
        </is>
      </c>
      <c r="E3639" t="inlineStr">
        <is>
          <t>VÄSTERVIK</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24442-2020</t>
        </is>
      </c>
      <c r="B3640" s="1" t="n">
        <v>43977</v>
      </c>
      <c r="C3640" s="1" t="n">
        <v>45190</v>
      </c>
      <c r="D3640" t="inlineStr">
        <is>
          <t>KALMAR LÄN</t>
        </is>
      </c>
      <c r="E3640" t="inlineStr">
        <is>
          <t>HULTSFRED</t>
        </is>
      </c>
      <c r="F3640" t="inlineStr">
        <is>
          <t>Sveaskog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24576-2020</t>
        </is>
      </c>
      <c r="B3641" s="1" t="n">
        <v>43977</v>
      </c>
      <c r="C3641" s="1" t="n">
        <v>45190</v>
      </c>
      <c r="D3641" t="inlineStr">
        <is>
          <t>KALMAR LÄN</t>
        </is>
      </c>
      <c r="E3641" t="inlineStr">
        <is>
          <t>KALMAR</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24447-2020</t>
        </is>
      </c>
      <c r="B3642" s="1" t="n">
        <v>43977</v>
      </c>
      <c r="C3642" s="1" t="n">
        <v>45190</v>
      </c>
      <c r="D3642" t="inlineStr">
        <is>
          <t>KALMAR LÄN</t>
        </is>
      </c>
      <c r="E3642" t="inlineStr">
        <is>
          <t>HULTSFRED</t>
        </is>
      </c>
      <c r="F3642" t="inlineStr">
        <is>
          <t>Sveaskog</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24770-2020</t>
        </is>
      </c>
      <c r="B3643" s="1" t="n">
        <v>43978</v>
      </c>
      <c r="C3643" s="1" t="n">
        <v>45190</v>
      </c>
      <c r="D3643" t="inlineStr">
        <is>
          <t>KALMAR LÄN</t>
        </is>
      </c>
      <c r="E3643" t="inlineStr">
        <is>
          <t>VIMMERBY</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24784-2020</t>
        </is>
      </c>
      <c r="B3644" s="1" t="n">
        <v>43978</v>
      </c>
      <c r="C3644" s="1" t="n">
        <v>45190</v>
      </c>
      <c r="D3644" t="inlineStr">
        <is>
          <t>KALMAR LÄN</t>
        </is>
      </c>
      <c r="E3644" t="inlineStr">
        <is>
          <t>VIMMERBY</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24677-2020</t>
        </is>
      </c>
      <c r="B3645" s="1" t="n">
        <v>43978</v>
      </c>
      <c r="C3645" s="1" t="n">
        <v>45190</v>
      </c>
      <c r="D3645" t="inlineStr">
        <is>
          <t>KALMAR LÄN</t>
        </is>
      </c>
      <c r="E3645" t="inlineStr">
        <is>
          <t>VÄSTERVIK</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24782-2020</t>
        </is>
      </c>
      <c r="B3646" s="1" t="n">
        <v>43978</v>
      </c>
      <c r="C3646" s="1" t="n">
        <v>45190</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25266-2020</t>
        </is>
      </c>
      <c r="B3647" s="1" t="n">
        <v>43979</v>
      </c>
      <c r="C3647" s="1" t="n">
        <v>45190</v>
      </c>
      <c r="D3647" t="inlineStr">
        <is>
          <t>KALMAR LÄN</t>
        </is>
      </c>
      <c r="E3647" t="inlineStr">
        <is>
          <t>EMMABODA</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24902-2020</t>
        </is>
      </c>
      <c r="B3648" s="1" t="n">
        <v>43979</v>
      </c>
      <c r="C3648" s="1" t="n">
        <v>45190</v>
      </c>
      <c r="D3648" t="inlineStr">
        <is>
          <t>KALMAR LÄN</t>
        </is>
      </c>
      <c r="E3648" t="inlineStr">
        <is>
          <t>OSKARSHAMN</t>
        </is>
      </c>
      <c r="F3648" t="inlineStr">
        <is>
          <t>Sveaskog</t>
        </is>
      </c>
      <c r="G3648" t="n">
        <v>5.1</v>
      </c>
      <c r="H3648" t="n">
        <v>0</v>
      </c>
      <c r="I3648" t="n">
        <v>0</v>
      </c>
      <c r="J3648" t="n">
        <v>0</v>
      </c>
      <c r="K3648" t="n">
        <v>0</v>
      </c>
      <c r="L3648" t="n">
        <v>0</v>
      </c>
      <c r="M3648" t="n">
        <v>0</v>
      </c>
      <c r="N3648" t="n">
        <v>0</v>
      </c>
      <c r="O3648" t="n">
        <v>0</v>
      </c>
      <c r="P3648" t="n">
        <v>0</v>
      </c>
      <c r="Q3648" t="n">
        <v>0</v>
      </c>
      <c r="R3648" s="2" t="inlineStr"/>
    </row>
    <row r="3649" ht="15" customHeight="1">
      <c r="A3649" t="inlineStr">
        <is>
          <t>A 25257-2020</t>
        </is>
      </c>
      <c r="B3649" s="1" t="n">
        <v>43979</v>
      </c>
      <c r="C3649" s="1" t="n">
        <v>45190</v>
      </c>
      <c r="D3649" t="inlineStr">
        <is>
          <t>KALMAR LÄN</t>
        </is>
      </c>
      <c r="E3649" t="inlineStr">
        <is>
          <t>EMMABODA</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24947-2020</t>
        </is>
      </c>
      <c r="B3650" s="1" t="n">
        <v>43979</v>
      </c>
      <c r="C3650" s="1" t="n">
        <v>45190</v>
      </c>
      <c r="D3650" t="inlineStr">
        <is>
          <t>KALMAR LÄN</t>
        </is>
      </c>
      <c r="E3650" t="inlineStr">
        <is>
          <t>HÖGSBY</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25241-2020</t>
        </is>
      </c>
      <c r="B3651" s="1" t="n">
        <v>43980</v>
      </c>
      <c r="C3651" s="1" t="n">
        <v>45190</v>
      </c>
      <c r="D3651" t="inlineStr">
        <is>
          <t>KALMAR LÄN</t>
        </is>
      </c>
      <c r="E3651" t="inlineStr">
        <is>
          <t>VÄSTERVIK</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25130-2020</t>
        </is>
      </c>
      <c r="B3652" s="1" t="n">
        <v>43980</v>
      </c>
      <c r="C3652" s="1" t="n">
        <v>45190</v>
      </c>
      <c r="D3652" t="inlineStr">
        <is>
          <t>KALMAR LÄN</t>
        </is>
      </c>
      <c r="E3652" t="inlineStr">
        <is>
          <t>NYBRO</t>
        </is>
      </c>
      <c r="F3652" t="inlineStr">
        <is>
          <t>Kommuner</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25709-2020</t>
        </is>
      </c>
      <c r="B3653" s="1" t="n">
        <v>43984</v>
      </c>
      <c r="C3653" s="1" t="n">
        <v>45190</v>
      </c>
      <c r="D3653" t="inlineStr">
        <is>
          <t>KALMAR LÄN</t>
        </is>
      </c>
      <c r="E3653" t="inlineStr">
        <is>
          <t>EMMABODA</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25730-2020</t>
        </is>
      </c>
      <c r="B3654" s="1" t="n">
        <v>43984</v>
      </c>
      <c r="C3654" s="1" t="n">
        <v>45190</v>
      </c>
      <c r="D3654" t="inlineStr">
        <is>
          <t>KALMAR LÄN</t>
        </is>
      </c>
      <c r="E3654" t="inlineStr">
        <is>
          <t>KALMAR</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25761-2020</t>
        </is>
      </c>
      <c r="B3655" s="1" t="n">
        <v>43984</v>
      </c>
      <c r="C3655" s="1" t="n">
        <v>45190</v>
      </c>
      <c r="D3655" t="inlineStr">
        <is>
          <t>KALMAR LÄN</t>
        </is>
      </c>
      <c r="E3655" t="inlineStr">
        <is>
          <t>VIMMERBY</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26129-2020</t>
        </is>
      </c>
      <c r="B3656" s="1" t="n">
        <v>43985</v>
      </c>
      <c r="C3656" s="1" t="n">
        <v>45190</v>
      </c>
      <c r="D3656" t="inlineStr">
        <is>
          <t>KALMAR LÄN</t>
        </is>
      </c>
      <c r="E3656" t="inlineStr">
        <is>
          <t>VÄSTERVIK</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26226-2020</t>
        </is>
      </c>
      <c r="B3657" s="1" t="n">
        <v>43985</v>
      </c>
      <c r="C3657" s="1" t="n">
        <v>45190</v>
      </c>
      <c r="D3657" t="inlineStr">
        <is>
          <t>KALMAR LÄN</t>
        </is>
      </c>
      <c r="E3657" t="inlineStr">
        <is>
          <t>VÄSTERVIK</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26327-2020</t>
        </is>
      </c>
      <c r="B3658" s="1" t="n">
        <v>43986</v>
      </c>
      <c r="C3658" s="1" t="n">
        <v>45190</v>
      </c>
      <c r="D3658" t="inlineStr">
        <is>
          <t>KALMAR LÄN</t>
        </is>
      </c>
      <c r="E3658" t="inlineStr">
        <is>
          <t>HULTSFRED</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26207-2020</t>
        </is>
      </c>
      <c r="B3659" s="1" t="n">
        <v>43986</v>
      </c>
      <c r="C3659" s="1" t="n">
        <v>45190</v>
      </c>
      <c r="D3659" t="inlineStr">
        <is>
          <t>KALMAR LÄN</t>
        </is>
      </c>
      <c r="E3659" t="inlineStr">
        <is>
          <t>HULTSFRED</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26842-2020</t>
        </is>
      </c>
      <c r="B3660" s="1" t="n">
        <v>43987</v>
      </c>
      <c r="C3660" s="1" t="n">
        <v>45190</v>
      </c>
      <c r="D3660" t="inlineStr">
        <is>
          <t>KALMAR LÄN</t>
        </is>
      </c>
      <c r="E3660" t="inlineStr">
        <is>
          <t>VÄSTERVIK</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26418-2020</t>
        </is>
      </c>
      <c r="B3661" s="1" t="n">
        <v>43987</v>
      </c>
      <c r="C3661" s="1" t="n">
        <v>45190</v>
      </c>
      <c r="D3661" t="inlineStr">
        <is>
          <t>KALMAR LÄN</t>
        </is>
      </c>
      <c r="E3661" t="inlineStr">
        <is>
          <t>HÖGSBY</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26503-2020</t>
        </is>
      </c>
      <c r="B3662" s="1" t="n">
        <v>43987</v>
      </c>
      <c r="C3662" s="1" t="n">
        <v>45190</v>
      </c>
      <c r="D3662" t="inlineStr">
        <is>
          <t>KALMAR LÄN</t>
        </is>
      </c>
      <c r="E3662" t="inlineStr">
        <is>
          <t>NYBRO</t>
        </is>
      </c>
      <c r="F3662" t="inlineStr">
        <is>
          <t>Sveaskog</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26552-2020</t>
        </is>
      </c>
      <c r="B3663" s="1" t="n">
        <v>43987</v>
      </c>
      <c r="C3663" s="1" t="n">
        <v>45190</v>
      </c>
      <c r="D3663" t="inlineStr">
        <is>
          <t>KALMAR LÄN</t>
        </is>
      </c>
      <c r="E3663" t="inlineStr">
        <is>
          <t>NYBRO</t>
        </is>
      </c>
      <c r="F3663" t="inlineStr">
        <is>
          <t>Sveaskog</t>
        </is>
      </c>
      <c r="G3663" t="n">
        <v>0.6</v>
      </c>
      <c r="H3663" t="n">
        <v>0</v>
      </c>
      <c r="I3663" t="n">
        <v>0</v>
      </c>
      <c r="J3663" t="n">
        <v>0</v>
      </c>
      <c r="K3663" t="n">
        <v>0</v>
      </c>
      <c r="L3663" t="n">
        <v>0</v>
      </c>
      <c r="M3663" t="n">
        <v>0</v>
      </c>
      <c r="N3663" t="n">
        <v>0</v>
      </c>
      <c r="O3663" t="n">
        <v>0</v>
      </c>
      <c r="P3663" t="n">
        <v>0</v>
      </c>
      <c r="Q3663" t="n">
        <v>0</v>
      </c>
      <c r="R3663" s="2" t="inlineStr"/>
    </row>
    <row r="3664" ht="15" customHeight="1">
      <c r="A3664" t="inlineStr">
        <is>
          <t>A 26649-2020</t>
        </is>
      </c>
      <c r="B3664" s="1" t="n">
        <v>43988</v>
      </c>
      <c r="C3664" s="1" t="n">
        <v>45190</v>
      </c>
      <c r="D3664" t="inlineStr">
        <is>
          <t>KALMAR LÄN</t>
        </is>
      </c>
      <c r="E3664" t="inlineStr">
        <is>
          <t>TORSÅS</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26650-2020</t>
        </is>
      </c>
      <c r="B3665" s="1" t="n">
        <v>43988</v>
      </c>
      <c r="C3665" s="1" t="n">
        <v>45190</v>
      </c>
      <c r="D3665" t="inlineStr">
        <is>
          <t>KALMAR LÄN</t>
        </is>
      </c>
      <c r="E3665" t="inlineStr">
        <is>
          <t>TORSÅS</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26723-2020</t>
        </is>
      </c>
      <c r="B3666" s="1" t="n">
        <v>43990</v>
      </c>
      <c r="C3666" s="1" t="n">
        <v>45190</v>
      </c>
      <c r="D3666" t="inlineStr">
        <is>
          <t>KALMAR LÄN</t>
        </is>
      </c>
      <c r="E3666" t="inlineStr">
        <is>
          <t>VIMMERBY</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27159-2020</t>
        </is>
      </c>
      <c r="B3667" s="1" t="n">
        <v>43991</v>
      </c>
      <c r="C3667" s="1" t="n">
        <v>45190</v>
      </c>
      <c r="D3667" t="inlineStr">
        <is>
          <t>KALMAR LÄN</t>
        </is>
      </c>
      <c r="E3667" t="inlineStr">
        <is>
          <t>HÖGSBY</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27185-2020</t>
        </is>
      </c>
      <c r="B3668" s="1" t="n">
        <v>43991</v>
      </c>
      <c r="C3668" s="1" t="n">
        <v>45190</v>
      </c>
      <c r="D3668" t="inlineStr">
        <is>
          <t>KALMAR LÄN</t>
        </is>
      </c>
      <c r="E3668" t="inlineStr">
        <is>
          <t>NYBRO</t>
        </is>
      </c>
      <c r="G3668" t="n">
        <v>9.6</v>
      </c>
      <c r="H3668" t="n">
        <v>0</v>
      </c>
      <c r="I3668" t="n">
        <v>0</v>
      </c>
      <c r="J3668" t="n">
        <v>0</v>
      </c>
      <c r="K3668" t="n">
        <v>0</v>
      </c>
      <c r="L3668" t="n">
        <v>0</v>
      </c>
      <c r="M3668" t="n">
        <v>0</v>
      </c>
      <c r="N3668" t="n">
        <v>0</v>
      </c>
      <c r="O3668" t="n">
        <v>0</v>
      </c>
      <c r="P3668" t="n">
        <v>0</v>
      </c>
      <c r="Q3668" t="n">
        <v>0</v>
      </c>
      <c r="R3668" s="2" t="inlineStr"/>
    </row>
    <row r="3669" ht="15" customHeight="1">
      <c r="A3669" t="inlineStr">
        <is>
          <t>A 27211-2020</t>
        </is>
      </c>
      <c r="B3669" s="1" t="n">
        <v>43991</v>
      </c>
      <c r="C3669" s="1" t="n">
        <v>45190</v>
      </c>
      <c r="D3669" t="inlineStr">
        <is>
          <t>KALMAR LÄN</t>
        </is>
      </c>
      <c r="E3669" t="inlineStr">
        <is>
          <t>NYBRO</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27210-2020</t>
        </is>
      </c>
      <c r="B3670" s="1" t="n">
        <v>43991</v>
      </c>
      <c r="C3670" s="1" t="n">
        <v>45190</v>
      </c>
      <c r="D3670" t="inlineStr">
        <is>
          <t>KALMAR LÄN</t>
        </is>
      </c>
      <c r="E3670" t="inlineStr">
        <is>
          <t>NYBRO</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27214-2020</t>
        </is>
      </c>
      <c r="B3671" s="1" t="n">
        <v>43992</v>
      </c>
      <c r="C3671" s="1" t="n">
        <v>45190</v>
      </c>
      <c r="D3671" t="inlineStr">
        <is>
          <t>KALMAR LÄN</t>
        </is>
      </c>
      <c r="E3671" t="inlineStr">
        <is>
          <t>VIMMERBY</t>
        </is>
      </c>
      <c r="G3671" t="n">
        <v>2.6</v>
      </c>
      <c r="H3671" t="n">
        <v>0</v>
      </c>
      <c r="I3671" t="n">
        <v>0</v>
      </c>
      <c r="J3671" t="n">
        <v>0</v>
      </c>
      <c r="K3671" t="n">
        <v>0</v>
      </c>
      <c r="L3671" t="n">
        <v>0</v>
      </c>
      <c r="M3671" t="n">
        <v>0</v>
      </c>
      <c r="N3671" t="n">
        <v>0</v>
      </c>
      <c r="O3671" t="n">
        <v>0</v>
      </c>
      <c r="P3671" t="n">
        <v>0</v>
      </c>
      <c r="Q3671" t="n">
        <v>0</v>
      </c>
      <c r="R3671" s="2" t="inlineStr"/>
    </row>
    <row r="3672" ht="15" customHeight="1">
      <c r="A3672" t="inlineStr">
        <is>
          <t>A 27287-2020</t>
        </is>
      </c>
      <c r="B3672" s="1" t="n">
        <v>43992</v>
      </c>
      <c r="C3672" s="1" t="n">
        <v>45190</v>
      </c>
      <c r="D3672" t="inlineStr">
        <is>
          <t>KALMAR LÄN</t>
        </is>
      </c>
      <c r="E3672" t="inlineStr">
        <is>
          <t>MÖNSTERÅS</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27213-2020</t>
        </is>
      </c>
      <c r="B3673" s="1" t="n">
        <v>43992</v>
      </c>
      <c r="C3673" s="1" t="n">
        <v>45190</v>
      </c>
      <c r="D3673" t="inlineStr">
        <is>
          <t>KALMAR LÄN</t>
        </is>
      </c>
      <c r="E3673" t="inlineStr">
        <is>
          <t>VIMMERBY</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27364-2020</t>
        </is>
      </c>
      <c r="B3674" s="1" t="n">
        <v>43992</v>
      </c>
      <c r="C3674" s="1" t="n">
        <v>45190</v>
      </c>
      <c r="D3674" t="inlineStr">
        <is>
          <t>KALMAR LÄN</t>
        </is>
      </c>
      <c r="E3674" t="inlineStr">
        <is>
          <t>MÖNSTERÅS</t>
        </is>
      </c>
      <c r="F3674" t="inlineStr">
        <is>
          <t>Kommuner</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27212-2020</t>
        </is>
      </c>
      <c r="B3675" s="1" t="n">
        <v>43992</v>
      </c>
      <c r="C3675" s="1" t="n">
        <v>45190</v>
      </c>
      <c r="D3675" t="inlineStr">
        <is>
          <t>KALMAR LÄN</t>
        </is>
      </c>
      <c r="E3675" t="inlineStr">
        <is>
          <t>VIMMERBY</t>
        </is>
      </c>
      <c r="G3675" t="n">
        <v>1.6</v>
      </c>
      <c r="H3675" t="n">
        <v>0</v>
      </c>
      <c r="I3675" t="n">
        <v>0</v>
      </c>
      <c r="J3675" t="n">
        <v>0</v>
      </c>
      <c r="K3675" t="n">
        <v>0</v>
      </c>
      <c r="L3675" t="n">
        <v>0</v>
      </c>
      <c r="M3675" t="n">
        <v>0</v>
      </c>
      <c r="N3675" t="n">
        <v>0</v>
      </c>
      <c r="O3675" t="n">
        <v>0</v>
      </c>
      <c r="P3675" t="n">
        <v>0</v>
      </c>
      <c r="Q3675" t="n">
        <v>0</v>
      </c>
      <c r="R3675" s="2" t="inlineStr"/>
    </row>
    <row r="3676" ht="15" customHeight="1">
      <c r="A3676" t="inlineStr">
        <is>
          <t>A 28015-2020</t>
        </is>
      </c>
      <c r="B3676" s="1" t="n">
        <v>43993</v>
      </c>
      <c r="C3676" s="1" t="n">
        <v>45190</v>
      </c>
      <c r="D3676" t="inlineStr">
        <is>
          <t>KALMAR LÄN</t>
        </is>
      </c>
      <c r="E3676" t="inlineStr">
        <is>
          <t>OSKARSHAMN</t>
        </is>
      </c>
      <c r="G3676" t="n">
        <v>17.7</v>
      </c>
      <c r="H3676" t="n">
        <v>0</v>
      </c>
      <c r="I3676" t="n">
        <v>0</v>
      </c>
      <c r="J3676" t="n">
        <v>0</v>
      </c>
      <c r="K3676" t="n">
        <v>0</v>
      </c>
      <c r="L3676" t="n">
        <v>0</v>
      </c>
      <c r="M3676" t="n">
        <v>0</v>
      </c>
      <c r="N3676" t="n">
        <v>0</v>
      </c>
      <c r="O3676" t="n">
        <v>0</v>
      </c>
      <c r="P3676" t="n">
        <v>0</v>
      </c>
      <c r="Q3676" t="n">
        <v>0</v>
      </c>
      <c r="R3676" s="2" t="inlineStr"/>
    </row>
    <row r="3677" ht="15" customHeight="1">
      <c r="A3677" t="inlineStr">
        <is>
          <t>A 28019-2020</t>
        </is>
      </c>
      <c r="B3677" s="1" t="n">
        <v>43993</v>
      </c>
      <c r="C3677" s="1" t="n">
        <v>45190</v>
      </c>
      <c r="D3677" t="inlineStr">
        <is>
          <t>KALMAR LÄN</t>
        </is>
      </c>
      <c r="E3677" t="inlineStr">
        <is>
          <t>OSKARSHAMN</t>
        </is>
      </c>
      <c r="G3677" t="n">
        <v>9.6</v>
      </c>
      <c r="H3677" t="n">
        <v>0</v>
      </c>
      <c r="I3677" t="n">
        <v>0</v>
      </c>
      <c r="J3677" t="n">
        <v>0</v>
      </c>
      <c r="K3677" t="n">
        <v>0</v>
      </c>
      <c r="L3677" t="n">
        <v>0</v>
      </c>
      <c r="M3677" t="n">
        <v>0</v>
      </c>
      <c r="N3677" t="n">
        <v>0</v>
      </c>
      <c r="O3677" t="n">
        <v>0</v>
      </c>
      <c r="P3677" t="n">
        <v>0</v>
      </c>
      <c r="Q3677" t="n">
        <v>0</v>
      </c>
      <c r="R3677" s="2" t="inlineStr"/>
    </row>
    <row r="3678" ht="15" customHeight="1">
      <c r="A3678" t="inlineStr">
        <is>
          <t>A 27541-2020</t>
        </is>
      </c>
      <c r="B3678" s="1" t="n">
        <v>43993</v>
      </c>
      <c r="C3678" s="1" t="n">
        <v>45190</v>
      </c>
      <c r="D3678" t="inlineStr">
        <is>
          <t>KALMAR LÄN</t>
        </is>
      </c>
      <c r="E3678" t="inlineStr">
        <is>
          <t>HÖGSBY</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27701-2020</t>
        </is>
      </c>
      <c r="B3679" s="1" t="n">
        <v>43994</v>
      </c>
      <c r="C3679" s="1" t="n">
        <v>45190</v>
      </c>
      <c r="D3679" t="inlineStr">
        <is>
          <t>KALMAR LÄN</t>
        </is>
      </c>
      <c r="E3679" t="inlineStr">
        <is>
          <t>HULTSFRED</t>
        </is>
      </c>
      <c r="F3679" t="inlineStr">
        <is>
          <t>Kyrkan</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27864-2020</t>
        </is>
      </c>
      <c r="B3680" s="1" t="n">
        <v>43994</v>
      </c>
      <c r="C3680" s="1" t="n">
        <v>45190</v>
      </c>
      <c r="D3680" t="inlineStr">
        <is>
          <t>KALMAR LÄN</t>
        </is>
      </c>
      <c r="E3680" t="inlineStr">
        <is>
          <t>HÖGSBY</t>
        </is>
      </c>
      <c r="G3680" t="n">
        <v>4.2</v>
      </c>
      <c r="H3680" t="n">
        <v>0</v>
      </c>
      <c r="I3680" t="n">
        <v>0</v>
      </c>
      <c r="J3680" t="n">
        <v>0</v>
      </c>
      <c r="K3680" t="n">
        <v>0</v>
      </c>
      <c r="L3680" t="n">
        <v>0</v>
      </c>
      <c r="M3680" t="n">
        <v>0</v>
      </c>
      <c r="N3680" t="n">
        <v>0</v>
      </c>
      <c r="O3680" t="n">
        <v>0</v>
      </c>
      <c r="P3680" t="n">
        <v>0</v>
      </c>
      <c r="Q3680" t="n">
        <v>0</v>
      </c>
      <c r="R3680" s="2" t="inlineStr"/>
    </row>
    <row r="3681" ht="15" customHeight="1">
      <c r="A3681" t="inlineStr">
        <is>
          <t>A 27979-2020</t>
        </is>
      </c>
      <c r="B3681" s="1" t="n">
        <v>43997</v>
      </c>
      <c r="C3681" s="1" t="n">
        <v>45190</v>
      </c>
      <c r="D3681" t="inlineStr">
        <is>
          <t>KALMAR LÄN</t>
        </is>
      </c>
      <c r="E3681" t="inlineStr">
        <is>
          <t>EMMABODA</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28619-2020</t>
        </is>
      </c>
      <c r="B3682" s="1" t="n">
        <v>43999</v>
      </c>
      <c r="C3682" s="1" t="n">
        <v>45190</v>
      </c>
      <c r="D3682" t="inlineStr">
        <is>
          <t>KALMAR LÄN</t>
        </is>
      </c>
      <c r="E3682" t="inlineStr">
        <is>
          <t>KALMAR</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28592-2020</t>
        </is>
      </c>
      <c r="B3683" s="1" t="n">
        <v>43999</v>
      </c>
      <c r="C3683" s="1" t="n">
        <v>45190</v>
      </c>
      <c r="D3683" t="inlineStr">
        <is>
          <t>KALMAR LÄN</t>
        </is>
      </c>
      <c r="E3683" t="inlineStr">
        <is>
          <t>EMMABODA</t>
        </is>
      </c>
      <c r="G3683" t="n">
        <v>1.7</v>
      </c>
      <c r="H3683" t="n">
        <v>0</v>
      </c>
      <c r="I3683" t="n">
        <v>0</v>
      </c>
      <c r="J3683" t="n">
        <v>0</v>
      </c>
      <c r="K3683" t="n">
        <v>0</v>
      </c>
      <c r="L3683" t="n">
        <v>0</v>
      </c>
      <c r="M3683" t="n">
        <v>0</v>
      </c>
      <c r="N3683" t="n">
        <v>0</v>
      </c>
      <c r="O3683" t="n">
        <v>0</v>
      </c>
      <c r="P3683" t="n">
        <v>0</v>
      </c>
      <c r="Q3683" t="n">
        <v>0</v>
      </c>
      <c r="R3683" s="2" t="inlineStr"/>
    </row>
    <row r="3684" ht="15" customHeight="1">
      <c r="A3684" t="inlineStr">
        <is>
          <t>A 28584-2020</t>
        </is>
      </c>
      <c r="B3684" s="1" t="n">
        <v>43999</v>
      </c>
      <c r="C3684" s="1" t="n">
        <v>45190</v>
      </c>
      <c r="D3684" t="inlineStr">
        <is>
          <t>KALMAR LÄN</t>
        </is>
      </c>
      <c r="E3684" t="inlineStr">
        <is>
          <t>BORGHOLM</t>
        </is>
      </c>
      <c r="G3684" t="n">
        <v>10.9</v>
      </c>
      <c r="H3684" t="n">
        <v>0</v>
      </c>
      <c r="I3684" t="n">
        <v>0</v>
      </c>
      <c r="J3684" t="n">
        <v>0</v>
      </c>
      <c r="K3684" t="n">
        <v>0</v>
      </c>
      <c r="L3684" t="n">
        <v>0</v>
      </c>
      <c r="M3684" t="n">
        <v>0</v>
      </c>
      <c r="N3684" t="n">
        <v>0</v>
      </c>
      <c r="O3684" t="n">
        <v>0</v>
      </c>
      <c r="P3684" t="n">
        <v>0</v>
      </c>
      <c r="Q3684" t="n">
        <v>0</v>
      </c>
      <c r="R3684" s="2" t="inlineStr"/>
    </row>
    <row r="3685" ht="15" customHeight="1">
      <c r="A3685" t="inlineStr">
        <is>
          <t>A 28656-2020</t>
        </is>
      </c>
      <c r="B3685" s="1" t="n">
        <v>43999</v>
      </c>
      <c r="C3685" s="1" t="n">
        <v>45190</v>
      </c>
      <c r="D3685" t="inlineStr">
        <is>
          <t>KALMAR LÄN</t>
        </is>
      </c>
      <c r="E3685" t="inlineStr">
        <is>
          <t>HÖGSBY</t>
        </is>
      </c>
      <c r="F3685" t="inlineStr">
        <is>
          <t>Sveaskog</t>
        </is>
      </c>
      <c r="G3685" t="n">
        <v>4.9</v>
      </c>
      <c r="H3685" t="n">
        <v>0</v>
      </c>
      <c r="I3685" t="n">
        <v>0</v>
      </c>
      <c r="J3685" t="n">
        <v>0</v>
      </c>
      <c r="K3685" t="n">
        <v>0</v>
      </c>
      <c r="L3685" t="n">
        <v>0</v>
      </c>
      <c r="M3685" t="n">
        <v>0</v>
      </c>
      <c r="N3685" t="n">
        <v>0</v>
      </c>
      <c r="O3685" t="n">
        <v>0</v>
      </c>
      <c r="P3685" t="n">
        <v>0</v>
      </c>
      <c r="Q3685" t="n">
        <v>0</v>
      </c>
      <c r="R3685" s="2" t="inlineStr"/>
    </row>
    <row r="3686" ht="15" customHeight="1">
      <c r="A3686" t="inlineStr">
        <is>
          <t>A 28969-2020</t>
        </is>
      </c>
      <c r="B3686" s="1" t="n">
        <v>44000</v>
      </c>
      <c r="C3686" s="1" t="n">
        <v>45190</v>
      </c>
      <c r="D3686" t="inlineStr">
        <is>
          <t>KALMAR LÄN</t>
        </is>
      </c>
      <c r="E3686" t="inlineStr">
        <is>
          <t>VIMMERBY</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28811-2020</t>
        </is>
      </c>
      <c r="B3687" s="1" t="n">
        <v>44000</v>
      </c>
      <c r="C3687" s="1" t="n">
        <v>45190</v>
      </c>
      <c r="D3687" t="inlineStr">
        <is>
          <t>KALMAR LÄN</t>
        </is>
      </c>
      <c r="E3687" t="inlineStr">
        <is>
          <t>MÖNSTERÅS</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28853-2020</t>
        </is>
      </c>
      <c r="B3688" s="1" t="n">
        <v>44000</v>
      </c>
      <c r="C3688" s="1" t="n">
        <v>45190</v>
      </c>
      <c r="D3688" t="inlineStr">
        <is>
          <t>KALMAR LÄN</t>
        </is>
      </c>
      <c r="E3688" t="inlineStr">
        <is>
          <t>VIMMERBY</t>
        </is>
      </c>
      <c r="G3688" t="n">
        <v>2.3</v>
      </c>
      <c r="H3688" t="n">
        <v>0</v>
      </c>
      <c r="I3688" t="n">
        <v>0</v>
      </c>
      <c r="J3688" t="n">
        <v>0</v>
      </c>
      <c r="K3688" t="n">
        <v>0</v>
      </c>
      <c r="L3688" t="n">
        <v>0</v>
      </c>
      <c r="M3688" t="n">
        <v>0</v>
      </c>
      <c r="N3688" t="n">
        <v>0</v>
      </c>
      <c r="O3688" t="n">
        <v>0</v>
      </c>
      <c r="P3688" t="n">
        <v>0</v>
      </c>
      <c r="Q3688" t="n">
        <v>0</v>
      </c>
      <c r="R3688" s="2" t="inlineStr"/>
    </row>
    <row r="3689" ht="15" customHeight="1">
      <c r="A3689" t="inlineStr">
        <is>
          <t>A 28885-2020</t>
        </is>
      </c>
      <c r="B3689" s="1" t="n">
        <v>44000</v>
      </c>
      <c r="C3689" s="1" t="n">
        <v>45190</v>
      </c>
      <c r="D3689" t="inlineStr">
        <is>
          <t>KALMAR LÄN</t>
        </is>
      </c>
      <c r="E3689" t="inlineStr">
        <is>
          <t>VIMMERBY</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28817-2020</t>
        </is>
      </c>
      <c r="B3690" s="1" t="n">
        <v>44000</v>
      </c>
      <c r="C3690" s="1" t="n">
        <v>45190</v>
      </c>
      <c r="D3690" t="inlineStr">
        <is>
          <t>KALMAR LÄN</t>
        </is>
      </c>
      <c r="E3690" t="inlineStr">
        <is>
          <t>MÖNSTERÅS</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29086-2020</t>
        </is>
      </c>
      <c r="B3691" s="1" t="n">
        <v>44002</v>
      </c>
      <c r="C3691" s="1" t="n">
        <v>45190</v>
      </c>
      <c r="D3691" t="inlineStr">
        <is>
          <t>KALMAR LÄN</t>
        </is>
      </c>
      <c r="E3691" t="inlineStr">
        <is>
          <t>OSKARSHAMN</t>
        </is>
      </c>
      <c r="G3691" t="n">
        <v>7.7</v>
      </c>
      <c r="H3691" t="n">
        <v>0</v>
      </c>
      <c r="I3691" t="n">
        <v>0</v>
      </c>
      <c r="J3691" t="n">
        <v>0</v>
      </c>
      <c r="K3691" t="n">
        <v>0</v>
      </c>
      <c r="L3691" t="n">
        <v>0</v>
      </c>
      <c r="M3691" t="n">
        <v>0</v>
      </c>
      <c r="N3691" t="n">
        <v>0</v>
      </c>
      <c r="O3691" t="n">
        <v>0</v>
      </c>
      <c r="P3691" t="n">
        <v>0</v>
      </c>
      <c r="Q3691" t="n">
        <v>0</v>
      </c>
      <c r="R3691" s="2" t="inlineStr"/>
    </row>
    <row r="3692" ht="15" customHeight="1">
      <c r="A3692" t="inlineStr">
        <is>
          <t>A 29093-2020</t>
        </is>
      </c>
      <c r="B3692" s="1" t="n">
        <v>44002</v>
      </c>
      <c r="C3692" s="1" t="n">
        <v>45190</v>
      </c>
      <c r="D3692" t="inlineStr">
        <is>
          <t>KALMAR LÄN</t>
        </is>
      </c>
      <c r="E3692" t="inlineStr">
        <is>
          <t>VÄSTERVIK</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29235-2020</t>
        </is>
      </c>
      <c r="B3693" s="1" t="n">
        <v>44004</v>
      </c>
      <c r="C3693" s="1" t="n">
        <v>45190</v>
      </c>
      <c r="D3693" t="inlineStr">
        <is>
          <t>KALMAR LÄN</t>
        </is>
      </c>
      <c r="E3693" t="inlineStr">
        <is>
          <t>VIMMERBY</t>
        </is>
      </c>
      <c r="G3693" t="n">
        <v>3</v>
      </c>
      <c r="H3693" t="n">
        <v>0</v>
      </c>
      <c r="I3693" t="n">
        <v>0</v>
      </c>
      <c r="J3693" t="n">
        <v>0</v>
      </c>
      <c r="K3693" t="n">
        <v>0</v>
      </c>
      <c r="L3693" t="n">
        <v>0</v>
      </c>
      <c r="M3693" t="n">
        <v>0</v>
      </c>
      <c r="N3693" t="n">
        <v>0</v>
      </c>
      <c r="O3693" t="n">
        <v>0</v>
      </c>
      <c r="P3693" t="n">
        <v>0</v>
      </c>
      <c r="Q3693" t="n">
        <v>0</v>
      </c>
      <c r="R3693" s="2" t="inlineStr"/>
    </row>
    <row r="3694" ht="15" customHeight="1">
      <c r="A3694" t="inlineStr">
        <is>
          <t>A 29264-2020</t>
        </is>
      </c>
      <c r="B3694" s="1" t="n">
        <v>44004</v>
      </c>
      <c r="C3694" s="1" t="n">
        <v>45190</v>
      </c>
      <c r="D3694" t="inlineStr">
        <is>
          <t>KALMAR LÄN</t>
        </is>
      </c>
      <c r="E3694" t="inlineStr">
        <is>
          <t>VÄSTERVIK</t>
        </is>
      </c>
      <c r="G3694" t="n">
        <v>5.5</v>
      </c>
      <c r="H3694" t="n">
        <v>0</v>
      </c>
      <c r="I3694" t="n">
        <v>0</v>
      </c>
      <c r="J3694" t="n">
        <v>0</v>
      </c>
      <c r="K3694" t="n">
        <v>0</v>
      </c>
      <c r="L3694" t="n">
        <v>0</v>
      </c>
      <c r="M3694" t="n">
        <v>0</v>
      </c>
      <c r="N3694" t="n">
        <v>0</v>
      </c>
      <c r="O3694" t="n">
        <v>0</v>
      </c>
      <c r="P3694" t="n">
        <v>0</v>
      </c>
      <c r="Q3694" t="n">
        <v>0</v>
      </c>
      <c r="R3694" s="2" t="inlineStr"/>
    </row>
    <row r="3695" ht="15" customHeight="1">
      <c r="A3695" t="inlineStr">
        <is>
          <t>A 29387-2020</t>
        </is>
      </c>
      <c r="B3695" s="1" t="n">
        <v>44004</v>
      </c>
      <c r="C3695" s="1" t="n">
        <v>45190</v>
      </c>
      <c r="D3695" t="inlineStr">
        <is>
          <t>KALMAR LÄN</t>
        </is>
      </c>
      <c r="E3695" t="inlineStr">
        <is>
          <t>NYBRO</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29118-2020</t>
        </is>
      </c>
      <c r="B3696" s="1" t="n">
        <v>44004</v>
      </c>
      <c r="C3696" s="1" t="n">
        <v>45190</v>
      </c>
      <c r="D3696" t="inlineStr">
        <is>
          <t>KALMAR LÄN</t>
        </is>
      </c>
      <c r="E3696" t="inlineStr">
        <is>
          <t>MÖNSTERÅS</t>
        </is>
      </c>
      <c r="G3696" t="n">
        <v>0.7</v>
      </c>
      <c r="H3696" t="n">
        <v>0</v>
      </c>
      <c r="I3696" t="n">
        <v>0</v>
      </c>
      <c r="J3696" t="n">
        <v>0</v>
      </c>
      <c r="K3696" t="n">
        <v>0</v>
      </c>
      <c r="L3696" t="n">
        <v>0</v>
      </c>
      <c r="M3696" t="n">
        <v>0</v>
      </c>
      <c r="N3696" t="n">
        <v>0</v>
      </c>
      <c r="O3696" t="n">
        <v>0</v>
      </c>
      <c r="P3696" t="n">
        <v>0</v>
      </c>
      <c r="Q3696" t="n">
        <v>0</v>
      </c>
      <c r="R3696" s="2" t="inlineStr"/>
      <c r="U3696">
        <f>HYPERLINK("https://klasma.github.io/Logging_MONSTERAS/knärot/A 29118-2020.png", "A 29118-2020")</f>
        <v/>
      </c>
      <c r="V3696">
        <f>HYPERLINK("https://klasma.github.io/Logging_MONSTERAS/klagomål/A 29118-2020.docx", "A 29118-2020")</f>
        <v/>
      </c>
      <c r="W3696">
        <f>HYPERLINK("https://klasma.github.io/Logging_MONSTERAS/klagomålsmail/A 29118-2020.docx", "A 29118-2020")</f>
        <v/>
      </c>
      <c r="X3696">
        <f>HYPERLINK("https://klasma.github.io/Logging_MONSTERAS/tillsyn/A 29118-2020.docx", "A 29118-2020")</f>
        <v/>
      </c>
      <c r="Y3696">
        <f>HYPERLINK("https://klasma.github.io/Logging_MONSTERAS/tillsynsmail/A 29118-2020.docx", "A 29118-2020")</f>
        <v/>
      </c>
    </row>
    <row r="3697" ht="15" customHeight="1">
      <c r="A3697" t="inlineStr">
        <is>
          <t>A 29392-2020</t>
        </is>
      </c>
      <c r="B3697" s="1" t="n">
        <v>44004</v>
      </c>
      <c r="C3697" s="1" t="n">
        <v>45190</v>
      </c>
      <c r="D3697" t="inlineStr">
        <is>
          <t>KALMAR LÄN</t>
        </is>
      </c>
      <c r="E3697" t="inlineStr">
        <is>
          <t>NYBRO</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29605-2020</t>
        </is>
      </c>
      <c r="B3698" s="1" t="n">
        <v>44004</v>
      </c>
      <c r="C3698" s="1" t="n">
        <v>45190</v>
      </c>
      <c r="D3698" t="inlineStr">
        <is>
          <t>KALMAR LÄN</t>
        </is>
      </c>
      <c r="E3698" t="inlineStr">
        <is>
          <t>MÖNSTERÅS</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29122-2020</t>
        </is>
      </c>
      <c r="B3699" s="1" t="n">
        <v>44004</v>
      </c>
      <c r="C3699" s="1" t="n">
        <v>45190</v>
      </c>
      <c r="D3699" t="inlineStr">
        <is>
          <t>KALMAR LÄN</t>
        </is>
      </c>
      <c r="E3699" t="inlineStr">
        <is>
          <t>HULTSFRED</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29613-2020</t>
        </is>
      </c>
      <c r="B3700" s="1" t="n">
        <v>44004</v>
      </c>
      <c r="C3700" s="1" t="n">
        <v>45190</v>
      </c>
      <c r="D3700" t="inlineStr">
        <is>
          <t>KALMAR LÄN</t>
        </is>
      </c>
      <c r="E3700" t="inlineStr">
        <is>
          <t>MÖNSTERÅS</t>
        </is>
      </c>
      <c r="G3700" t="n">
        <v>6.3</v>
      </c>
      <c r="H3700" t="n">
        <v>0</v>
      </c>
      <c r="I3700" t="n">
        <v>0</v>
      </c>
      <c r="J3700" t="n">
        <v>0</v>
      </c>
      <c r="K3700" t="n">
        <v>0</v>
      </c>
      <c r="L3700" t="n">
        <v>0</v>
      </c>
      <c r="M3700" t="n">
        <v>0</v>
      </c>
      <c r="N3700" t="n">
        <v>0</v>
      </c>
      <c r="O3700" t="n">
        <v>0</v>
      </c>
      <c r="P3700" t="n">
        <v>0</v>
      </c>
      <c r="Q3700" t="n">
        <v>0</v>
      </c>
      <c r="R3700" s="2" t="inlineStr"/>
    </row>
    <row r="3701" ht="15" customHeight="1">
      <c r="A3701" t="inlineStr">
        <is>
          <t>A 29712-2020</t>
        </is>
      </c>
      <c r="B3701" s="1" t="n">
        <v>44005</v>
      </c>
      <c r="C3701" s="1" t="n">
        <v>45190</v>
      </c>
      <c r="D3701" t="inlineStr">
        <is>
          <t>KALMAR LÄN</t>
        </is>
      </c>
      <c r="E3701" t="inlineStr">
        <is>
          <t>NYBRO</t>
        </is>
      </c>
      <c r="G3701" t="n">
        <v>27.9</v>
      </c>
      <c r="H3701" t="n">
        <v>0</v>
      </c>
      <c r="I3701" t="n">
        <v>0</v>
      </c>
      <c r="J3701" t="n">
        <v>0</v>
      </c>
      <c r="K3701" t="n">
        <v>0</v>
      </c>
      <c r="L3701" t="n">
        <v>0</v>
      </c>
      <c r="M3701" t="n">
        <v>0</v>
      </c>
      <c r="N3701" t="n">
        <v>0</v>
      </c>
      <c r="O3701" t="n">
        <v>0</v>
      </c>
      <c r="P3701" t="n">
        <v>0</v>
      </c>
      <c r="Q3701" t="n">
        <v>0</v>
      </c>
      <c r="R3701" s="2" t="inlineStr"/>
    </row>
    <row r="3702" ht="15" customHeight="1">
      <c r="A3702" t="inlineStr">
        <is>
          <t>A 29767-2020</t>
        </is>
      </c>
      <c r="B3702" s="1" t="n">
        <v>44005</v>
      </c>
      <c r="C3702" s="1" t="n">
        <v>45190</v>
      </c>
      <c r="D3702" t="inlineStr">
        <is>
          <t>KALMAR LÄN</t>
        </is>
      </c>
      <c r="E3702" t="inlineStr">
        <is>
          <t>MÖNSTERÅS</t>
        </is>
      </c>
      <c r="G3702" t="n">
        <v>6.8</v>
      </c>
      <c r="H3702" t="n">
        <v>0</v>
      </c>
      <c r="I3702" t="n">
        <v>0</v>
      </c>
      <c r="J3702" t="n">
        <v>0</v>
      </c>
      <c r="K3702" t="n">
        <v>0</v>
      </c>
      <c r="L3702" t="n">
        <v>0</v>
      </c>
      <c r="M3702" t="n">
        <v>0</v>
      </c>
      <c r="N3702" t="n">
        <v>0</v>
      </c>
      <c r="O3702" t="n">
        <v>0</v>
      </c>
      <c r="P3702" t="n">
        <v>0</v>
      </c>
      <c r="Q3702" t="n">
        <v>0</v>
      </c>
      <c r="R3702" s="2" t="inlineStr"/>
    </row>
    <row r="3703" ht="15" customHeight="1">
      <c r="A3703" t="inlineStr">
        <is>
          <t>A 29717-2020</t>
        </is>
      </c>
      <c r="B3703" s="1" t="n">
        <v>44005</v>
      </c>
      <c r="C3703" s="1" t="n">
        <v>45190</v>
      </c>
      <c r="D3703" t="inlineStr">
        <is>
          <t>KALMAR LÄN</t>
        </is>
      </c>
      <c r="E3703" t="inlineStr">
        <is>
          <t>NYBRO</t>
        </is>
      </c>
      <c r="G3703" t="n">
        <v>23.3</v>
      </c>
      <c r="H3703" t="n">
        <v>0</v>
      </c>
      <c r="I3703" t="n">
        <v>0</v>
      </c>
      <c r="J3703" t="n">
        <v>0</v>
      </c>
      <c r="K3703" t="n">
        <v>0</v>
      </c>
      <c r="L3703" t="n">
        <v>0</v>
      </c>
      <c r="M3703" t="n">
        <v>0</v>
      </c>
      <c r="N3703" t="n">
        <v>0</v>
      </c>
      <c r="O3703" t="n">
        <v>0</v>
      </c>
      <c r="P3703" t="n">
        <v>0</v>
      </c>
      <c r="Q3703" t="n">
        <v>0</v>
      </c>
      <c r="R3703" s="2" t="inlineStr"/>
    </row>
    <row r="3704" ht="15" customHeight="1">
      <c r="A3704" t="inlineStr">
        <is>
          <t>A 29935-2020</t>
        </is>
      </c>
      <c r="B3704" s="1" t="n">
        <v>44006</v>
      </c>
      <c r="C3704" s="1" t="n">
        <v>45190</v>
      </c>
      <c r="D3704" t="inlineStr">
        <is>
          <t>KALMAR LÄN</t>
        </is>
      </c>
      <c r="E3704" t="inlineStr">
        <is>
          <t>VIMMERBY</t>
        </is>
      </c>
      <c r="F3704" t="inlineStr">
        <is>
          <t>Kommuner</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29913-2020</t>
        </is>
      </c>
      <c r="B3705" s="1" t="n">
        <v>44006</v>
      </c>
      <c r="C3705" s="1" t="n">
        <v>45190</v>
      </c>
      <c r="D3705" t="inlineStr">
        <is>
          <t>KALMAR LÄN</t>
        </is>
      </c>
      <c r="E3705" t="inlineStr">
        <is>
          <t>VIMMERBY</t>
        </is>
      </c>
      <c r="F3705" t="inlineStr">
        <is>
          <t>Kommuner</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29918-2020</t>
        </is>
      </c>
      <c r="B3706" s="1" t="n">
        <v>44006</v>
      </c>
      <c r="C3706" s="1" t="n">
        <v>45190</v>
      </c>
      <c r="D3706" t="inlineStr">
        <is>
          <t>KALMAR LÄN</t>
        </is>
      </c>
      <c r="E3706" t="inlineStr">
        <is>
          <t>VIMMERBY</t>
        </is>
      </c>
      <c r="F3706" t="inlineStr">
        <is>
          <t>Kommuner</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30039-2020</t>
        </is>
      </c>
      <c r="B3707" s="1" t="n">
        <v>44006</v>
      </c>
      <c r="C3707" s="1" t="n">
        <v>45190</v>
      </c>
      <c r="D3707" t="inlineStr">
        <is>
          <t>KALMAR LÄN</t>
        </is>
      </c>
      <c r="E3707" t="inlineStr">
        <is>
          <t>NYBRO</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29870-2020</t>
        </is>
      </c>
      <c r="B3708" s="1" t="n">
        <v>44006</v>
      </c>
      <c r="C3708" s="1" t="n">
        <v>45190</v>
      </c>
      <c r="D3708" t="inlineStr">
        <is>
          <t>KALMAR LÄN</t>
        </is>
      </c>
      <c r="E3708" t="inlineStr">
        <is>
          <t>HÖGSBY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30206-2020</t>
        </is>
      </c>
      <c r="B3709" s="1" t="n">
        <v>44007</v>
      </c>
      <c r="C3709" s="1" t="n">
        <v>45190</v>
      </c>
      <c r="D3709" t="inlineStr">
        <is>
          <t>KALMAR LÄN</t>
        </is>
      </c>
      <c r="E3709" t="inlineStr">
        <is>
          <t>VIMMERBY</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30461-2020</t>
        </is>
      </c>
      <c r="B3710" s="1" t="n">
        <v>44007</v>
      </c>
      <c r="C3710" s="1" t="n">
        <v>45190</v>
      </c>
      <c r="D3710" t="inlineStr">
        <is>
          <t>KALMAR LÄN</t>
        </is>
      </c>
      <c r="E3710" t="inlineStr">
        <is>
          <t>OSKARSHAMN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30203-2020</t>
        </is>
      </c>
      <c r="B3711" s="1" t="n">
        <v>44007</v>
      </c>
      <c r="C3711" s="1" t="n">
        <v>45190</v>
      </c>
      <c r="D3711" t="inlineStr">
        <is>
          <t>KALMAR LÄN</t>
        </is>
      </c>
      <c r="E3711" t="inlineStr">
        <is>
          <t>EMMABODA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30335-2020</t>
        </is>
      </c>
      <c r="B3712" s="1" t="n">
        <v>44007</v>
      </c>
      <c r="C3712" s="1" t="n">
        <v>45190</v>
      </c>
      <c r="D3712" t="inlineStr">
        <is>
          <t>KALMAR LÄN</t>
        </is>
      </c>
      <c r="E3712" t="inlineStr">
        <is>
          <t>KALMAR</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30578-2020</t>
        </is>
      </c>
      <c r="B3713" s="1" t="n">
        <v>44008</v>
      </c>
      <c r="C3713" s="1" t="n">
        <v>45190</v>
      </c>
      <c r="D3713" t="inlineStr">
        <is>
          <t>KALMAR LÄN</t>
        </is>
      </c>
      <c r="E3713" t="inlineStr">
        <is>
          <t>VÄSTERVIK</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30581-2020</t>
        </is>
      </c>
      <c r="B3714" s="1" t="n">
        <v>44008</v>
      </c>
      <c r="C3714" s="1" t="n">
        <v>45190</v>
      </c>
      <c r="D3714" t="inlineStr">
        <is>
          <t>KALMAR LÄN</t>
        </is>
      </c>
      <c r="E3714" t="inlineStr">
        <is>
          <t>VÄSTERVIK</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30713-2020</t>
        </is>
      </c>
      <c r="B3715" s="1" t="n">
        <v>44008</v>
      </c>
      <c r="C3715" s="1" t="n">
        <v>45190</v>
      </c>
      <c r="D3715" t="inlineStr">
        <is>
          <t>KALMAR LÄN</t>
        </is>
      </c>
      <c r="E3715" t="inlineStr">
        <is>
          <t>MÖNSTERÅS</t>
        </is>
      </c>
      <c r="G3715" t="n">
        <v>5.9</v>
      </c>
      <c r="H3715" t="n">
        <v>0</v>
      </c>
      <c r="I3715" t="n">
        <v>0</v>
      </c>
      <c r="J3715" t="n">
        <v>0</v>
      </c>
      <c r="K3715" t="n">
        <v>0</v>
      </c>
      <c r="L3715" t="n">
        <v>0</v>
      </c>
      <c r="M3715" t="n">
        <v>0</v>
      </c>
      <c r="N3715" t="n">
        <v>0</v>
      </c>
      <c r="O3715" t="n">
        <v>0</v>
      </c>
      <c r="P3715" t="n">
        <v>0</v>
      </c>
      <c r="Q3715" t="n">
        <v>0</v>
      </c>
      <c r="R3715" s="2" t="inlineStr"/>
    </row>
    <row r="3716" ht="15" customHeight="1">
      <c r="A3716" t="inlineStr">
        <is>
          <t>A 30692-2020</t>
        </is>
      </c>
      <c r="B3716" s="1" t="n">
        <v>44008</v>
      </c>
      <c r="C3716" s="1" t="n">
        <v>45190</v>
      </c>
      <c r="D3716" t="inlineStr">
        <is>
          <t>KALMAR LÄN</t>
        </is>
      </c>
      <c r="E3716" t="inlineStr">
        <is>
          <t>MÖNSTERÅS</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30705-2020</t>
        </is>
      </c>
      <c r="B3717" s="1" t="n">
        <v>44008</v>
      </c>
      <c r="C3717" s="1" t="n">
        <v>45190</v>
      </c>
      <c r="D3717" t="inlineStr">
        <is>
          <t>KALMAR LÄN</t>
        </is>
      </c>
      <c r="E3717" t="inlineStr">
        <is>
          <t>MÖNSTERÅS</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30775-2020</t>
        </is>
      </c>
      <c r="B3718" s="1" t="n">
        <v>44009</v>
      </c>
      <c r="C3718" s="1" t="n">
        <v>45190</v>
      </c>
      <c r="D3718" t="inlineStr">
        <is>
          <t>KALMAR LÄN</t>
        </is>
      </c>
      <c r="E3718" t="inlineStr">
        <is>
          <t>NYBRO</t>
        </is>
      </c>
      <c r="G3718" t="n">
        <v>2.8</v>
      </c>
      <c r="H3718" t="n">
        <v>0</v>
      </c>
      <c r="I3718" t="n">
        <v>0</v>
      </c>
      <c r="J3718" t="n">
        <v>0</v>
      </c>
      <c r="K3718" t="n">
        <v>0</v>
      </c>
      <c r="L3718" t="n">
        <v>0</v>
      </c>
      <c r="M3718" t="n">
        <v>0</v>
      </c>
      <c r="N3718" t="n">
        <v>0</v>
      </c>
      <c r="O3718" t="n">
        <v>0</v>
      </c>
      <c r="P3718" t="n">
        <v>0</v>
      </c>
      <c r="Q3718" t="n">
        <v>0</v>
      </c>
      <c r="R3718" s="2" t="inlineStr"/>
    </row>
    <row r="3719" ht="15" customHeight="1">
      <c r="A3719" t="inlineStr">
        <is>
          <t>A 30774-2020</t>
        </is>
      </c>
      <c r="B3719" s="1" t="n">
        <v>44009</v>
      </c>
      <c r="C3719" s="1" t="n">
        <v>45190</v>
      </c>
      <c r="D3719" t="inlineStr">
        <is>
          <t>KALMAR LÄN</t>
        </is>
      </c>
      <c r="E3719" t="inlineStr">
        <is>
          <t>NYBRO</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30833-2020</t>
        </is>
      </c>
      <c r="B3720" s="1" t="n">
        <v>44011</v>
      </c>
      <c r="C3720" s="1" t="n">
        <v>45190</v>
      </c>
      <c r="D3720" t="inlineStr">
        <is>
          <t>KALMAR LÄN</t>
        </is>
      </c>
      <c r="E3720" t="inlineStr">
        <is>
          <t>OSKARSHAMN</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31283-2020</t>
        </is>
      </c>
      <c r="B3721" s="1" t="n">
        <v>44012</v>
      </c>
      <c r="C3721" s="1" t="n">
        <v>45190</v>
      </c>
      <c r="D3721" t="inlineStr">
        <is>
          <t>KALMAR LÄN</t>
        </is>
      </c>
      <c r="E3721" t="inlineStr">
        <is>
          <t>EMMABODA</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31289-2020</t>
        </is>
      </c>
      <c r="B3722" s="1" t="n">
        <v>44012</v>
      </c>
      <c r="C3722" s="1" t="n">
        <v>45190</v>
      </c>
      <c r="D3722" t="inlineStr">
        <is>
          <t>KALMAR LÄN</t>
        </is>
      </c>
      <c r="E3722" t="inlineStr">
        <is>
          <t>VIMMERBY</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31259-2020</t>
        </is>
      </c>
      <c r="B3723" s="1" t="n">
        <v>44012</v>
      </c>
      <c r="C3723" s="1" t="n">
        <v>45190</v>
      </c>
      <c r="D3723" t="inlineStr">
        <is>
          <t>KALMAR LÄN</t>
        </is>
      </c>
      <c r="E3723" t="inlineStr">
        <is>
          <t>NYBRO</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31589-2020</t>
        </is>
      </c>
      <c r="B3724" s="1" t="n">
        <v>44012</v>
      </c>
      <c r="C3724" s="1" t="n">
        <v>45190</v>
      </c>
      <c r="D3724" t="inlineStr">
        <is>
          <t>KALMAR LÄN</t>
        </is>
      </c>
      <c r="E3724" t="inlineStr">
        <is>
          <t>OSKARSHAMN</t>
        </is>
      </c>
      <c r="G3724" t="n">
        <v>2.6</v>
      </c>
      <c r="H3724" t="n">
        <v>0</v>
      </c>
      <c r="I3724" t="n">
        <v>0</v>
      </c>
      <c r="J3724" t="n">
        <v>0</v>
      </c>
      <c r="K3724" t="n">
        <v>0</v>
      </c>
      <c r="L3724" t="n">
        <v>0</v>
      </c>
      <c r="M3724" t="n">
        <v>0</v>
      </c>
      <c r="N3724" t="n">
        <v>0</v>
      </c>
      <c r="O3724" t="n">
        <v>0</v>
      </c>
      <c r="P3724" t="n">
        <v>0</v>
      </c>
      <c r="Q3724" t="n">
        <v>0</v>
      </c>
      <c r="R3724" s="2" t="inlineStr"/>
    </row>
    <row r="3725" ht="15" customHeight="1">
      <c r="A3725" t="inlineStr">
        <is>
          <t>A 31147-2020</t>
        </is>
      </c>
      <c r="B3725" s="1" t="n">
        <v>44012</v>
      </c>
      <c r="C3725" s="1" t="n">
        <v>45190</v>
      </c>
      <c r="D3725" t="inlineStr">
        <is>
          <t>KALMAR LÄN</t>
        </is>
      </c>
      <c r="E3725" t="inlineStr">
        <is>
          <t>TORSÅS</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31285-2020</t>
        </is>
      </c>
      <c r="B3726" s="1" t="n">
        <v>44012</v>
      </c>
      <c r="C3726" s="1" t="n">
        <v>45190</v>
      </c>
      <c r="D3726" t="inlineStr">
        <is>
          <t>KALMAR LÄN</t>
        </is>
      </c>
      <c r="E3726" t="inlineStr">
        <is>
          <t>EMMABODA</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31414-2020</t>
        </is>
      </c>
      <c r="B3727" s="1" t="n">
        <v>44012</v>
      </c>
      <c r="C3727" s="1" t="n">
        <v>45190</v>
      </c>
      <c r="D3727" t="inlineStr">
        <is>
          <t>KALMAR LÄN</t>
        </is>
      </c>
      <c r="E3727" t="inlineStr">
        <is>
          <t>HULTSFRED</t>
        </is>
      </c>
      <c r="G3727" t="n">
        <v>8.199999999999999</v>
      </c>
      <c r="H3727" t="n">
        <v>0</v>
      </c>
      <c r="I3727" t="n">
        <v>0</v>
      </c>
      <c r="J3727" t="n">
        <v>0</v>
      </c>
      <c r="K3727" t="n">
        <v>0</v>
      </c>
      <c r="L3727" t="n">
        <v>0</v>
      </c>
      <c r="M3727" t="n">
        <v>0</v>
      </c>
      <c r="N3727" t="n">
        <v>0</v>
      </c>
      <c r="O3727" t="n">
        <v>0</v>
      </c>
      <c r="P3727" t="n">
        <v>0</v>
      </c>
      <c r="Q3727" t="n">
        <v>0</v>
      </c>
      <c r="R3727" s="2" t="inlineStr"/>
    </row>
    <row r="3728" ht="15" customHeight="1">
      <c r="A3728" t="inlineStr">
        <is>
          <t>A 31587-2020</t>
        </is>
      </c>
      <c r="B3728" s="1" t="n">
        <v>44012</v>
      </c>
      <c r="C3728" s="1" t="n">
        <v>45190</v>
      </c>
      <c r="D3728" t="inlineStr">
        <is>
          <t>KALMAR LÄN</t>
        </is>
      </c>
      <c r="E3728" t="inlineStr">
        <is>
          <t>VÄSTERVIK</t>
        </is>
      </c>
      <c r="G3728" t="n">
        <v>2.5</v>
      </c>
      <c r="H3728" t="n">
        <v>0</v>
      </c>
      <c r="I3728" t="n">
        <v>0</v>
      </c>
      <c r="J3728" t="n">
        <v>0</v>
      </c>
      <c r="K3728" t="n">
        <v>0</v>
      </c>
      <c r="L3728" t="n">
        <v>0</v>
      </c>
      <c r="M3728" t="n">
        <v>0</v>
      </c>
      <c r="N3728" t="n">
        <v>0</v>
      </c>
      <c r="O3728" t="n">
        <v>0</v>
      </c>
      <c r="P3728" t="n">
        <v>0</v>
      </c>
      <c r="Q3728" t="n">
        <v>0</v>
      </c>
      <c r="R3728" s="2" t="inlineStr"/>
    </row>
    <row r="3729" ht="15" customHeight="1">
      <c r="A3729" t="inlineStr">
        <is>
          <t>A 31500-2020</t>
        </is>
      </c>
      <c r="B3729" s="1" t="n">
        <v>44013</v>
      </c>
      <c r="C3729" s="1" t="n">
        <v>45190</v>
      </c>
      <c r="D3729" t="inlineStr">
        <is>
          <t>KALMAR LÄN</t>
        </is>
      </c>
      <c r="E3729" t="inlineStr">
        <is>
          <t>TORSÅS</t>
        </is>
      </c>
      <c r="G3729" t="n">
        <v>0.2</v>
      </c>
      <c r="H3729" t="n">
        <v>0</v>
      </c>
      <c r="I3729" t="n">
        <v>0</v>
      </c>
      <c r="J3729" t="n">
        <v>0</v>
      </c>
      <c r="K3729" t="n">
        <v>0</v>
      </c>
      <c r="L3729" t="n">
        <v>0</v>
      </c>
      <c r="M3729" t="n">
        <v>0</v>
      </c>
      <c r="N3729" t="n">
        <v>0</v>
      </c>
      <c r="O3729" t="n">
        <v>0</v>
      </c>
      <c r="P3729" t="n">
        <v>0</v>
      </c>
      <c r="Q3729" t="n">
        <v>0</v>
      </c>
      <c r="R3729" s="2" t="inlineStr"/>
    </row>
    <row r="3730" ht="15" customHeight="1">
      <c r="A3730" t="inlineStr">
        <is>
          <t>A 31494-2020</t>
        </is>
      </c>
      <c r="B3730" s="1" t="n">
        <v>44013</v>
      </c>
      <c r="C3730" s="1" t="n">
        <v>45190</v>
      </c>
      <c r="D3730" t="inlineStr">
        <is>
          <t>KALMAR LÄN</t>
        </is>
      </c>
      <c r="E3730" t="inlineStr">
        <is>
          <t>TORSÅS</t>
        </is>
      </c>
      <c r="G3730" t="n">
        <v>4.8</v>
      </c>
      <c r="H3730" t="n">
        <v>0</v>
      </c>
      <c r="I3730" t="n">
        <v>0</v>
      </c>
      <c r="J3730" t="n">
        <v>0</v>
      </c>
      <c r="K3730" t="n">
        <v>0</v>
      </c>
      <c r="L3730" t="n">
        <v>0</v>
      </c>
      <c r="M3730" t="n">
        <v>0</v>
      </c>
      <c r="N3730" t="n">
        <v>0</v>
      </c>
      <c r="O3730" t="n">
        <v>0</v>
      </c>
      <c r="P3730" t="n">
        <v>0</v>
      </c>
      <c r="Q3730" t="n">
        <v>0</v>
      </c>
      <c r="R3730" s="2" t="inlineStr"/>
    </row>
    <row r="3731" ht="15" customHeight="1">
      <c r="A3731" t="inlineStr">
        <is>
          <t>A 31588-2020</t>
        </is>
      </c>
      <c r="B3731" s="1" t="n">
        <v>44013</v>
      </c>
      <c r="C3731" s="1" t="n">
        <v>45190</v>
      </c>
      <c r="D3731" t="inlineStr">
        <is>
          <t>KALMAR LÄN</t>
        </is>
      </c>
      <c r="E3731" t="inlineStr">
        <is>
          <t>VIMMERBY</t>
        </is>
      </c>
      <c r="G3731" t="n">
        <v>7.3</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45190</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45190</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45190</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45190</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45190</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45190</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45190</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45190</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45190</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45190</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45190</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45190</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45190</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45190</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45190</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45190</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45190</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45190</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45190</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45190</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45190</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45190</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45190</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45190</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45190</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45190</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45190</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45190</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45190</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45190</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45190</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45190</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45190</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45190</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45190</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45190</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45190</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45190</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45190</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45190</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45190</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45190</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45190</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45190</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45190</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45190</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45190</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45190</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45190</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45190</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45190</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45190</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45190</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45190</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45190</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45190</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45190</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45190</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45190</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45190</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45190</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45190</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45190</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45190</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45190</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45190</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45190</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45190</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45190</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45190</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45190</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45190</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45190</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45190</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45190</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45190</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45190</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45190</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45190</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45190</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45190</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45190</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45190</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45190</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45190</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45190</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45190</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45190</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45190</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45190</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45190</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45190</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45190</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45190</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45190</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45190</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45190</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45190</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45190</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45190</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45190</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45190</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45190</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45190</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45190</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45190</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45190</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45190</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45190</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45190</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45190</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45190</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45190</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45190</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45190</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45190</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45190</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45190</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45190</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45190</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45190</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45190</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45190</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45190</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45190</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45190</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45190</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45190</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45190</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45190</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45190</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45190</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45190</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45190</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45190</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45190</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45190</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45190</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45190</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45190</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45190</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45190</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45190</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45190</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45190</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45190</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45190</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45190</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45190</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45190</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45190</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45190</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45190</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45190</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45190</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45190</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45190</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45190</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45190</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45190</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45190</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45190</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45190</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45190</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45190</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45190</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45190</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45190</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45190</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45190</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45190</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45190</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45190</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45190</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45190</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45190</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45190</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45190</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45190</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45190</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45190</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45190</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45190</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45190</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45190</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45190</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45190</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45190</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45190</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45190</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45190</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45190</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45190</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45190</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45190</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45190</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45190</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45190</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45190</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45190</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45190</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45190</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45190</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45190</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45190</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45190</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45190</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45190</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45190</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45190</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45190</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45190</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45190</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45190</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45190</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45190</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45190</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45190</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45190</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45190</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45190</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45190</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45190</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45190</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45190</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45190</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45190</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45190</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45190</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45190</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45190</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45190</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45190</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45190</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45190</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45190</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45190</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45190</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45190</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45190</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45190</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45190</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45190</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45190</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45190</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45190</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45190</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45190</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45190</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45190</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45190</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45190</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45190</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45190</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45190</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45190</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45190</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45190</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45190</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45190</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45190</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45190</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45190</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45190</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45190</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45190</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45190</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45190</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45190</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45190</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45190</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45190</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45190</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45190</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45190</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45190</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45190</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45190</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45190</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45190</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45190</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45190</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45190</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45190</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45190</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45190</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45190</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45190</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45190</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45190</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45190</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45190</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45190</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45190</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45190</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45190</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45190</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45190</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45190</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45190</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45190</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45190</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45190</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45190</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45190</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45190</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45190</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45190</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45190</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45190</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45190</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45190</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45190</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45190</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45190</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45190</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45190</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45190</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45190</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45190</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45190</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45190</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45190</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45190</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45190</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45190</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45190</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45190</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45190</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45190</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45190</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45190</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45190</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45190</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45190</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45190</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45190</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45190</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45190</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45190</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45190</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45190</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45190</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45190</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45190</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45190</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45190</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45190</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45190</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45190</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45190</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45190</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45190</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45190</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45190</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45190</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45190</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45190</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45190</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45190</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45190</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45190</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45190</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45190</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45190</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45190</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45190</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45190</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45190</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45190</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45190</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45190</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45190</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45190</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45190</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45190</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45190</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45190</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45190</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45190</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45190</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45190</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45190</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45190</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45190</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45190</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45190</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45190</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45190</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45190</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45190</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45190</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45190</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45190</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45190</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45190</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45190</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45190</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45190</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45190</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45190</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45190</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45190</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45190</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45190</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45190</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45190</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45190</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45190</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45190</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45190</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45190</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45190</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45190</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45190</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45190</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45190</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45190</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45190</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45190</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45190</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45190</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45190</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45190</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45190</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45190</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45190</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45190</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45190</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45190</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45190</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45190</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45190</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45190</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45190</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45190</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45190</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45190</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45190</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45190</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45190</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45190</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45190</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45190</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45190</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45190</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45190</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45190</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45190</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45190</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45190</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45190</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45190</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45190</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45190</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45190</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45190</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45190</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45190</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45190</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45190</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45190</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45190</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45190</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45190</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45190</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45190</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45190</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45190</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45190</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45190</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45190</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45190</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45190</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45190</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45190</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45190</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45190</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45190</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45190</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45190</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45190</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45190</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45190</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45190</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45190</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45190</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45190</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45190</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45190</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45190</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45190</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45190</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45190</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45190</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45190</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45190</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45190</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45190</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45190</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45190</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45190</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45190</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45190</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45190</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45190</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45190</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45190</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45190</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45190</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45190</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45190</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45190</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45190</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45190</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45190</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45190</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45190</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45190</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45190</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45190</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45190</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45190</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45190</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45190</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45190</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45190</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45190</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45190</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45190</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45190</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45190</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45190</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45190</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45190</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45190</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45190</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45190</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45190</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45190</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45190</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45190</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45190</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45190</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45190</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45190</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45190</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45190</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45190</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45190</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45190</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45190</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45190</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45190</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45190</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45190</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45190</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45190</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45190</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45190</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45190</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45190</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45190</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45190</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45190</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45190</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45190</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45190</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45190</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45190</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45190</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45190</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45190</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45190</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45190</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45190</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45190</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45190</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45190</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45190</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45190</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45190</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45190</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45190</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45190</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45190</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45190</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45190</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45190</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45190</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45190</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45190</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45190</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45190</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45190</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45190</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45190</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45190</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45190</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45190</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45190</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45190</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45190</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45190</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45190</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45190</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45190</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45190</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45190</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45190</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45190</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45190</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45190</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45190</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45190</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45190</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45190</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45190</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45190</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45190</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45190</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45190</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45190</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45190</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45190</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45190</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45190</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45190</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45190</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45190</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45190</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45190</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45190</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45190</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45190</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45190</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45190</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45190</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45190</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45190</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45190</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45190</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45190</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45190</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45190</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45190</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45190</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45190</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45190</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45190</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45190</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45190</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45190</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45190</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45190</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45190</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45190</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45190</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45190</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45190</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45190</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45190</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45190</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45190</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45190</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45190</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45190</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45190</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45190</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45190</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45190</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45190</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45190</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45190</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45190</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45190</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45190</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45190</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45190</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45190</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45190</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45190</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45190</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45190</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45190</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45190</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45190</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45190</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45190</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45190</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45190</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45190</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45190</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45190</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45190</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45190</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45190</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45190</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45190</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45190</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45190</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45190</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45190</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45190</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45190</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45190</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45190</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45190</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45190</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45190</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45190</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45190</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45190</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45190</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45190</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45190</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45190</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45190</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45190</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45190</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45190</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45190</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45190</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45190</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45190</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45190</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45190</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45190</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45190</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45190</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45190</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45190</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45190</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45190</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45190</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45190</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45190</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45190</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45190</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45190</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45190</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45190</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45190</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45190</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45190</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45190</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45190</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45190</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45190</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45190</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45190</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45190</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45190</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45190</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45190</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45190</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45190</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45190</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45190</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45190</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45190</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45190</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45190</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45190</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45190</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45190</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45190</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45190</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45190</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45190</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45190</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45190</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45190</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45190</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45190</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45190</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45190</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45190</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45190</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45190</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45190</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45190</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45190</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45190</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45190</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45190</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45190</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45190</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45190</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45190</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45190</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45190</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45190</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45190</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45190</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45190</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45190</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45190</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45190</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45190</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45190</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45190</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45190</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45190</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45190</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45190</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45190</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45190</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45190</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45190</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45190</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45190</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45190</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45190</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45190</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45190</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45190</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45190</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45190</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45190</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45190</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45190</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45190</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45190</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45190</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45190</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45190</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45190</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45190</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45190</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45190</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45190</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45190</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45190</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45190</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45190</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45190</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45190</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45190</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45190</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45190</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45190</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45190</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45190</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45190</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45190</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45190</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45190</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45190</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45190</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45190</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45190</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45190</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45190</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45190</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45190</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45190</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45190</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45190</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45190</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45190</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45190</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45190</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45190</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45190</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45190</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45190</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45190</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45190</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45190</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45190</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45190</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45190</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45190</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45190</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45190</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45190</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45190</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45190</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45190</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45190</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45190</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45190</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45190</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45190</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45190</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45190</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45190</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45190</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45190</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45190</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45190</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45190</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45190</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45190</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45190</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45190</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45190</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45190</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45190</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45190</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45190</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45190</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45190</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45190</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45190</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45190</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45190</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45190</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45190</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45190</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45190</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45190</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45190</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45190</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45190</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45190</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45190</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45190</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45190</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45190</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45190</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45190</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45190</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45190</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45190</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45190</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45190</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45190</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45190</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45190</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45190</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45190</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45190</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45190</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45190</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45190</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45190</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45190</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45190</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45190</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45190</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45190</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45190</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45190</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45190</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45190</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45190</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45190</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45190</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45190</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45190</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45190</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45190</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45190</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45190</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45190</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45190</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45190</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45190</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45190</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45190</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45190</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45190</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45190</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45190</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45190</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45190</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45190</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45190</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45190</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45190</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45190</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45190</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45190</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45190</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45190</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45190</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45190</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45190</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45190</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45190</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45190</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45190</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45190</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45190</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45190</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45190</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45190</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45190</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45190</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45190</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45190</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45190</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45190</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45190</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45190</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45190</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45190</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45190</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45190</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45190</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45190</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45190</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45190</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45190</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45190</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45190</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45190</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45190</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45190</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45190</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45190</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45190</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45190</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45190</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45190</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45190</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45190</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45190</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45190</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45190</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45190</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45190</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45190</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45190</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45190</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45190</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45190</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45190</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45190</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45190</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45190</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45190</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45190</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45190</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45190</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45190</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45190</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45190</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45190</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45190</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45190</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45190</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45190</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45190</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45190</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45190</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45190</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45190</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45190</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45190</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45190</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45190</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45190</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45190</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45190</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45190</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45190</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45190</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45190</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45190</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45190</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45190</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45190</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45190</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45190</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45190</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45190</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45190</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45190</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45190</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45190</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45190</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45190</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45190</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45190</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45190</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45190</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45190</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45190</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45190</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45190</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45190</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45190</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45190</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45190</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45190</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45190</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45190</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45190</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45190</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45190</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45190</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45190</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45190</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45190</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45190</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45190</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45190</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45190</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45190</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45190</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45190</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45190</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45190</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45190</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45190</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45190</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45190</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45190</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45190</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45190</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45190</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45190</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45190</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45190</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45190</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45190</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45190</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45190</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45190</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45190</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45190</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45190</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45190</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45190</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45190</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45190</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45190</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45190</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45190</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45190</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45190</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45190</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45190</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45190</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45190</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45190</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45190</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45190</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45190</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45190</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45190</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45190</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45190</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45190</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45190</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45190</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45190</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45190</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45190</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45190</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45190</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45190</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45190</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45190</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45190</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45190</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45190</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45190</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45190</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45190</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45190</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45190</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45190</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45190</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45190</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45190</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45190</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45190</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45190</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45190</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45190</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45190</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45190</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45190</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45190</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45190</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45190</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45190</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45190</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45190</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45190</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45190</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45190</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45190</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45190</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45190</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45190</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45190</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45190</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45190</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45190</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45190</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45190</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45190</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45190</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45190</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45190</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45190</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45190</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45190</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45190</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45190</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45190</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45190</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45190</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45190</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45190</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45190</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45190</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45190</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45190</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45190</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45190</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45190</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45190</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45190</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45190</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45190</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45190</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45190</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45190</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45190</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45190</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45190</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45190</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45190</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45190</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45190</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45190</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45190</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45190</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45190</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45190</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45190</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45190</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45190</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45190</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45190</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45190</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45190</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45190</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45190</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45190</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45190</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45190</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45190</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45190</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45190</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45190</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45190</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45190</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45190</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45190</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45190</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45190</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45190</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45190</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45190</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45190</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45190</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45190</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45190</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45190</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45190</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45190</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45190</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45190</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45190</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45190</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45190</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45190</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45190</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45190</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45190</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45190</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45190</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45190</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45190</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45190</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45190</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45190</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45190</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45190</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45190</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45190</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45190</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45190</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45190</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45190</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45190</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45190</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45190</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45190</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45190</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45190</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45190</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45190</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45190</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45190</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45190</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45190</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45190</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45190</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45190</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45190</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45190</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45190</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45190</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45190</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45190</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45190</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45190</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45190</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45190</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45190</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45190</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45190</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45190</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45190</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45190</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45190</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45190</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45190</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45190</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45190</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45190</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45190</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45190</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45190</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45190</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45190</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45190</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45190</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45190</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45190</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45190</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45190</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45190</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45190</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45190</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45190</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45190</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45190</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45190</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45190</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45190</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45190</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45190</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45190</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45190</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45190</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45190</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45190</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45190</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45190</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45190</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45190</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45190</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45190</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45190</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45190</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45190</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45190</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45190</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45190</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45190</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45190</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45190</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45190</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45190</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45190</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45190</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45190</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45190</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45190</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45190</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45190</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45190</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45190</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45190</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45190</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45190</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45190</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45190</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45190</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45190</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45190</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45190</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45190</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45190</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45190</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45190</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45190</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45190</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45190</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45190</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45190</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45190</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45190</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45190</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45190</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45190</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45190</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45190</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45190</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45190</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45190</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45190</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45190</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45190</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45190</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45190</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45190</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45190</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45190</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45190</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45190</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45190</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45190</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45190</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45190</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45190</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45190</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45190</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45190</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45190</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45190</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45190</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45190</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45190</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45190</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45190</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45190</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45190</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45190</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45190</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45190</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45190</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45190</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45190</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45190</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45190</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45190</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45190</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45190</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45190</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45190</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45190</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45190</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45190</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45190</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45190</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45190</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45190</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45190</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45190</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45190</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45190</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45190</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45190</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45190</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45190</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45190</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45190</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45190</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45190</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45190</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45190</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45190</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45190</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45190</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45190</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45190</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45190</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45190</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45190</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45190</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45190</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45190</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45190</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45190</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45190</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45190</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45190</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45190</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45190</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45190</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45190</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45190</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45190</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45190</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45190</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45190</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45190</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45190</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45190</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45190</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45190</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45190</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45190</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45190</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45190</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45190</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45190</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45190</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45190</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45190</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45190</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45190</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45190</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45190</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45190</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45190</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45190</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45190</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45190</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45190</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45190</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45190</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45190</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45190</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45190</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45190</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45190</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45190</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45190</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45190</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45190</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45190</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45190</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45190</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45190</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45190</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45190</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45190</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45190</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45190</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45190</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45190</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45190</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45190</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45190</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45190</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45190</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45190</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45190</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45190</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45190</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45190</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45190</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45190</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45190</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45190</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45190</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45190</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45190</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45190</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45190</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45190</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45190</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45190</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45190</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45190</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45190</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45190</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45190</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45190</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45190</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45190</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45190</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45190</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45190</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45190</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45190</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45190</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45190</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45190</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45190</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45190</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45190</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45190</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45190</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45190</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45190</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45190</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45190</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45190</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45190</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45190</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45190</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45190</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45190</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45190</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45190</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45190</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45190</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45190</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45190</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45190</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45190</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45190</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45190</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45190</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45190</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45190</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45190</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45190</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45190</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45190</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45190</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45190</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45190</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45190</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45190</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45190</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45190</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45190</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45190</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45190</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45190</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45190</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45190</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45190</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45190</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45190</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45190</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45190</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45190</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45190</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45190</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45190</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45190</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45190</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45190</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45190</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45190</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45190</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45190</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45190</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45190</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45190</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45190</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45190</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45190</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45190</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45190</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45190</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45190</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45190</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45190</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45190</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45190</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45190</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45190</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45190</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45190</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45190</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45190</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45190</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45190</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45190</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45190</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45190</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45190</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45190</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45190</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45190</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45190</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45190</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45190</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45190</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45190</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45190</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45190</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45190</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45190</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45190</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45190</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45190</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45190</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45190</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45190</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45190</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45190</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45190</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45190</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45190</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45190</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45190</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45190</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45190</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45190</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45190</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45190</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45190</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45190</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45190</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45190</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45190</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45190</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45190</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45190</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45190</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45190</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45190</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45190</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45190</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45190</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45190</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45190</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45190</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45190</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45190</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45190</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45190</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45190</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45190</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45190</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45190</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45190</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45190</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45190</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45190</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45190</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45190</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45190</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45190</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45190</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45190</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45190</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45190</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45190</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45190</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45190</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45190</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45190</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45190</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45190</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45190</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45190</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45190</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45190</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45190</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45190</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45190</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45190</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45190</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45190</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45190</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45190</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45190</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45190</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45190</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45190</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45190</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45190</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45190</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45190</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45190</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45190</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45190</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45190</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45190</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45190</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45190</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45190</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45190</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45190</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45190</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45190</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45190</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45190</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45190</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45190</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45190</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45190</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45190</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45190</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45190</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45190</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45190</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45190</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45190</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45190</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45190</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45190</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45190</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45190</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45190</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45190</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45190</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45190</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45190</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45190</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45190</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45190</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45190</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45190</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45190</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45190</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45190</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45190</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45190</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45190</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45190</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45190</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45190</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45190</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45190</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45190</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45190</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45190</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45190</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45190</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45190</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45190</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45190</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45190</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45190</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45190</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45190</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45190</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45190</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45190</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45190</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45190</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45190</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45190</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45190</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45190</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45190</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45190</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45190</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45190</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45190</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45190</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45190</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45190</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45190</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45190</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45190</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45190</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45190</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45190</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45190</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45190</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45190</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45190</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45190</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45190</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45190</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45190</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45190</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45190</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45190</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45190</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45190</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45190</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45190</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45190</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45190</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45190</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45190</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45190</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45190</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45190</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45190</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45190</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45190</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45190</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45190</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45190</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45190</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45190</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45190</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45190</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45190</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45190</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45190</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45190</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45190</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45190</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45190</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45190</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45190</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45190</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45190</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45190</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45190</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45190</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45190</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45190</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45190</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45190</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45190</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45190</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45190</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45190</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45190</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45190</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45190</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45190</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45190</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45190</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45190</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45190</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45190</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45190</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45190</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45190</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45190</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45190</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45190</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45190</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45190</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45190</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45190</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45190</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45190</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45190</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45190</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45190</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45190</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45190</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45190</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45190</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45190</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45190</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45190</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45190</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45190</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45190</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45190</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45190</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45190</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45190</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45190</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45190</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45190</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45190</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45190</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45190</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45190</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45190</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45190</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45190</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45190</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45190</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45190</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45190</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45190</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45190</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45190</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45190</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45190</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45190</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45190</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45190</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45190</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45190</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45190</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45190</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45190</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45190</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45190</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45190</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45190</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45190</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45190</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45190</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45190</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45190</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45190</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45190</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45190</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45190</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45190</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45190</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45190</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45190</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45190</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45190</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45190</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45190</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45190</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45190</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45190</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45190</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45190</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45190</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45190</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45190</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45190</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45190</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45190</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45190</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45190</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45190</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45190</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45190</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45190</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45190</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45190</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45190</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45190</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45190</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45190</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45190</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45190</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45190</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45190</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45190</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45190</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45190</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45190</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45190</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45190</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45190</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45190</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45190</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45190</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45190</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45190</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45190</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45190</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45190</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45190</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45190</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45190</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45190</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45190</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45190</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45190</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45190</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45190</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45190</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45190</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45190</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45190</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45190</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45190</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45190</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45190</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45190</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45190</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45190</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45190</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45190</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45190</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45190</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45190</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45190</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45190</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45190</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45190</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45190</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45190</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45190</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45190</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45190</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45190</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45190</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45190</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45190</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45190</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45190</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45190</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45190</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45190</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45190</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45190</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45190</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45190</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45190</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45190</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45190</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45190</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45190</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45190</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45190</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45190</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45190</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45190</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45190</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45190</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45190</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45190</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45190</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45190</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45190</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45190</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45190</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45190</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45190</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45190</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45190</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45190</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45190</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45190</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45190</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45190</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45190</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45190</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45190</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45190</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45190</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45190</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45190</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45190</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45190</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45190</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45190</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45190</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45190</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45190</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45190</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45190</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45190</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45190</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45190</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45190</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45190</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45190</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45190</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45190</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45190</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45190</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45190</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45190</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45190</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45190</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45190</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45190</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45190</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45190</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45190</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45190</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45190</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45190</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45190</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45190</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45190</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45190</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45190</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45190</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45190</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45190</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45190</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45190</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45190</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45190</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45190</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45190</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45190</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45190</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45190</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45190</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45190</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45190</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45190</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45190</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45190</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45190</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45190</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45190</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45190</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45190</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45190</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45190</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45190</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45190</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45190</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45190</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45190</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45190</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45190</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45190</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45190</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45190</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45190</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45190</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45190</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45190</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45190</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45190</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45190</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45190</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45190</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45190</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45190</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45190</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45190</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45190</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45190</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45190</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45190</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45190</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45190</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45190</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45190</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45190</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45190</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45190</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45190</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45190</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45190</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45190</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45190</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45190</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45190</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45190</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45190</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45190</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45190</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45190</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45190</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45190</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45190</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45190</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45190</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45190</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45190</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45190</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45190</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45190</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45190</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45190</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45190</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45190</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45190</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45190</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45190</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45190</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45190</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45190</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45190</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45190</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45190</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45190</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45190</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45190</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45190</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45190</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45190</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45190</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45190</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45190</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45190</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45190</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45190</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45190</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45190</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45190</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45190</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45190</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45190</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45190</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45190</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45190</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45190</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45190</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45190</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45190</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45190</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45190</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45190</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45190</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45190</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45190</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45190</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45190</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45190</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45190</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45190</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45190</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45190</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45190</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45190</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45190</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45190</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45190</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45190</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45190</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45190</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45190</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45190</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45190</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45190</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45190</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45190</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45190</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45190</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45190</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45190</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45190</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45190</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45190</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45190</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45190</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45190</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45190</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45190</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45190</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45190</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45190</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45190</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45190</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45190</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45190</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45190</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45190</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45190</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45190</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45190</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45190</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45190</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45190</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45190</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45190</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45190</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45190</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45190</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45190</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45190</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45190</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45190</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45190</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45190</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45190</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45190</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45190</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45190</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45190</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45190</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45190</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45190</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45190</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45190</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45190</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45190</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45190</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45190</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45190</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45190</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45190</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45190</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45190</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45190</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45190</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45190</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45190</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45190</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45190</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45190</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45190</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45190</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45190</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45190</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45190</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45190</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45190</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45190</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45190</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45190</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45190</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45190</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45190</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45190</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45190</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45190</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45190</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45190</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45190</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45190</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45190</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45190</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45190</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45190</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45190</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45190</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45190</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45190</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45190</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45190</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45190</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45190</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45190</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45190</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45190</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45190</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45190</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45190</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45190</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45190</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45190</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45190</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45190</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45190</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45190</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45190</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45190</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45190</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45190</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45190</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45190</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45190</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45190</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45190</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45190</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45190</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45190</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45190</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45190</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45190</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45190</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45190</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45190</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45190</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45190</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45190</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45190</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45190</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45190</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45190</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45190</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45190</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45190</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45190</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45190</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45190</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45190</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45190</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45190</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45190</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45190</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45190</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45190</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45190</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45190</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45190</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45190</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45190</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45190</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45190</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45190</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45190</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45190</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45190</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45190</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45190</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45190</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45190</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45190</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45190</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45190</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45190</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45190</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45190</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45190</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45190</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45190</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45190</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45190</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45190</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45190</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45190</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45190</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45190</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45190</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45190</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45190</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45190</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45190</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45190</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45190</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45190</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45190</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45190</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45190</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45190</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45190</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45190</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45190</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45190</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45190</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45190</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45190</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45190</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45190</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45190</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45190</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45190</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45190</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45190</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45190</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45190</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45190</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45190</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45190</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45190</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45190</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45190</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45190</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45190</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45190</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45190</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45190</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45190</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45190</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45190</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45190</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45190</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45190</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45190</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45190</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45190</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45190</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45190</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45190</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45190</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45190</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45190</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45190</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45190</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45190</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45190</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45190</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45190</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45190</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45190</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45190</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45190</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45190</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45190</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45190</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45190</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45190</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45190</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45190</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45190</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45190</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45190</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45190</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45190</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45190</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45190</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45190</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45190</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45190</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45190</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45190</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45190</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45190</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45190</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45190</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45190</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45190</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45190</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45190</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45190</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45190</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45190</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45190</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45190</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45190</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45190</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45190</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45190</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45190</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45190</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45190</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45190</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45190</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45190</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45190</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45190</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45190</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45190</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45190</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45190</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45190</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45190</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45190</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45190</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45190</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45190</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45190</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45190</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45190</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45190</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45190</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45190</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45190</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45190</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45190</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45190</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45190</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45190</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45190</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45190</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45190</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45190</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45190</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45190</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45190</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45190</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45190</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45190</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45190</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45190</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45190</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45190</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45190</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45190</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45190</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45190</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45190</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45190</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45190</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45190</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45190</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45190</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45190</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45190</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45190</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45190</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45190</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45190</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45190</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45190</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45190</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45190</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45190</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45190</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45190</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45190</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45190</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45190</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45190</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45190</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45190</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45190</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45190</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45190</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45190</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45190</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45190</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45190</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45190</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45190</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45190</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45190</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45190</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45190</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45190</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45190</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45190</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45190</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45190</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45190</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45190</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45190</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45190</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45190</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45190</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45190</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45190</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45190</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45190</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45190</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45190</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45190</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45190</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45190</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45190</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45190</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45190</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45190</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45190</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45190</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45190</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45190</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45190</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45190</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45190</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45190</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45190</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45190</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45190</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45190</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45190</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45190</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45190</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45190</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45190</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45190</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45190</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45190</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45190</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45190</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45190</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45190</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45190</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45190</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45190</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45190</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45190</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45190</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45190</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45190</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45190</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45190</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45190</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45190</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45190</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45190</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45190</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45190</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45190</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45190</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45190</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45190</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45190</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45190</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45190</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45190</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45190</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45190</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45190</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45190</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45190</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45190</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45190</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45190</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45190</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45190</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45190</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45190</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45190</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45190</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45190</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45190</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45190</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45190</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45190</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45190</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45190</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45190</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45190</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45190</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45190</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45190</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45190</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45190</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45190</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45190</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45190</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45190</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45190</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45190</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45190</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45190</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45190</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45190</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45190</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45190</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45190</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45190</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45190</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45190</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45190</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45190</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45190</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45190</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45190</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45190</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45190</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45190</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45190</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45190</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45190</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45190</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45190</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45190</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45190</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45190</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45190</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45190</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45190</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45190</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45190</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45190</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45190</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45190</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45190</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45190</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45190</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45190</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45190</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45190</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45190</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45190</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45190</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45190</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45190</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45190</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45190</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45190</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45190</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45190</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45190</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45190</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45190</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45190</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45190</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45190</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45190</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45190</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45190</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45190</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45190</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45190</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45190</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45190</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45190</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45190</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45190</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45190</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45190</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45190</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45190</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45190</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45190</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45190</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45190</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45190</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45190</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45190</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45190</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45190</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45190</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45190</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45190</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45190</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45190</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45190</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45190</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45190</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45190</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45190</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45190</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45190</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45190</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45190</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45190</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45190</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45190</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45190</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45190</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45190</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45190</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45190</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45190</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45190</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45190</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45190</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45190</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45190</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45190</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45190</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45190</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45190</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45190</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45190</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45190</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45190</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45190</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45190</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45190</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45190</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45190</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45190</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45190</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45190</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45190</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45190</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45190</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45190</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45190</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45190</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45190</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45190</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45190</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45190</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45190</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45190</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45190</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45190</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45190</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45190</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45190</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45190</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45190</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45190</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45190</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45190</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45190</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45190</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45190</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45190</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45190</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45190</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45190</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45190</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45190</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45190</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45190</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45190</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45190</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45190</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45190</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45190</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45190</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45190</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45190</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45190</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45190</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45190</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45190</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45190</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45190</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45190</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45190</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45190</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45190</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45190</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45190</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45190</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45190</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45190</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45190</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45190</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45190</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45190</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45190</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45190</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45190</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45190</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45190</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45190</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45190</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45190</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45190</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45190</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45190</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45190</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45190</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45190</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45190</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45190</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45190</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45190</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45190</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45190</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45190</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45190</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45190</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45190</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45190</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45190</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45190</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45190</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45190</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45190</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45190</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45190</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45190</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45190</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45190</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45190</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45190</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45190</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45190</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45190</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45190</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45190</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45190</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45190</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45190</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45190</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45190</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45190</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45190</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45190</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45190</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45190</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45190</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45190</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45190</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45190</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45190</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45190</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45190</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45190</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45190</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45190</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45190</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45190</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45190</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45190</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45190</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45190</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45190</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45190</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45190</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45190</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45190</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45190</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45190</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45190</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45190</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45190</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45190</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45190</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45190</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45190</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45190</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45190</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45190</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45190</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45190</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45190</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45190</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45190</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45190</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45190</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45190</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45190</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45190</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45190</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45190</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45190</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45190</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45190</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45190</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45190</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45190</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45190</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45190</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45190</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45190</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45190</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45190</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45190</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45190</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45190</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45190</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45190</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45190</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45190</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45190</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45190</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45190</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45190</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45190</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45190</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45190</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45190</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45190</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45190</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45190</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45190</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45190</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45190</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45190</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45190</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45190</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45190</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45190</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45190</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45190</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45190</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45190</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45190</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45190</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45190</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45190</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45190</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45190</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45190</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45190</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45190</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45190</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45190</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45190</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45190</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45190</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45190</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45190</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45190</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45190</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45190</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45190</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45190</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45190</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45190</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45190</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45190</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45190</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45190</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45190</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45190</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45190</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45190</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45190</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45190</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45190</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45190</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45190</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45190</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45190</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45190</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45190</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45190</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45190</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45190</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45190</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45190</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45190</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45190</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45190</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45190</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45190</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45190</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45190</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45190</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45190</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45190</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45190</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45190</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45190</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45190</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45190</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45190</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45190</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45190</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45190</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45190</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45190</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45190</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45190</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45190</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45190</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45190</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45190</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45190</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45190</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45190</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45190</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45190</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45190</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45190</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45190</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45190</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45190</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45190</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45190</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45190</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45190</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45190</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45190</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45190</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45190</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45190</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45190</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45190</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45190</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45190</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45190</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45190</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45190</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45190</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45190</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45190</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45190</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45190</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45190</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45190</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45190</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45190</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45190</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45190</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45190</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45190</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45190</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45190</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45190</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45190</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45190</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45190</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45190</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45190</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45190</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45190</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45190</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45190</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45190</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45190</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45190</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45190</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45190</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45190</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45190</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45190</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45190</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45190</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45190</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45190</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45190</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45190</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45190</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45190</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45190</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45190</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45190</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45190</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45190</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45190</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45190</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45190</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45190</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45190</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45190</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45190</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45190</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45190</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45190</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45190</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45190</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45190</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45190</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45190</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45190</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45190</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45190</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45190</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45190</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45190</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45190</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45190</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45190</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c r="A6986" t="inlineStr">
        <is>
          <t>A 44001-2023</t>
        </is>
      </c>
      <c r="B6986" s="1" t="n">
        <v>45188</v>
      </c>
      <c r="C6986" s="1" t="n">
        <v>45190</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2023-09-21T06:50:05Z</dcterms:created>
  <dcterms:modified xmlns:dcterms="http://purl.org/dc/terms/" xmlns:xsi="http://www.w3.org/2001/XMLSchema-instance" xsi:type="dcterms:W3CDTF">2023-09-21T06:50:08Z</dcterms:modified>
</cp:coreProperties>
</file>