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45205</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45205</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45205</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45205</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45205</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45205</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45205</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45205</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45205</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45205</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45205</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45205</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45205</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54601-2022</t>
        </is>
      </c>
      <c r="B15" s="1" t="n">
        <v>44883</v>
      </c>
      <c r="C15" s="1" t="n">
        <v>45205</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HYPERLINK("https://klasma.github.io/Logging_VASTERVIK/artfynd/A 54601-2022.xlsx", "A 54601-2022")</f>
        <v/>
      </c>
      <c r="T15">
        <f>HYPERLINK("https://klasma.github.io/Logging_VASTERVIK/kartor/A 54601-2022.png", "A 54601-2022")</f>
        <v/>
      </c>
      <c r="V15">
        <f>HYPERLINK("https://klasma.github.io/Logging_VASTERVIK/klagomål/A 54601-2022.docx", "A 54601-2022")</f>
        <v/>
      </c>
      <c r="W15">
        <f>HYPERLINK("https://klasma.github.io/Logging_VASTERVIK/klagomålsmail/A 54601-2022.docx", "A 54601-2022")</f>
        <v/>
      </c>
      <c r="X15">
        <f>HYPERLINK("https://klasma.github.io/Logging_VASTERVIK/tillsyn/A 54601-2022.docx", "A 54601-2022")</f>
        <v/>
      </c>
      <c r="Y15">
        <f>HYPERLINK("https://klasma.github.io/Logging_VASTERVIK/tillsynsmail/A 54601-2022.docx", "A 54601-2022")</f>
        <v/>
      </c>
    </row>
    <row r="16" ht="15" customHeight="1">
      <c r="A16" t="inlineStr">
        <is>
          <t>A 56955-2022</t>
        </is>
      </c>
      <c r="B16" s="1" t="n">
        <v>44894</v>
      </c>
      <c r="C16" s="1" t="n">
        <v>45205</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HYPERLINK("https://klasma.github.io/Logging_HULTSFRED/artfynd/A 56955-2022.xlsx", "A 56955-2022")</f>
        <v/>
      </c>
      <c r="T16">
        <f>HYPERLINK("https://klasma.github.io/Logging_HULTSFRED/kartor/A 56955-2022.png", "A 56955-2022")</f>
        <v/>
      </c>
      <c r="U16">
        <f>HYPERLINK("https://klasma.github.io/Logging_HULTSFRED/knärot/A 56955-2022.png", "A 56955-2022")</f>
        <v/>
      </c>
      <c r="V16">
        <f>HYPERLINK("https://klasma.github.io/Logging_HULTSFRED/klagomål/A 56955-2022.docx", "A 56955-2022")</f>
        <v/>
      </c>
      <c r="W16">
        <f>HYPERLINK("https://klasma.github.io/Logging_HULTSFRED/klagomålsmail/A 56955-2022.docx", "A 56955-2022")</f>
        <v/>
      </c>
      <c r="X16">
        <f>HYPERLINK("https://klasma.github.io/Logging_HULTSFRED/tillsyn/A 56955-2022.docx", "A 56955-2022")</f>
        <v/>
      </c>
      <c r="Y16">
        <f>HYPERLINK("https://klasma.github.io/Logging_HULTSFRED/tillsynsmail/A 56955-2022.docx", "A 56955-2022")</f>
        <v/>
      </c>
    </row>
    <row r="17" ht="15" customHeight="1">
      <c r="A17" t="inlineStr">
        <is>
          <t>A 58937-2022</t>
        </is>
      </c>
      <c r="B17" s="1" t="n">
        <v>44896</v>
      </c>
      <c r="C17" s="1" t="n">
        <v>45205</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HYPERLINK("https://klasma.github.io/Logging_VASTERVIK/artfynd/A 58937-2022.xlsx", "A 58937-2022")</f>
        <v/>
      </c>
      <c r="T17">
        <f>HYPERLINK("https://klasma.github.io/Logging_VASTERVIK/kartor/A 58937-2022.png", "A 58937-2022")</f>
        <v/>
      </c>
      <c r="U17">
        <f>HYPERLINK("https://klasma.github.io/Logging_VASTERVIK/knärot/A 58937-2022.png", "A 58937-2022")</f>
        <v/>
      </c>
      <c r="V17">
        <f>HYPERLINK("https://klasma.github.io/Logging_VASTERVIK/klagomål/A 58937-2022.docx", "A 58937-2022")</f>
        <v/>
      </c>
      <c r="W17">
        <f>HYPERLINK("https://klasma.github.io/Logging_VASTERVIK/klagomålsmail/A 58937-2022.docx", "A 58937-2022")</f>
        <v/>
      </c>
      <c r="X17">
        <f>HYPERLINK("https://klasma.github.io/Logging_VASTERVIK/tillsyn/A 58937-2022.docx", "A 58937-2022")</f>
        <v/>
      </c>
      <c r="Y17">
        <f>HYPERLINK("https://klasma.github.io/Logging_VASTERVIK/tillsynsmail/A 58937-2022.docx", "A 58937-2022")</f>
        <v/>
      </c>
    </row>
    <row r="18" ht="15" customHeight="1">
      <c r="A18" t="inlineStr">
        <is>
          <t>A 44073-2019</t>
        </is>
      </c>
      <c r="B18" s="1" t="n">
        <v>43710</v>
      </c>
      <c r="C18" s="1" t="n">
        <v>45205</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HYPERLINK("https://klasma.github.io/Logging_OSKARSHAMN/artfynd/A 44073-2019.xlsx", "A 44073-2019")</f>
        <v/>
      </c>
      <c r="T18">
        <f>HYPERLINK("https://klasma.github.io/Logging_OSKARSHAMN/kartor/A 44073-2019.png", "A 44073-2019")</f>
        <v/>
      </c>
      <c r="U18">
        <f>HYPERLINK("https://klasma.github.io/Logging_OSKARSHAMN/knärot/A 44073-2019.png", "A 44073-2019")</f>
        <v/>
      </c>
      <c r="V18">
        <f>HYPERLINK("https://klasma.github.io/Logging_OSKARSHAMN/klagomål/A 44073-2019.docx", "A 44073-2019")</f>
        <v/>
      </c>
      <c r="W18">
        <f>HYPERLINK("https://klasma.github.io/Logging_OSKARSHAMN/klagomålsmail/A 44073-2019.docx", "A 44073-2019")</f>
        <v/>
      </c>
      <c r="X18">
        <f>HYPERLINK("https://klasma.github.io/Logging_OSKARSHAMN/tillsyn/A 44073-2019.docx", "A 44073-2019")</f>
        <v/>
      </c>
      <c r="Y18">
        <f>HYPERLINK("https://klasma.github.io/Logging_OSKARSHAMN/tillsynsmail/A 44073-2019.docx", "A 44073-2019")</f>
        <v/>
      </c>
    </row>
    <row r="19" ht="15" customHeight="1">
      <c r="A19" t="inlineStr">
        <is>
          <t>A 16212-2019</t>
        </is>
      </c>
      <c r="B19" s="1" t="n">
        <v>43544</v>
      </c>
      <c r="C19" s="1" t="n">
        <v>45205</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45205</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30779-2023</t>
        </is>
      </c>
      <c r="B21" s="1" t="n">
        <v>45112</v>
      </c>
      <c r="C21" s="1" t="n">
        <v>45205</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HYPERLINK("https://klasma.github.io/Logging_VASTERVIK/artfynd/A 30779-2023.xlsx", "A 30779-2023")</f>
        <v/>
      </c>
      <c r="T21">
        <f>HYPERLINK("https://klasma.github.io/Logging_VASTERVIK/kartor/A 30779-2023.png", "A 30779-2023")</f>
        <v/>
      </c>
      <c r="U21">
        <f>HYPERLINK("https://klasma.github.io/Logging_VASTERVIK/knärot/A 30779-2023.png", "A 30779-2023")</f>
        <v/>
      </c>
      <c r="V21">
        <f>HYPERLINK("https://klasma.github.io/Logging_VASTERVIK/klagomål/A 30779-2023.docx", "A 30779-2023")</f>
        <v/>
      </c>
      <c r="W21">
        <f>HYPERLINK("https://klasma.github.io/Logging_VASTERVIK/klagomålsmail/A 30779-2023.docx", "A 30779-2023")</f>
        <v/>
      </c>
      <c r="X21">
        <f>HYPERLINK("https://klasma.github.io/Logging_VASTERVIK/tillsyn/A 30779-2023.docx", "A 30779-2023")</f>
        <v/>
      </c>
      <c r="Y21">
        <f>HYPERLINK("https://klasma.github.io/Logging_VASTERVIK/tillsynsmail/A 30779-2023.docx", "A 30779-2023")</f>
        <v/>
      </c>
    </row>
    <row r="22" ht="15" customHeight="1">
      <c r="A22" t="inlineStr">
        <is>
          <t>A 21924-2019</t>
        </is>
      </c>
      <c r="B22" s="1" t="n">
        <v>43584</v>
      </c>
      <c r="C22" s="1" t="n">
        <v>45205</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HYPERLINK("https://klasma.github.io/Logging_MONSTERAS/artfynd/A 21924-2019.xlsx", "A 21924-2019")</f>
        <v/>
      </c>
      <c r="T22">
        <f>HYPERLINK("https://klasma.github.io/Logging_MONSTERAS/kartor/A 21924-2019.png", "A 21924-2019")</f>
        <v/>
      </c>
      <c r="V22">
        <f>HYPERLINK("https://klasma.github.io/Logging_MONSTERAS/klagomål/A 21924-2019.docx", "A 21924-2019")</f>
        <v/>
      </c>
      <c r="W22">
        <f>HYPERLINK("https://klasma.github.io/Logging_MONSTERAS/klagomålsmail/A 21924-2019.docx", "A 21924-2019")</f>
        <v/>
      </c>
      <c r="X22">
        <f>HYPERLINK("https://klasma.github.io/Logging_MONSTERAS/tillsyn/A 21924-2019.docx", "A 21924-2019")</f>
        <v/>
      </c>
      <c r="Y22">
        <f>HYPERLINK("https://klasma.github.io/Logging_MONSTERAS/tillsynsmail/A 21924-2019.docx", "A 21924-2019")</f>
        <v/>
      </c>
    </row>
    <row r="23" ht="15" customHeight="1">
      <c r="A23" t="inlineStr">
        <is>
          <t>A 61460-2019</t>
        </is>
      </c>
      <c r="B23" s="1" t="n">
        <v>43783</v>
      </c>
      <c r="C23" s="1" t="n">
        <v>45205</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HYPERLINK("https://klasma.github.io/Logging_VIMMERBY/artfynd/A 61460-2019.xlsx", "A 61460-2019")</f>
        <v/>
      </c>
      <c r="T23">
        <f>HYPERLINK("https://klasma.github.io/Logging_VIMMERBY/kartor/A 61460-2019.png", "A 61460-2019")</f>
        <v/>
      </c>
      <c r="U23">
        <f>HYPERLINK("https://klasma.github.io/Logging_VIMMERBY/knärot/A 61460-2019.png", "A 61460-2019")</f>
        <v/>
      </c>
      <c r="V23">
        <f>HYPERLINK("https://klasma.github.io/Logging_VIMMERBY/klagomål/A 61460-2019.docx", "A 61460-2019")</f>
        <v/>
      </c>
      <c r="W23">
        <f>HYPERLINK("https://klasma.github.io/Logging_VIMMERBY/klagomålsmail/A 61460-2019.docx", "A 61460-2019")</f>
        <v/>
      </c>
      <c r="X23">
        <f>HYPERLINK("https://klasma.github.io/Logging_VIMMERBY/tillsyn/A 61460-2019.docx", "A 61460-2019")</f>
        <v/>
      </c>
      <c r="Y23">
        <f>HYPERLINK("https://klasma.github.io/Logging_VIMMERBY/tillsynsmail/A 61460-2019.docx", "A 61460-2019")</f>
        <v/>
      </c>
    </row>
    <row r="24" ht="15" customHeight="1">
      <c r="A24" t="inlineStr">
        <is>
          <t>A 7757-2021</t>
        </is>
      </c>
      <c r="B24" s="1" t="n">
        <v>44239</v>
      </c>
      <c r="C24" s="1" t="n">
        <v>45205</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HYPERLINK("https://klasma.github.io/Logging_VASTERVIK/artfynd/A 7757-2021.xlsx", "A 7757-2021")</f>
        <v/>
      </c>
      <c r="T24">
        <f>HYPERLINK("https://klasma.github.io/Logging_VASTERVIK/kartor/A 7757-2021.png", "A 7757-2021")</f>
        <v/>
      </c>
      <c r="U24">
        <f>HYPERLINK("https://klasma.github.io/Logging_VASTERVIK/knärot/A 7757-2021.png", "A 7757-2021")</f>
        <v/>
      </c>
      <c r="V24">
        <f>HYPERLINK("https://klasma.github.io/Logging_VASTERVIK/klagomål/A 7757-2021.docx", "A 7757-2021")</f>
        <v/>
      </c>
      <c r="W24">
        <f>HYPERLINK("https://klasma.github.io/Logging_VASTERVIK/klagomålsmail/A 7757-2021.docx", "A 7757-2021")</f>
        <v/>
      </c>
      <c r="X24">
        <f>HYPERLINK("https://klasma.github.io/Logging_VASTERVIK/tillsyn/A 7757-2021.docx", "A 7757-2021")</f>
        <v/>
      </c>
      <c r="Y24">
        <f>HYPERLINK("https://klasma.github.io/Logging_VASTERVIK/tillsynsmail/A 7757-2021.docx", "A 7757-2021")</f>
        <v/>
      </c>
    </row>
    <row r="25" ht="15" customHeight="1">
      <c r="A25" t="inlineStr">
        <is>
          <t>A 8576-2021</t>
        </is>
      </c>
      <c r="B25" s="1" t="n">
        <v>44245</v>
      </c>
      <c r="C25" s="1" t="n">
        <v>45205</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HYPERLINK("https://klasma.github.io/Logging_KALMAR/artfynd/A 8576-2021.xlsx", "A 8576-2021")</f>
        <v/>
      </c>
      <c r="T25">
        <f>HYPERLINK("https://klasma.github.io/Logging_KALMAR/kartor/A 8576-2021.png", "A 8576-2021")</f>
        <v/>
      </c>
      <c r="U25">
        <f>HYPERLINK("https://klasma.github.io/Logging_KALMAR/knärot/A 8576-2021.png", "A 8576-2021")</f>
        <v/>
      </c>
      <c r="V25">
        <f>HYPERLINK("https://klasma.github.io/Logging_KALMAR/klagomål/A 8576-2021.docx", "A 8576-2021")</f>
        <v/>
      </c>
      <c r="W25">
        <f>HYPERLINK("https://klasma.github.io/Logging_KALMAR/klagomålsmail/A 8576-2021.docx", "A 8576-2021")</f>
        <v/>
      </c>
      <c r="X25">
        <f>HYPERLINK("https://klasma.github.io/Logging_KALMAR/tillsyn/A 8576-2021.docx", "A 8576-2021")</f>
        <v/>
      </c>
      <c r="Y25">
        <f>HYPERLINK("https://klasma.github.io/Logging_KALMAR/tillsynsmail/A 8576-2021.docx", "A 8576-2021")</f>
        <v/>
      </c>
    </row>
    <row r="26" ht="15" customHeight="1">
      <c r="A26" t="inlineStr">
        <is>
          <t>A 23370-2021</t>
        </is>
      </c>
      <c r="B26" s="1" t="n">
        <v>44336</v>
      </c>
      <c r="C26" s="1" t="n">
        <v>45205</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HYPERLINK("https://klasma.github.io/Logging_BORGHOLM/artfynd/A 23370-2021.xlsx", "A 23370-2021")</f>
        <v/>
      </c>
      <c r="T26">
        <f>HYPERLINK("https://klasma.github.io/Logging_BORGHOLM/kartor/A 23370-2021.png", "A 23370-2021")</f>
        <v/>
      </c>
      <c r="V26">
        <f>HYPERLINK("https://klasma.github.io/Logging_BORGHOLM/klagomål/A 23370-2021.docx", "A 23370-2021")</f>
        <v/>
      </c>
      <c r="W26">
        <f>HYPERLINK("https://klasma.github.io/Logging_BORGHOLM/klagomålsmail/A 23370-2021.docx", "A 23370-2021")</f>
        <v/>
      </c>
      <c r="X26">
        <f>HYPERLINK("https://klasma.github.io/Logging_BORGHOLM/tillsyn/A 23370-2021.docx", "A 23370-2021")</f>
        <v/>
      </c>
      <c r="Y26">
        <f>HYPERLINK("https://klasma.github.io/Logging_BORGHOLM/tillsynsmail/A 23370-2021.docx", "A 23370-2021")</f>
        <v/>
      </c>
    </row>
    <row r="27" ht="15" customHeight="1">
      <c r="A27" t="inlineStr">
        <is>
          <t>A 37023-2021</t>
        </is>
      </c>
      <c r="B27" s="1" t="n">
        <v>44393</v>
      </c>
      <c r="C27" s="1" t="n">
        <v>45205</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HYPERLINK("https://klasma.github.io/Logging_VASTERVIK/artfynd/A 37023-2021.xlsx", "A 37023-2021")</f>
        <v/>
      </c>
      <c r="T27">
        <f>HYPERLINK("https://klasma.github.io/Logging_VASTERVIK/kartor/A 37023-2021.png", "A 37023-2021")</f>
        <v/>
      </c>
      <c r="U27">
        <f>HYPERLINK("https://klasma.github.io/Logging_VASTERVIK/knärot/A 37023-2021.png", "A 37023-2021")</f>
        <v/>
      </c>
      <c r="V27">
        <f>HYPERLINK("https://klasma.github.io/Logging_VASTERVIK/klagomål/A 37023-2021.docx", "A 37023-2021")</f>
        <v/>
      </c>
      <c r="W27">
        <f>HYPERLINK("https://klasma.github.io/Logging_VASTERVIK/klagomålsmail/A 37023-2021.docx", "A 37023-2021")</f>
        <v/>
      </c>
      <c r="X27">
        <f>HYPERLINK("https://klasma.github.io/Logging_VASTERVIK/tillsyn/A 37023-2021.docx", "A 37023-2021")</f>
        <v/>
      </c>
      <c r="Y27">
        <f>HYPERLINK("https://klasma.github.io/Logging_VASTERVIK/tillsynsmail/A 37023-2021.docx", "A 37023-2021")</f>
        <v/>
      </c>
    </row>
    <row r="28" ht="15" customHeight="1">
      <c r="A28" t="inlineStr">
        <is>
          <t>A 17146-2020</t>
        </is>
      </c>
      <c r="B28" s="1" t="n">
        <v>43922</v>
      </c>
      <c r="C28" s="1" t="n">
        <v>45205</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HYPERLINK("https://klasma.github.io/Logging_TORSAS/artfynd/A 17146-2020.xlsx", "A 17146-2020")</f>
        <v/>
      </c>
      <c r="T28">
        <f>HYPERLINK("https://klasma.github.io/Logging_TORSAS/kartor/A 17146-2020.png", "A 17146-2020")</f>
        <v/>
      </c>
      <c r="U28">
        <f>HYPERLINK("https://klasma.github.io/Logging_TORSAS/knärot/A 17146-2020.png", "A 17146-2020")</f>
        <v/>
      </c>
      <c r="V28">
        <f>HYPERLINK("https://klasma.github.io/Logging_TORSAS/klagomål/A 17146-2020.docx", "A 17146-2020")</f>
        <v/>
      </c>
      <c r="W28">
        <f>HYPERLINK("https://klasma.github.io/Logging_TORSAS/klagomålsmail/A 17146-2020.docx", "A 17146-2020")</f>
        <v/>
      </c>
      <c r="X28">
        <f>HYPERLINK("https://klasma.github.io/Logging_TORSAS/tillsyn/A 17146-2020.docx", "A 17146-2020")</f>
        <v/>
      </c>
      <c r="Y28">
        <f>HYPERLINK("https://klasma.github.io/Logging_TORSAS/tillsynsmail/A 17146-2020.docx", "A 17146-2020")</f>
        <v/>
      </c>
    </row>
    <row r="29" ht="15" customHeight="1">
      <c r="A29" t="inlineStr">
        <is>
          <t>A 66612-2020</t>
        </is>
      </c>
      <c r="B29" s="1" t="n">
        <v>44175</v>
      </c>
      <c r="C29" s="1" t="n">
        <v>45205</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HYPERLINK("https://klasma.github.io/Logging_HULTSFRED/artfynd/A 66612-2020.xlsx", "A 66612-2020")</f>
        <v/>
      </c>
      <c r="T29">
        <f>HYPERLINK("https://klasma.github.io/Logging_HULTSFRED/kartor/A 66612-2020.png", "A 66612-2020")</f>
        <v/>
      </c>
      <c r="U29">
        <f>HYPERLINK("https://klasma.github.io/Logging_HULTSFRED/knärot/A 66612-2020.png", "A 66612-2020")</f>
        <v/>
      </c>
      <c r="V29">
        <f>HYPERLINK("https://klasma.github.io/Logging_HULTSFRED/klagomål/A 66612-2020.docx", "A 66612-2020")</f>
        <v/>
      </c>
      <c r="W29">
        <f>HYPERLINK("https://klasma.github.io/Logging_HULTSFRED/klagomålsmail/A 66612-2020.docx", "A 66612-2020")</f>
        <v/>
      </c>
      <c r="X29">
        <f>HYPERLINK("https://klasma.github.io/Logging_HULTSFRED/tillsyn/A 66612-2020.docx", "A 66612-2020")</f>
        <v/>
      </c>
      <c r="Y29">
        <f>HYPERLINK("https://klasma.github.io/Logging_HULTSFRED/tillsynsmail/A 66612-2020.docx", "A 66612-2020")</f>
        <v/>
      </c>
    </row>
    <row r="30" ht="15" customHeight="1">
      <c r="A30" t="inlineStr">
        <is>
          <t>A 33827-2021</t>
        </is>
      </c>
      <c r="B30" s="1" t="n">
        <v>44378</v>
      </c>
      <c r="C30" s="1" t="n">
        <v>45205</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HYPERLINK("https://klasma.github.io/Logging_HOGSBY/artfynd/A 33827-2021.xlsx", "A 33827-2021")</f>
        <v/>
      </c>
      <c r="T30">
        <f>HYPERLINK("https://klasma.github.io/Logging_HOGSBY/kartor/A 33827-2021.png", "A 33827-2021")</f>
        <v/>
      </c>
      <c r="V30">
        <f>HYPERLINK("https://klasma.github.io/Logging_HOGSBY/klagomål/A 33827-2021.docx", "A 33827-2021")</f>
        <v/>
      </c>
      <c r="W30">
        <f>HYPERLINK("https://klasma.github.io/Logging_HOGSBY/klagomålsmail/A 33827-2021.docx", "A 33827-2021")</f>
        <v/>
      </c>
      <c r="X30">
        <f>HYPERLINK("https://klasma.github.io/Logging_HOGSBY/tillsyn/A 33827-2021.docx", "A 33827-2021")</f>
        <v/>
      </c>
      <c r="Y30">
        <f>HYPERLINK("https://klasma.github.io/Logging_HOGSBY/tillsynsmail/A 33827-2021.docx", "A 33827-2021")</f>
        <v/>
      </c>
    </row>
    <row r="31" ht="15" customHeight="1">
      <c r="A31" t="inlineStr">
        <is>
          <t>A 39600-2021</t>
        </is>
      </c>
      <c r="B31" s="1" t="n">
        <v>44413</v>
      </c>
      <c r="C31" s="1" t="n">
        <v>45205</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HYPERLINK("https://klasma.github.io/Logging_OSKARSHAMN/artfynd/A 39600-2021.xlsx", "A 39600-2021")</f>
        <v/>
      </c>
      <c r="T31">
        <f>HYPERLINK("https://klasma.github.io/Logging_OSKARSHAMN/kartor/A 39600-2021.png", "A 39600-2021")</f>
        <v/>
      </c>
      <c r="U31">
        <f>HYPERLINK("https://klasma.github.io/Logging_OSKARSHAMN/knärot/A 39600-2021.png", "A 39600-2021")</f>
        <v/>
      </c>
      <c r="V31">
        <f>HYPERLINK("https://klasma.github.io/Logging_OSKARSHAMN/klagomål/A 39600-2021.docx", "A 39600-2021")</f>
        <v/>
      </c>
      <c r="W31">
        <f>HYPERLINK("https://klasma.github.io/Logging_OSKARSHAMN/klagomålsmail/A 39600-2021.docx", "A 39600-2021")</f>
        <v/>
      </c>
      <c r="X31">
        <f>HYPERLINK("https://klasma.github.io/Logging_OSKARSHAMN/tillsyn/A 39600-2021.docx", "A 39600-2021")</f>
        <v/>
      </c>
      <c r="Y31">
        <f>HYPERLINK("https://klasma.github.io/Logging_OSKARSHAMN/tillsynsmail/A 39600-2021.docx", "A 39600-2021")</f>
        <v/>
      </c>
    </row>
    <row r="32" ht="15" customHeight="1">
      <c r="A32" t="inlineStr">
        <is>
          <t>A 44969-2021</t>
        </is>
      </c>
      <c r="B32" s="1" t="n">
        <v>44438</v>
      </c>
      <c r="C32" s="1" t="n">
        <v>45205</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HYPERLINK("https://klasma.github.io/Logging_HOGSBY/artfynd/A 44969-2021.xlsx", "A 44969-2021")</f>
        <v/>
      </c>
      <c r="T32">
        <f>HYPERLINK("https://klasma.github.io/Logging_HOGSBY/kartor/A 44969-2021.png", "A 44969-2021")</f>
        <v/>
      </c>
      <c r="V32">
        <f>HYPERLINK("https://klasma.github.io/Logging_HOGSBY/klagomål/A 44969-2021.docx", "A 44969-2021")</f>
        <v/>
      </c>
      <c r="W32">
        <f>HYPERLINK("https://klasma.github.io/Logging_HOGSBY/klagomålsmail/A 44969-2021.docx", "A 44969-2021")</f>
        <v/>
      </c>
      <c r="X32">
        <f>HYPERLINK("https://klasma.github.io/Logging_HOGSBY/tillsyn/A 44969-2021.docx", "A 44969-2021")</f>
        <v/>
      </c>
      <c r="Y32">
        <f>HYPERLINK("https://klasma.github.io/Logging_HOGSBY/tillsynsmail/A 44969-2021.docx", "A 44969-2021")</f>
        <v/>
      </c>
    </row>
    <row r="33" ht="15" customHeight="1">
      <c r="A33" t="inlineStr">
        <is>
          <t>A 33061-2022</t>
        </is>
      </c>
      <c r="B33" s="1" t="n">
        <v>44785</v>
      </c>
      <c r="C33" s="1" t="n">
        <v>45205</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HYPERLINK("https://klasma.github.io/Logging_KALMAR/artfynd/A 33061-2022.xlsx", "A 33061-2022")</f>
        <v/>
      </c>
      <c r="T33">
        <f>HYPERLINK("https://klasma.github.io/Logging_KALMAR/kartor/A 33061-2022.png", "A 33061-2022")</f>
        <v/>
      </c>
      <c r="U33">
        <f>HYPERLINK("https://klasma.github.io/Logging_KALMAR/knärot/A 33061-2022.png", "A 33061-2022")</f>
        <v/>
      </c>
      <c r="V33">
        <f>HYPERLINK("https://klasma.github.io/Logging_KALMAR/klagomål/A 33061-2022.docx", "A 33061-2022")</f>
        <v/>
      </c>
      <c r="W33">
        <f>HYPERLINK("https://klasma.github.io/Logging_KALMAR/klagomålsmail/A 33061-2022.docx", "A 33061-2022")</f>
        <v/>
      </c>
      <c r="X33">
        <f>HYPERLINK("https://klasma.github.io/Logging_KALMAR/tillsyn/A 33061-2022.docx", "A 33061-2022")</f>
        <v/>
      </c>
      <c r="Y33">
        <f>HYPERLINK("https://klasma.github.io/Logging_KALMAR/tillsynsmail/A 33061-2022.docx", "A 33061-2022")</f>
        <v/>
      </c>
    </row>
    <row r="34" ht="15" customHeight="1">
      <c r="A34" t="inlineStr">
        <is>
          <t>A 7689-2019</t>
        </is>
      </c>
      <c r="B34" s="1" t="n">
        <v>43500</v>
      </c>
      <c r="C34" s="1" t="n">
        <v>45205</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HYPERLINK("https://klasma.github.io/Logging_HOGSBY/artfynd/A 7689-2019.xlsx", "A 7689-2019")</f>
        <v/>
      </c>
      <c r="T34">
        <f>HYPERLINK("https://klasma.github.io/Logging_HOGSBY/kartor/A 7689-2019.png", "A 7689-2019")</f>
        <v/>
      </c>
      <c r="U34">
        <f>HYPERLINK("https://klasma.github.io/Logging_HOGSBY/knärot/A 7689-2019.png", "A 7689-2019")</f>
        <v/>
      </c>
      <c r="V34">
        <f>HYPERLINK("https://klasma.github.io/Logging_HOGSBY/klagomål/A 7689-2019.docx", "A 7689-2019")</f>
        <v/>
      </c>
      <c r="W34">
        <f>HYPERLINK("https://klasma.github.io/Logging_HOGSBY/klagomålsmail/A 7689-2019.docx", "A 7689-2019")</f>
        <v/>
      </c>
      <c r="X34">
        <f>HYPERLINK("https://klasma.github.io/Logging_HOGSBY/tillsyn/A 7689-2019.docx", "A 7689-2019")</f>
        <v/>
      </c>
      <c r="Y34">
        <f>HYPERLINK("https://klasma.github.io/Logging_HOGSBY/tillsynsmail/A 7689-2019.docx", "A 7689-2019")</f>
        <v/>
      </c>
    </row>
    <row r="35" ht="15" customHeight="1">
      <c r="A35" t="inlineStr">
        <is>
          <t>A 14713-2020</t>
        </is>
      </c>
      <c r="B35" s="1" t="n">
        <v>43909</v>
      </c>
      <c r="C35" s="1" t="n">
        <v>45205</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HYPERLINK("https://klasma.github.io/Logging_BORGHOLM/artfynd/A 14713-2020.xlsx", "A 14713-2020")</f>
        <v/>
      </c>
      <c r="T35">
        <f>HYPERLINK("https://klasma.github.io/Logging_BORGHOLM/kartor/A 14713-2020.png", "A 14713-2020")</f>
        <v/>
      </c>
      <c r="V35">
        <f>HYPERLINK("https://klasma.github.io/Logging_BORGHOLM/klagomål/A 14713-2020.docx", "A 14713-2020")</f>
        <v/>
      </c>
      <c r="W35">
        <f>HYPERLINK("https://klasma.github.io/Logging_BORGHOLM/klagomålsmail/A 14713-2020.docx", "A 14713-2020")</f>
        <v/>
      </c>
      <c r="X35">
        <f>HYPERLINK("https://klasma.github.io/Logging_BORGHOLM/tillsyn/A 14713-2020.docx", "A 14713-2020")</f>
        <v/>
      </c>
      <c r="Y35">
        <f>HYPERLINK("https://klasma.github.io/Logging_BORGHOLM/tillsynsmail/A 14713-2020.docx", "A 14713-2020")</f>
        <v/>
      </c>
    </row>
    <row r="36" ht="15" customHeight="1">
      <c r="A36" t="inlineStr">
        <is>
          <t>A 65163-2020</t>
        </is>
      </c>
      <c r="B36" s="1" t="n">
        <v>44172</v>
      </c>
      <c r="C36" s="1" t="n">
        <v>45205</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HYPERLINK("https://klasma.github.io/Logging_MORBYLANGA/artfynd/A 65163-2020.xlsx", "A 65163-2020")</f>
        <v/>
      </c>
      <c r="T36">
        <f>HYPERLINK("https://klasma.github.io/Logging_MORBYLANGA/kartor/A 65163-2020.png", "A 65163-2020")</f>
        <v/>
      </c>
      <c r="V36">
        <f>HYPERLINK("https://klasma.github.io/Logging_MORBYLANGA/klagomål/A 65163-2020.docx", "A 65163-2020")</f>
        <v/>
      </c>
      <c r="W36">
        <f>HYPERLINK("https://klasma.github.io/Logging_MORBYLANGA/klagomålsmail/A 65163-2020.docx", "A 65163-2020")</f>
        <v/>
      </c>
      <c r="X36">
        <f>HYPERLINK("https://klasma.github.io/Logging_MORBYLANGA/tillsyn/A 65163-2020.docx", "A 65163-2020")</f>
        <v/>
      </c>
      <c r="Y36">
        <f>HYPERLINK("https://klasma.github.io/Logging_MORBYLANGA/tillsynsmail/A 65163-2020.docx", "A 65163-2020")</f>
        <v/>
      </c>
    </row>
    <row r="37" ht="15" customHeight="1">
      <c r="A37" t="inlineStr">
        <is>
          <t>A 67432-2021</t>
        </is>
      </c>
      <c r="B37" s="1" t="n">
        <v>44523</v>
      </c>
      <c r="C37" s="1" t="n">
        <v>45205</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HYPERLINK("https://klasma.github.io/Logging_BORGHOLM/artfynd/A 67432-2021.xlsx", "A 67432-2021")</f>
        <v/>
      </c>
      <c r="T37">
        <f>HYPERLINK("https://klasma.github.io/Logging_BORGHOLM/kartor/A 67432-2021.png", "A 67432-2021")</f>
        <v/>
      </c>
      <c r="V37">
        <f>HYPERLINK("https://klasma.github.io/Logging_BORGHOLM/klagomål/A 67432-2021.docx", "A 67432-2021")</f>
        <v/>
      </c>
      <c r="W37">
        <f>HYPERLINK("https://klasma.github.io/Logging_BORGHOLM/klagomålsmail/A 67432-2021.docx", "A 67432-2021")</f>
        <v/>
      </c>
      <c r="X37">
        <f>HYPERLINK("https://klasma.github.io/Logging_BORGHOLM/tillsyn/A 67432-2021.docx", "A 67432-2021")</f>
        <v/>
      </c>
      <c r="Y37">
        <f>HYPERLINK("https://klasma.github.io/Logging_BORGHOLM/tillsynsmail/A 67432-2021.docx", "A 67432-2021")</f>
        <v/>
      </c>
    </row>
    <row r="38" ht="15" customHeight="1">
      <c r="A38" t="inlineStr">
        <is>
          <t>A 51920-2018</t>
        </is>
      </c>
      <c r="B38" s="1" t="n">
        <v>43382</v>
      </c>
      <c r="C38" s="1" t="n">
        <v>45205</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HYPERLINK("https://klasma.github.io/Logging_HOGSBY/artfynd/A 51920-2018.xlsx", "A 51920-2018")</f>
        <v/>
      </c>
      <c r="T38">
        <f>HYPERLINK("https://klasma.github.io/Logging_HOGSBY/kartor/A 51920-2018.png", "A 51920-2018")</f>
        <v/>
      </c>
      <c r="V38">
        <f>HYPERLINK("https://klasma.github.io/Logging_HOGSBY/klagomål/A 51920-2018.docx", "A 51920-2018")</f>
        <v/>
      </c>
      <c r="W38">
        <f>HYPERLINK("https://klasma.github.io/Logging_HOGSBY/klagomålsmail/A 51920-2018.docx", "A 51920-2018")</f>
        <v/>
      </c>
      <c r="X38">
        <f>HYPERLINK("https://klasma.github.io/Logging_HOGSBY/tillsyn/A 51920-2018.docx", "A 51920-2018")</f>
        <v/>
      </c>
      <c r="Y38">
        <f>HYPERLINK("https://klasma.github.io/Logging_HOGSBY/tillsynsmail/A 51920-2018.docx", "A 51920-2018")</f>
        <v/>
      </c>
    </row>
    <row r="39" ht="15" customHeight="1">
      <c r="A39" t="inlineStr">
        <is>
          <t>A 66041-2018</t>
        </is>
      </c>
      <c r="B39" s="1" t="n">
        <v>43434</v>
      </c>
      <c r="C39" s="1" t="n">
        <v>45205</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HYPERLINK("https://klasma.github.io/Logging_MORBYLANGA/artfynd/A 66041-2018.xlsx", "A 66041-2018")</f>
        <v/>
      </c>
      <c r="T39">
        <f>HYPERLINK("https://klasma.github.io/Logging_MORBYLANGA/kartor/A 66041-2018.png", "A 66041-2018")</f>
        <v/>
      </c>
      <c r="V39">
        <f>HYPERLINK("https://klasma.github.io/Logging_MORBYLANGA/klagomål/A 66041-2018.docx", "A 66041-2018")</f>
        <v/>
      </c>
      <c r="W39">
        <f>HYPERLINK("https://klasma.github.io/Logging_MORBYLANGA/klagomålsmail/A 66041-2018.docx", "A 66041-2018")</f>
        <v/>
      </c>
      <c r="X39">
        <f>HYPERLINK("https://klasma.github.io/Logging_MORBYLANGA/tillsyn/A 66041-2018.docx", "A 66041-2018")</f>
        <v/>
      </c>
      <c r="Y39">
        <f>HYPERLINK("https://klasma.github.io/Logging_MORBYLANGA/tillsynsmail/A 66041-2018.docx", "A 66041-2018")</f>
        <v/>
      </c>
    </row>
    <row r="40" ht="15" customHeight="1">
      <c r="A40" t="inlineStr">
        <is>
          <t>A 20822-2019</t>
        </is>
      </c>
      <c r="B40" s="1" t="n">
        <v>43573</v>
      </c>
      <c r="C40" s="1" t="n">
        <v>45205</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HYPERLINK("https://klasma.github.io/Logging_HOGSBY/artfynd/A 20822-2019.xlsx", "A 20822-2019")</f>
        <v/>
      </c>
      <c r="T40">
        <f>HYPERLINK("https://klasma.github.io/Logging_HOGSBY/kartor/A 20822-2019.png", "A 20822-2019")</f>
        <v/>
      </c>
      <c r="U40">
        <f>HYPERLINK("https://klasma.github.io/Logging_HOGSBY/knärot/A 20822-2019.png", "A 20822-2019")</f>
        <v/>
      </c>
      <c r="V40">
        <f>HYPERLINK("https://klasma.github.io/Logging_HOGSBY/klagomål/A 20822-2019.docx", "A 20822-2019")</f>
        <v/>
      </c>
      <c r="W40">
        <f>HYPERLINK("https://klasma.github.io/Logging_HOGSBY/klagomålsmail/A 20822-2019.docx", "A 20822-2019")</f>
        <v/>
      </c>
      <c r="X40">
        <f>HYPERLINK("https://klasma.github.io/Logging_HOGSBY/tillsyn/A 20822-2019.docx", "A 20822-2019")</f>
        <v/>
      </c>
      <c r="Y40">
        <f>HYPERLINK("https://klasma.github.io/Logging_HOGSBY/tillsynsmail/A 20822-2019.docx", "A 20822-2019")</f>
        <v/>
      </c>
    </row>
    <row r="41" ht="15" customHeight="1">
      <c r="A41" t="inlineStr">
        <is>
          <t>A 63105-2019</t>
        </is>
      </c>
      <c r="B41" s="1" t="n">
        <v>43791</v>
      </c>
      <c r="C41" s="1" t="n">
        <v>45205</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HYPERLINK("https://klasma.github.io/Logging_VASTERVIK/artfynd/A 63105-2019.xlsx", "A 63105-2019")</f>
        <v/>
      </c>
      <c r="T41">
        <f>HYPERLINK("https://klasma.github.io/Logging_VASTERVIK/kartor/A 63105-2019.png", "A 63105-2019")</f>
        <v/>
      </c>
      <c r="V41">
        <f>HYPERLINK("https://klasma.github.io/Logging_VASTERVIK/klagomål/A 63105-2019.docx", "A 63105-2019")</f>
        <v/>
      </c>
      <c r="W41">
        <f>HYPERLINK("https://klasma.github.io/Logging_VASTERVIK/klagomålsmail/A 63105-2019.docx", "A 63105-2019")</f>
        <v/>
      </c>
      <c r="X41">
        <f>HYPERLINK("https://klasma.github.io/Logging_VASTERVIK/tillsyn/A 63105-2019.docx", "A 63105-2019")</f>
        <v/>
      </c>
      <c r="Y41">
        <f>HYPERLINK("https://klasma.github.io/Logging_VASTERVIK/tillsynsmail/A 63105-2019.docx", "A 63105-2019")</f>
        <v/>
      </c>
    </row>
    <row r="42" ht="15" customHeight="1">
      <c r="A42" t="inlineStr">
        <is>
          <t>A 60579-2020</t>
        </is>
      </c>
      <c r="B42" s="1" t="n">
        <v>44153</v>
      </c>
      <c r="C42" s="1" t="n">
        <v>45205</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HYPERLINK("https://klasma.github.io/Logging_OSKARSHAMN/artfynd/A 60579-2020.xlsx", "A 60579-2020")</f>
        <v/>
      </c>
      <c r="T42">
        <f>HYPERLINK("https://klasma.github.io/Logging_OSKARSHAMN/kartor/A 60579-2020.png", "A 60579-2020")</f>
        <v/>
      </c>
      <c r="V42">
        <f>HYPERLINK("https://klasma.github.io/Logging_OSKARSHAMN/klagomål/A 60579-2020.docx", "A 60579-2020")</f>
        <v/>
      </c>
      <c r="W42">
        <f>HYPERLINK("https://klasma.github.io/Logging_OSKARSHAMN/klagomålsmail/A 60579-2020.docx", "A 60579-2020")</f>
        <v/>
      </c>
      <c r="X42">
        <f>HYPERLINK("https://klasma.github.io/Logging_OSKARSHAMN/tillsyn/A 60579-2020.docx", "A 60579-2020")</f>
        <v/>
      </c>
      <c r="Y42">
        <f>HYPERLINK("https://klasma.github.io/Logging_OSKARSHAMN/tillsynsmail/A 60579-2020.docx", "A 60579-2020")</f>
        <v/>
      </c>
    </row>
    <row r="43" ht="15" customHeight="1">
      <c r="A43" t="inlineStr">
        <is>
          <t>A 63570-2020</t>
        </is>
      </c>
      <c r="B43" s="1" t="n">
        <v>44165</v>
      </c>
      <c r="C43" s="1" t="n">
        <v>45205</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HYPERLINK("https://klasma.github.io/Logging_OSKARSHAMN/artfynd/A 63570-2020.xlsx", "A 63570-2020")</f>
        <v/>
      </c>
      <c r="T43">
        <f>HYPERLINK("https://klasma.github.io/Logging_OSKARSHAMN/kartor/A 63570-2020.png", "A 63570-2020")</f>
        <v/>
      </c>
      <c r="V43">
        <f>HYPERLINK("https://klasma.github.io/Logging_OSKARSHAMN/klagomål/A 63570-2020.docx", "A 63570-2020")</f>
        <v/>
      </c>
      <c r="W43">
        <f>HYPERLINK("https://klasma.github.io/Logging_OSKARSHAMN/klagomålsmail/A 63570-2020.docx", "A 63570-2020")</f>
        <v/>
      </c>
      <c r="X43">
        <f>HYPERLINK("https://klasma.github.io/Logging_OSKARSHAMN/tillsyn/A 63570-2020.docx", "A 63570-2020")</f>
        <v/>
      </c>
      <c r="Y43">
        <f>HYPERLINK("https://klasma.github.io/Logging_OSKARSHAMN/tillsynsmail/A 63570-2020.docx", "A 63570-2020")</f>
        <v/>
      </c>
    </row>
    <row r="44" ht="15" customHeight="1">
      <c r="A44" t="inlineStr">
        <is>
          <t>A 15252-2021</t>
        </is>
      </c>
      <c r="B44" s="1" t="n">
        <v>44284</v>
      </c>
      <c r="C44" s="1" t="n">
        <v>45205</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HYPERLINK("https://klasma.github.io/Logging_VASTERVIK/artfynd/A 15252-2021.xlsx", "A 15252-2021")</f>
        <v/>
      </c>
      <c r="T44">
        <f>HYPERLINK("https://klasma.github.io/Logging_VASTERVIK/kartor/A 15252-2021.png", "A 15252-2021")</f>
        <v/>
      </c>
      <c r="U44">
        <f>HYPERLINK("https://klasma.github.io/Logging_VASTERVIK/knärot/A 15252-2021.png", "A 15252-2021")</f>
        <v/>
      </c>
      <c r="V44">
        <f>HYPERLINK("https://klasma.github.io/Logging_VASTERVIK/klagomål/A 15252-2021.docx", "A 15252-2021")</f>
        <v/>
      </c>
      <c r="W44">
        <f>HYPERLINK("https://klasma.github.io/Logging_VASTERVIK/klagomålsmail/A 15252-2021.docx", "A 15252-2021")</f>
        <v/>
      </c>
      <c r="X44">
        <f>HYPERLINK("https://klasma.github.io/Logging_VASTERVIK/tillsyn/A 15252-2021.docx", "A 15252-2021")</f>
        <v/>
      </c>
      <c r="Y44">
        <f>HYPERLINK("https://klasma.github.io/Logging_VASTERVIK/tillsynsmail/A 15252-2021.docx", "A 15252-2021")</f>
        <v/>
      </c>
    </row>
    <row r="45" ht="15" customHeight="1">
      <c r="A45" t="inlineStr">
        <is>
          <t>A 37421-2022</t>
        </is>
      </c>
      <c r="B45" s="1" t="n">
        <v>44809</v>
      </c>
      <c r="C45" s="1" t="n">
        <v>45205</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45205</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45205</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45205</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45205</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45205</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45205</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45205</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45205</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45205</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45205</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45205</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45205</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45205</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45205</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45205</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45205</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45205</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45205</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45205</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45205</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45205</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45205</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45205</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45205</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45205</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45205</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45205</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45205</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45205</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45205</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45205</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45205</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45205</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45205</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45205</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45205</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45095-2021</t>
        </is>
      </c>
      <c r="B82" s="1" t="n">
        <v>44439</v>
      </c>
      <c r="C82" s="1" t="n">
        <v>45205</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HYPERLINK("https://klasma.github.io/Logging_KALMAR/artfynd/A 45095-2021.xlsx", "A 45095-2021")</f>
        <v/>
      </c>
      <c r="T82">
        <f>HYPERLINK("https://klasma.github.io/Logging_KALMAR/kartor/A 45095-2021.png", "A 45095-2021")</f>
        <v/>
      </c>
      <c r="V82">
        <f>HYPERLINK("https://klasma.github.io/Logging_KALMAR/klagomål/A 45095-2021.docx", "A 45095-2021")</f>
        <v/>
      </c>
      <c r="W82">
        <f>HYPERLINK("https://klasma.github.io/Logging_KALMAR/klagomålsmail/A 45095-2021.docx", "A 45095-2021")</f>
        <v/>
      </c>
      <c r="X82">
        <f>HYPERLINK("https://klasma.github.io/Logging_KALMAR/tillsyn/A 45095-2021.docx", "A 45095-2021")</f>
        <v/>
      </c>
      <c r="Y82">
        <f>HYPERLINK("https://klasma.github.io/Logging_KALMAR/tillsynsmail/A 45095-2021.docx", "A 45095-2021")</f>
        <v/>
      </c>
    </row>
    <row r="83" ht="15" customHeight="1">
      <c r="A83" t="inlineStr">
        <is>
          <t>A 53760-2021</t>
        </is>
      </c>
      <c r="B83" s="1" t="n">
        <v>44467</v>
      </c>
      <c r="C83" s="1" t="n">
        <v>45205</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HYPERLINK("https://klasma.github.io/Logging_VASTERVIK/artfynd/A 53760-2021.xlsx", "A 53760-2021")</f>
        <v/>
      </c>
      <c r="T83">
        <f>HYPERLINK("https://klasma.github.io/Logging_VASTERVIK/kartor/A 53760-2021.png", "A 53760-2021")</f>
        <v/>
      </c>
      <c r="V83">
        <f>HYPERLINK("https://klasma.github.io/Logging_VASTERVIK/klagomål/A 53760-2021.docx", "A 53760-2021")</f>
        <v/>
      </c>
      <c r="W83">
        <f>HYPERLINK("https://klasma.github.io/Logging_VASTERVIK/klagomålsmail/A 53760-2021.docx", "A 53760-2021")</f>
        <v/>
      </c>
      <c r="X83">
        <f>HYPERLINK("https://klasma.github.io/Logging_VASTERVIK/tillsyn/A 53760-2021.docx", "A 53760-2021")</f>
        <v/>
      </c>
      <c r="Y83">
        <f>HYPERLINK("https://klasma.github.io/Logging_VASTERVIK/tillsynsmail/A 53760-2021.docx", "A 53760-2021")</f>
        <v/>
      </c>
    </row>
    <row r="84" ht="15" customHeight="1">
      <c r="A84" t="inlineStr">
        <is>
          <t>A 60996-2021</t>
        </is>
      </c>
      <c r="B84" s="1" t="n">
        <v>44497</v>
      </c>
      <c r="C84" s="1" t="n">
        <v>45205</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HYPERLINK("https://klasma.github.io/Logging_VASTERVIK/artfynd/A 60996-2021.xlsx", "A 60996-2021")</f>
        <v/>
      </c>
      <c r="T84">
        <f>HYPERLINK("https://klasma.github.io/Logging_VASTERVIK/kartor/A 60996-2021.png", "A 60996-2021")</f>
        <v/>
      </c>
      <c r="U84">
        <f>HYPERLINK("https://klasma.github.io/Logging_VASTERVIK/knärot/A 60996-2021.png", "A 60996-2021")</f>
        <v/>
      </c>
      <c r="V84">
        <f>HYPERLINK("https://klasma.github.io/Logging_VASTERVIK/klagomål/A 60996-2021.docx", "A 60996-2021")</f>
        <v/>
      </c>
      <c r="W84">
        <f>HYPERLINK("https://klasma.github.io/Logging_VASTERVIK/klagomålsmail/A 60996-2021.docx", "A 60996-2021")</f>
        <v/>
      </c>
      <c r="X84">
        <f>HYPERLINK("https://klasma.github.io/Logging_VASTERVIK/tillsyn/A 60996-2021.docx", "A 60996-2021")</f>
        <v/>
      </c>
      <c r="Y84">
        <f>HYPERLINK("https://klasma.github.io/Logging_VASTERVIK/tillsynsmail/A 60996-2021.docx", "A 60996-2021")</f>
        <v/>
      </c>
    </row>
    <row r="85" ht="15" customHeight="1">
      <c r="A85" t="inlineStr">
        <is>
          <t>A 71188-2021</t>
        </is>
      </c>
      <c r="B85" s="1" t="n">
        <v>44539</v>
      </c>
      <c r="C85" s="1" t="n">
        <v>45205</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HYPERLINK("https://klasma.github.io/Logging_VASTERVIK/artfynd/A 71188-2021.xlsx", "A 71188-2021")</f>
        <v/>
      </c>
      <c r="T85">
        <f>HYPERLINK("https://klasma.github.io/Logging_VASTERVIK/kartor/A 71188-2021.png", "A 71188-2021")</f>
        <v/>
      </c>
      <c r="V85">
        <f>HYPERLINK("https://klasma.github.io/Logging_VASTERVIK/klagomål/A 71188-2021.docx", "A 71188-2021")</f>
        <v/>
      </c>
      <c r="W85">
        <f>HYPERLINK("https://klasma.github.io/Logging_VASTERVIK/klagomålsmail/A 71188-2021.docx", "A 71188-2021")</f>
        <v/>
      </c>
      <c r="X85">
        <f>HYPERLINK("https://klasma.github.io/Logging_VASTERVIK/tillsyn/A 71188-2021.docx", "A 71188-2021")</f>
        <v/>
      </c>
      <c r="Y85">
        <f>HYPERLINK("https://klasma.github.io/Logging_VASTERVIK/tillsynsmail/A 71188-2021.docx", "A 71188-2021")</f>
        <v/>
      </c>
    </row>
    <row r="86" ht="15" customHeight="1">
      <c r="A86" t="inlineStr">
        <is>
          <t>A 74213-2021</t>
        </is>
      </c>
      <c r="B86" s="1" t="n">
        <v>44558</v>
      </c>
      <c r="C86" s="1" t="n">
        <v>45205</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HYPERLINK("https://klasma.github.io/Logging_KALMAR/artfynd/A 74213-2021.xlsx", "A 74213-2021")</f>
        <v/>
      </c>
      <c r="T86">
        <f>HYPERLINK("https://klasma.github.io/Logging_KALMAR/kartor/A 74213-2021.png", "A 74213-2021")</f>
        <v/>
      </c>
      <c r="U86">
        <f>HYPERLINK("https://klasma.github.io/Logging_KALMAR/knärot/A 74213-2021.png", "A 74213-2021")</f>
        <v/>
      </c>
      <c r="V86">
        <f>HYPERLINK("https://klasma.github.io/Logging_KALMAR/klagomål/A 74213-2021.docx", "A 74213-2021")</f>
        <v/>
      </c>
      <c r="W86">
        <f>HYPERLINK("https://klasma.github.io/Logging_KALMAR/klagomålsmail/A 74213-2021.docx", "A 74213-2021")</f>
        <v/>
      </c>
      <c r="X86">
        <f>HYPERLINK("https://klasma.github.io/Logging_KALMAR/tillsyn/A 74213-2021.docx", "A 74213-2021")</f>
        <v/>
      </c>
      <c r="Y86">
        <f>HYPERLINK("https://klasma.github.io/Logging_KALMAR/tillsynsmail/A 74213-2021.docx", "A 74213-2021")</f>
        <v/>
      </c>
    </row>
    <row r="87" ht="15" customHeight="1">
      <c r="A87" t="inlineStr">
        <is>
          <t>A 74479-2021</t>
        </is>
      </c>
      <c r="B87" s="1" t="n">
        <v>44559</v>
      </c>
      <c r="C87" s="1" t="n">
        <v>45205</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HYPERLINK("https://klasma.github.io/Logging_HOGSBY/artfynd/A 74479-2021.xlsx", "A 74479-2021")</f>
        <v/>
      </c>
      <c r="T87">
        <f>HYPERLINK("https://klasma.github.io/Logging_HOGSBY/kartor/A 74479-2021.png", "A 74479-2021")</f>
        <v/>
      </c>
      <c r="U87">
        <f>HYPERLINK("https://klasma.github.io/Logging_HOGSBY/knärot/A 74479-2021.png", "A 74479-2021")</f>
        <v/>
      </c>
      <c r="V87">
        <f>HYPERLINK("https://klasma.github.io/Logging_HOGSBY/klagomål/A 74479-2021.docx", "A 74479-2021")</f>
        <v/>
      </c>
      <c r="W87">
        <f>HYPERLINK("https://klasma.github.io/Logging_HOGSBY/klagomålsmail/A 74479-2021.docx", "A 74479-2021")</f>
        <v/>
      </c>
      <c r="X87">
        <f>HYPERLINK("https://klasma.github.io/Logging_HOGSBY/tillsyn/A 74479-2021.docx", "A 74479-2021")</f>
        <v/>
      </c>
      <c r="Y87">
        <f>HYPERLINK("https://klasma.github.io/Logging_HOGSBY/tillsynsmail/A 74479-2021.docx", "A 74479-2021")</f>
        <v/>
      </c>
    </row>
    <row r="88" ht="15" customHeight="1">
      <c r="A88" t="inlineStr">
        <is>
          <t>A 7031-2022</t>
        </is>
      </c>
      <c r="B88" s="1" t="n">
        <v>44603</v>
      </c>
      <c r="C88" s="1" t="n">
        <v>45205</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HYPERLINK("https://klasma.github.io/Logging_HOGSBY/artfynd/A 7031-2022.xlsx", "A 7031-2022")</f>
        <v/>
      </c>
      <c r="T88">
        <f>HYPERLINK("https://klasma.github.io/Logging_HOGSBY/kartor/A 7031-2022.png", "A 7031-2022")</f>
        <v/>
      </c>
      <c r="U88">
        <f>HYPERLINK("https://klasma.github.io/Logging_HOGSBY/knärot/A 7031-2022.png", "A 7031-2022")</f>
        <v/>
      </c>
      <c r="V88">
        <f>HYPERLINK("https://klasma.github.io/Logging_HOGSBY/klagomål/A 7031-2022.docx", "A 7031-2022")</f>
        <v/>
      </c>
      <c r="W88">
        <f>HYPERLINK("https://klasma.github.io/Logging_HOGSBY/klagomålsmail/A 7031-2022.docx", "A 7031-2022")</f>
        <v/>
      </c>
      <c r="X88">
        <f>HYPERLINK("https://klasma.github.io/Logging_HOGSBY/tillsyn/A 7031-2022.docx", "A 7031-2022")</f>
        <v/>
      </c>
      <c r="Y88">
        <f>HYPERLINK("https://klasma.github.io/Logging_HOGSBY/tillsynsmail/A 7031-2022.docx", "A 7031-2022")</f>
        <v/>
      </c>
    </row>
    <row r="89" ht="15" customHeight="1">
      <c r="A89" t="inlineStr">
        <is>
          <t>A 7218-2022</t>
        </is>
      </c>
      <c r="B89" s="1" t="n">
        <v>44606</v>
      </c>
      <c r="C89" s="1" t="n">
        <v>45205</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HYPERLINK("https://klasma.github.io/Logging_NYBRO/artfynd/A 7218-2022.xlsx", "A 7218-2022")</f>
        <v/>
      </c>
      <c r="T89">
        <f>HYPERLINK("https://klasma.github.io/Logging_NYBRO/kartor/A 7218-2022.png", "A 7218-2022")</f>
        <v/>
      </c>
      <c r="V89">
        <f>HYPERLINK("https://klasma.github.io/Logging_NYBRO/klagomål/A 7218-2022.docx", "A 7218-2022")</f>
        <v/>
      </c>
      <c r="W89">
        <f>HYPERLINK("https://klasma.github.io/Logging_NYBRO/klagomålsmail/A 7218-2022.docx", "A 7218-2022")</f>
        <v/>
      </c>
      <c r="X89">
        <f>HYPERLINK("https://klasma.github.io/Logging_NYBRO/tillsyn/A 7218-2022.docx", "A 7218-2022")</f>
        <v/>
      </c>
      <c r="Y89">
        <f>HYPERLINK("https://klasma.github.io/Logging_NYBRO/tillsynsmail/A 7218-2022.docx", "A 7218-2022")</f>
        <v/>
      </c>
    </row>
    <row r="90" ht="15" customHeight="1">
      <c r="A90" t="inlineStr">
        <is>
          <t>A 32178-2022</t>
        </is>
      </c>
      <c r="B90" s="1" t="n">
        <v>44781</v>
      </c>
      <c r="C90" s="1" t="n">
        <v>45205</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HYPERLINK("https://klasma.github.io/Logging_BORGHOLM/artfynd/A 32178-2022.xlsx", "A 32178-2022")</f>
        <v/>
      </c>
      <c r="T90">
        <f>HYPERLINK("https://klasma.github.io/Logging_BORGHOLM/kartor/A 32178-2022.png", "A 32178-2022")</f>
        <v/>
      </c>
      <c r="V90">
        <f>HYPERLINK("https://klasma.github.io/Logging_BORGHOLM/klagomål/A 32178-2022.docx", "A 32178-2022")</f>
        <v/>
      </c>
      <c r="W90">
        <f>HYPERLINK("https://klasma.github.io/Logging_BORGHOLM/klagomålsmail/A 32178-2022.docx", "A 32178-2022")</f>
        <v/>
      </c>
      <c r="X90">
        <f>HYPERLINK("https://klasma.github.io/Logging_BORGHOLM/tillsyn/A 32178-2022.docx", "A 32178-2022")</f>
        <v/>
      </c>
      <c r="Y90">
        <f>HYPERLINK("https://klasma.github.io/Logging_BORGHOLM/tillsynsmail/A 32178-2022.docx", "A 32178-2022")</f>
        <v/>
      </c>
    </row>
    <row r="91" ht="15" customHeight="1">
      <c r="A91" t="inlineStr">
        <is>
          <t>A 38039-2022</t>
        </is>
      </c>
      <c r="B91" s="1" t="n">
        <v>44811</v>
      </c>
      <c r="C91" s="1" t="n">
        <v>45205</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HYPERLINK("https://klasma.github.io/Logging_MORBYLANGA/artfynd/A 38039-2022.xlsx", "A 38039-2022")</f>
        <v/>
      </c>
      <c r="T91">
        <f>HYPERLINK("https://klasma.github.io/Logging_MORBYLANGA/kartor/A 38039-2022.png", "A 38039-2022")</f>
        <v/>
      </c>
      <c r="V91">
        <f>HYPERLINK("https://klasma.github.io/Logging_MORBYLANGA/klagomål/A 38039-2022.docx", "A 38039-2022")</f>
        <v/>
      </c>
      <c r="W91">
        <f>HYPERLINK("https://klasma.github.io/Logging_MORBYLANGA/klagomålsmail/A 38039-2022.docx", "A 38039-2022")</f>
        <v/>
      </c>
      <c r="X91">
        <f>HYPERLINK("https://klasma.github.io/Logging_MORBYLANGA/tillsyn/A 38039-2022.docx", "A 38039-2022")</f>
        <v/>
      </c>
      <c r="Y91">
        <f>HYPERLINK("https://klasma.github.io/Logging_MORBYLANGA/tillsynsmail/A 38039-2022.docx", "A 38039-2022")</f>
        <v/>
      </c>
    </row>
    <row r="92" ht="15" customHeight="1">
      <c r="A92" t="inlineStr">
        <is>
          <t>A 49484-2022</t>
        </is>
      </c>
      <c r="B92" s="1" t="n">
        <v>44861</v>
      </c>
      <c r="C92" s="1" t="n">
        <v>45205</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HYPERLINK("https://klasma.github.io/Logging_HOGSBY/artfynd/A 49484-2022.xlsx", "A 49484-2022")</f>
        <v/>
      </c>
      <c r="T92">
        <f>HYPERLINK("https://klasma.github.io/Logging_HOGSBY/kartor/A 49484-2022.png", "A 49484-2022")</f>
        <v/>
      </c>
      <c r="V92">
        <f>HYPERLINK("https://klasma.github.io/Logging_HOGSBY/klagomål/A 49484-2022.docx", "A 49484-2022")</f>
        <v/>
      </c>
      <c r="W92">
        <f>HYPERLINK("https://klasma.github.io/Logging_HOGSBY/klagomålsmail/A 49484-2022.docx", "A 49484-2022")</f>
        <v/>
      </c>
      <c r="X92">
        <f>HYPERLINK("https://klasma.github.io/Logging_HOGSBY/tillsyn/A 49484-2022.docx", "A 49484-2022")</f>
        <v/>
      </c>
      <c r="Y92">
        <f>HYPERLINK("https://klasma.github.io/Logging_HOGSBY/tillsynsmail/A 49484-2022.docx", "A 49484-2022")</f>
        <v/>
      </c>
    </row>
    <row r="93" ht="15" customHeight="1">
      <c r="A93" t="inlineStr">
        <is>
          <t>A 53162-2022</t>
        </is>
      </c>
      <c r="B93" s="1" t="n">
        <v>44873</v>
      </c>
      <c r="C93" s="1" t="n">
        <v>45205</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HYPERLINK("https://klasma.github.io/Logging_MONSTERAS/artfynd/A 53162-2022.xlsx", "A 53162-2022")</f>
        <v/>
      </c>
      <c r="T93">
        <f>HYPERLINK("https://klasma.github.io/Logging_MONSTERAS/kartor/A 53162-2022.png", "A 53162-2022")</f>
        <v/>
      </c>
      <c r="V93">
        <f>HYPERLINK("https://klasma.github.io/Logging_MONSTERAS/klagomål/A 53162-2022.docx", "A 53162-2022")</f>
        <v/>
      </c>
      <c r="W93">
        <f>HYPERLINK("https://klasma.github.io/Logging_MONSTERAS/klagomålsmail/A 53162-2022.docx", "A 53162-2022")</f>
        <v/>
      </c>
      <c r="X93">
        <f>HYPERLINK("https://klasma.github.io/Logging_MONSTERAS/tillsyn/A 53162-2022.docx", "A 53162-2022")</f>
        <v/>
      </c>
      <c r="Y93">
        <f>HYPERLINK("https://klasma.github.io/Logging_MONSTERAS/tillsynsmail/A 53162-2022.docx", "A 53162-2022")</f>
        <v/>
      </c>
    </row>
    <row r="94" ht="15" customHeight="1">
      <c r="A94" t="inlineStr">
        <is>
          <t>A 974-2023</t>
        </is>
      </c>
      <c r="B94" s="1" t="n">
        <v>44935</v>
      </c>
      <c r="C94" s="1" t="n">
        <v>45205</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HYPERLINK("https://klasma.github.io/Logging_VASTERVIK/artfynd/A 974-2023.xlsx", "A 974-2023")</f>
        <v/>
      </c>
      <c r="T94">
        <f>HYPERLINK("https://klasma.github.io/Logging_VASTERVIK/kartor/A 974-2023.png", "A 974-2023")</f>
        <v/>
      </c>
      <c r="V94">
        <f>HYPERLINK("https://klasma.github.io/Logging_VASTERVIK/klagomål/A 974-2023.docx", "A 974-2023")</f>
        <v/>
      </c>
      <c r="W94">
        <f>HYPERLINK("https://klasma.github.io/Logging_VASTERVIK/klagomålsmail/A 974-2023.docx", "A 974-2023")</f>
        <v/>
      </c>
      <c r="X94">
        <f>HYPERLINK("https://klasma.github.io/Logging_VASTERVIK/tillsyn/A 974-2023.docx", "A 974-2023")</f>
        <v/>
      </c>
      <c r="Y94">
        <f>HYPERLINK("https://klasma.github.io/Logging_VASTERVIK/tillsynsmail/A 974-2023.docx", "A 974-2023")</f>
        <v/>
      </c>
    </row>
    <row r="95" ht="15" customHeight="1">
      <c r="A95" t="inlineStr">
        <is>
          <t>A 1960-2023</t>
        </is>
      </c>
      <c r="B95" s="1" t="n">
        <v>44939</v>
      </c>
      <c r="C95" s="1" t="n">
        <v>45205</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HYPERLINK("https://klasma.github.io/Logging_VIMMERBY/artfynd/A 1960-2023.xlsx", "A 1960-2023")</f>
        <v/>
      </c>
      <c r="T95">
        <f>HYPERLINK("https://klasma.github.io/Logging_VIMMERBY/kartor/A 1960-2023.png", "A 1960-2023")</f>
        <v/>
      </c>
      <c r="V95">
        <f>HYPERLINK("https://klasma.github.io/Logging_VIMMERBY/klagomål/A 1960-2023.docx", "A 1960-2023")</f>
        <v/>
      </c>
      <c r="W95">
        <f>HYPERLINK("https://klasma.github.io/Logging_VIMMERBY/klagomålsmail/A 1960-2023.docx", "A 1960-2023")</f>
        <v/>
      </c>
      <c r="X95">
        <f>HYPERLINK("https://klasma.github.io/Logging_VIMMERBY/tillsyn/A 1960-2023.docx", "A 1960-2023")</f>
        <v/>
      </c>
      <c r="Y95">
        <f>HYPERLINK("https://klasma.github.io/Logging_VIMMERBY/tillsynsmail/A 1960-2023.docx", "A 1960-2023")</f>
        <v/>
      </c>
    </row>
    <row r="96" ht="15" customHeight="1">
      <c r="A96" t="inlineStr">
        <is>
          <t>A 5139-2023</t>
        </is>
      </c>
      <c r="B96" s="1" t="n">
        <v>44958</v>
      </c>
      <c r="C96" s="1" t="n">
        <v>45205</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HYPERLINK("https://klasma.github.io/Logging_KALMAR/artfynd/A 5139-2023.xlsx", "A 5139-2023")</f>
        <v/>
      </c>
      <c r="T96">
        <f>HYPERLINK("https://klasma.github.io/Logging_KALMAR/kartor/A 5139-2023.png", "A 5139-2023")</f>
        <v/>
      </c>
      <c r="V96">
        <f>HYPERLINK("https://klasma.github.io/Logging_KALMAR/klagomål/A 5139-2023.docx", "A 5139-2023")</f>
        <v/>
      </c>
      <c r="W96">
        <f>HYPERLINK("https://klasma.github.io/Logging_KALMAR/klagomålsmail/A 5139-2023.docx", "A 5139-2023")</f>
        <v/>
      </c>
      <c r="X96">
        <f>HYPERLINK("https://klasma.github.io/Logging_KALMAR/tillsyn/A 5139-2023.docx", "A 5139-2023")</f>
        <v/>
      </c>
      <c r="Y96">
        <f>HYPERLINK("https://klasma.github.io/Logging_KALMAR/tillsynsmail/A 5139-2023.docx", "A 5139-2023")</f>
        <v/>
      </c>
    </row>
    <row r="97" ht="15" customHeight="1">
      <c r="A97" t="inlineStr">
        <is>
          <t>A 11740-2023</t>
        </is>
      </c>
      <c r="B97" s="1" t="n">
        <v>44994</v>
      </c>
      <c r="C97" s="1" t="n">
        <v>45205</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HYPERLINK("https://klasma.github.io/Logging_VASTERVIK/artfynd/A 11740-2023.xlsx", "A 11740-2023")</f>
        <v/>
      </c>
      <c r="T97">
        <f>HYPERLINK("https://klasma.github.io/Logging_VASTERVIK/kartor/A 11740-2023.png", "A 11740-2023")</f>
        <v/>
      </c>
      <c r="V97">
        <f>HYPERLINK("https://klasma.github.io/Logging_VASTERVIK/klagomål/A 11740-2023.docx", "A 11740-2023")</f>
        <v/>
      </c>
      <c r="W97">
        <f>HYPERLINK("https://klasma.github.io/Logging_VASTERVIK/klagomålsmail/A 11740-2023.docx", "A 11740-2023")</f>
        <v/>
      </c>
      <c r="X97">
        <f>HYPERLINK("https://klasma.github.io/Logging_VASTERVIK/tillsyn/A 11740-2023.docx", "A 11740-2023")</f>
        <v/>
      </c>
      <c r="Y97">
        <f>HYPERLINK("https://klasma.github.io/Logging_VASTERVIK/tillsynsmail/A 11740-2023.docx", "A 11740-2023")</f>
        <v/>
      </c>
    </row>
    <row r="98" ht="15" customHeight="1">
      <c r="A98" t="inlineStr">
        <is>
          <t>A 27636-2023</t>
        </is>
      </c>
      <c r="B98" s="1" t="n">
        <v>45097</v>
      </c>
      <c r="C98" s="1" t="n">
        <v>45205</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HYPERLINK("https://klasma.github.io/Logging_MORBYLANGA/artfynd/A 27636-2023.xlsx", "A 27636-2023")</f>
        <v/>
      </c>
      <c r="T98">
        <f>HYPERLINK("https://klasma.github.io/Logging_MORBYLANGA/kartor/A 27636-2023.png", "A 27636-2023")</f>
        <v/>
      </c>
      <c r="V98">
        <f>HYPERLINK("https://klasma.github.io/Logging_MORBYLANGA/klagomål/A 27636-2023.docx", "A 27636-2023")</f>
        <v/>
      </c>
      <c r="W98">
        <f>HYPERLINK("https://klasma.github.io/Logging_MORBYLANGA/klagomålsmail/A 27636-2023.docx", "A 27636-2023")</f>
        <v/>
      </c>
      <c r="X98">
        <f>HYPERLINK("https://klasma.github.io/Logging_MORBYLANGA/tillsyn/A 27636-2023.docx", "A 27636-2023")</f>
        <v/>
      </c>
      <c r="Y98">
        <f>HYPERLINK("https://klasma.github.io/Logging_MORBYLANGA/tillsynsmail/A 27636-2023.docx", "A 27636-2023")</f>
        <v/>
      </c>
    </row>
    <row r="99" ht="15" customHeight="1">
      <c r="A99" t="inlineStr">
        <is>
          <t>A 39231-2018</t>
        </is>
      </c>
      <c r="B99" s="1" t="n">
        <v>43339</v>
      </c>
      <c r="C99" s="1" t="n">
        <v>45205</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HYPERLINK("https://klasma.github.io/Logging_NYBRO/artfynd/A 39231-2018.xlsx", "A 39231-2018")</f>
        <v/>
      </c>
      <c r="T99">
        <f>HYPERLINK("https://klasma.github.io/Logging_NYBRO/kartor/A 39231-2018.png", "A 39231-2018")</f>
        <v/>
      </c>
      <c r="V99">
        <f>HYPERLINK("https://klasma.github.io/Logging_NYBRO/klagomål/A 39231-2018.docx", "A 39231-2018")</f>
        <v/>
      </c>
      <c r="W99">
        <f>HYPERLINK("https://klasma.github.io/Logging_NYBRO/klagomålsmail/A 39231-2018.docx", "A 39231-2018")</f>
        <v/>
      </c>
      <c r="X99">
        <f>HYPERLINK("https://klasma.github.io/Logging_NYBRO/tillsyn/A 39231-2018.docx", "A 39231-2018")</f>
        <v/>
      </c>
      <c r="Y99">
        <f>HYPERLINK("https://klasma.github.io/Logging_NYBRO/tillsynsmail/A 39231-2018.docx", "A 39231-2018")</f>
        <v/>
      </c>
    </row>
    <row r="100" ht="15" customHeight="1">
      <c r="A100" t="inlineStr">
        <is>
          <t>A 63553-2018</t>
        </is>
      </c>
      <c r="B100" s="1" t="n">
        <v>43427</v>
      </c>
      <c r="C100" s="1" t="n">
        <v>45205</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HYPERLINK("https://klasma.github.io/Logging_VASTERVIK/artfynd/A 63553-2018.xlsx", "A 63553-2018")</f>
        <v/>
      </c>
      <c r="T100">
        <f>HYPERLINK("https://klasma.github.io/Logging_VASTERVIK/kartor/A 63553-2018.png", "A 63553-2018")</f>
        <v/>
      </c>
      <c r="V100">
        <f>HYPERLINK("https://klasma.github.io/Logging_VASTERVIK/klagomål/A 63553-2018.docx", "A 63553-2018")</f>
        <v/>
      </c>
      <c r="W100">
        <f>HYPERLINK("https://klasma.github.io/Logging_VASTERVIK/klagomålsmail/A 63553-2018.docx", "A 63553-2018")</f>
        <v/>
      </c>
      <c r="X100">
        <f>HYPERLINK("https://klasma.github.io/Logging_VASTERVIK/tillsyn/A 63553-2018.docx", "A 63553-2018")</f>
        <v/>
      </c>
      <c r="Y100">
        <f>HYPERLINK("https://klasma.github.io/Logging_VASTERVIK/tillsynsmail/A 63553-2018.docx", "A 63553-2018")</f>
        <v/>
      </c>
    </row>
    <row r="101" ht="15" customHeight="1">
      <c r="A101" t="inlineStr">
        <is>
          <t>A 68401-2018</t>
        </is>
      </c>
      <c r="B101" s="1" t="n">
        <v>43438</v>
      </c>
      <c r="C101" s="1" t="n">
        <v>45205</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HYPERLINK("https://klasma.github.io/Logging_HULTSFRED/artfynd/A 68401-2018.xlsx", "A 68401-2018")</f>
        <v/>
      </c>
      <c r="T101">
        <f>HYPERLINK("https://klasma.github.io/Logging_HULTSFRED/kartor/A 68401-2018.png", "A 68401-2018")</f>
        <v/>
      </c>
      <c r="V101">
        <f>HYPERLINK("https://klasma.github.io/Logging_HULTSFRED/klagomål/A 68401-2018.docx", "A 68401-2018")</f>
        <v/>
      </c>
      <c r="W101">
        <f>HYPERLINK("https://klasma.github.io/Logging_HULTSFRED/klagomålsmail/A 68401-2018.docx", "A 68401-2018")</f>
        <v/>
      </c>
      <c r="X101">
        <f>HYPERLINK("https://klasma.github.io/Logging_HULTSFRED/tillsyn/A 68401-2018.docx", "A 68401-2018")</f>
        <v/>
      </c>
      <c r="Y101">
        <f>HYPERLINK("https://klasma.github.io/Logging_HULTSFRED/tillsynsmail/A 68401-2018.docx", "A 68401-2018")</f>
        <v/>
      </c>
    </row>
    <row r="102" ht="15" customHeight="1">
      <c r="A102" t="inlineStr">
        <is>
          <t>A 70338-2018</t>
        </is>
      </c>
      <c r="B102" s="1" t="n">
        <v>43446</v>
      </c>
      <c r="C102" s="1" t="n">
        <v>45205</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HYPERLINK("https://klasma.github.io/Logging_MONSTERAS/artfynd/A 70338-2018.xlsx", "A 70338-2018")</f>
        <v/>
      </c>
      <c r="T102">
        <f>HYPERLINK("https://klasma.github.io/Logging_MONSTERAS/kartor/A 70338-2018.png", "A 70338-2018")</f>
        <v/>
      </c>
      <c r="V102">
        <f>HYPERLINK("https://klasma.github.io/Logging_MONSTERAS/klagomål/A 70338-2018.docx", "A 70338-2018")</f>
        <v/>
      </c>
      <c r="W102">
        <f>HYPERLINK("https://klasma.github.io/Logging_MONSTERAS/klagomålsmail/A 70338-2018.docx", "A 70338-2018")</f>
        <v/>
      </c>
      <c r="X102">
        <f>HYPERLINK("https://klasma.github.io/Logging_MONSTERAS/tillsyn/A 70338-2018.docx", "A 70338-2018")</f>
        <v/>
      </c>
      <c r="Y102">
        <f>HYPERLINK("https://klasma.github.io/Logging_MONSTERAS/tillsynsmail/A 70338-2018.docx", "A 70338-2018")</f>
        <v/>
      </c>
    </row>
    <row r="103" ht="15" customHeight="1">
      <c r="A103" t="inlineStr">
        <is>
          <t>A 9408-2019</t>
        </is>
      </c>
      <c r="B103" s="1" t="n">
        <v>43507</v>
      </c>
      <c r="C103" s="1" t="n">
        <v>45205</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HYPERLINK("https://klasma.github.io/Logging_HULTSFRED/artfynd/A 9408-2019.xlsx", "A 9408-2019")</f>
        <v/>
      </c>
      <c r="T103">
        <f>HYPERLINK("https://klasma.github.io/Logging_HULTSFRED/kartor/A 9408-2019.png", "A 9408-2019")</f>
        <v/>
      </c>
      <c r="V103">
        <f>HYPERLINK("https://klasma.github.io/Logging_HULTSFRED/klagomål/A 9408-2019.docx", "A 9408-2019")</f>
        <v/>
      </c>
      <c r="W103">
        <f>HYPERLINK("https://klasma.github.io/Logging_HULTSFRED/klagomålsmail/A 9408-2019.docx", "A 9408-2019")</f>
        <v/>
      </c>
      <c r="X103">
        <f>HYPERLINK("https://klasma.github.io/Logging_HULTSFRED/tillsyn/A 9408-2019.docx", "A 9408-2019")</f>
        <v/>
      </c>
      <c r="Y103">
        <f>HYPERLINK("https://klasma.github.io/Logging_HULTSFRED/tillsynsmail/A 9408-2019.docx", "A 9408-2019")</f>
        <v/>
      </c>
    </row>
    <row r="104" ht="15" customHeight="1">
      <c r="A104" t="inlineStr">
        <is>
          <t>A 17826-2019</t>
        </is>
      </c>
      <c r="B104" s="1" t="n">
        <v>43556</v>
      </c>
      <c r="C104" s="1" t="n">
        <v>45205</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HYPERLINK("https://klasma.github.io/Logging_NYBRO/artfynd/A 17826-2019.xlsx", "A 17826-2019")</f>
        <v/>
      </c>
      <c r="T104">
        <f>HYPERLINK("https://klasma.github.io/Logging_NYBRO/kartor/A 17826-2019.png", "A 17826-2019")</f>
        <v/>
      </c>
      <c r="V104">
        <f>HYPERLINK("https://klasma.github.io/Logging_NYBRO/klagomål/A 17826-2019.docx", "A 17826-2019")</f>
        <v/>
      </c>
      <c r="W104">
        <f>HYPERLINK("https://klasma.github.io/Logging_NYBRO/klagomålsmail/A 17826-2019.docx", "A 17826-2019")</f>
        <v/>
      </c>
      <c r="X104">
        <f>HYPERLINK("https://klasma.github.io/Logging_NYBRO/tillsyn/A 17826-2019.docx", "A 17826-2019")</f>
        <v/>
      </c>
      <c r="Y104">
        <f>HYPERLINK("https://klasma.github.io/Logging_NYBRO/tillsynsmail/A 17826-2019.docx", "A 17826-2019")</f>
        <v/>
      </c>
    </row>
    <row r="105" ht="15" customHeight="1">
      <c r="A105" t="inlineStr">
        <is>
          <t>A 20823-2019</t>
        </is>
      </c>
      <c r="B105" s="1" t="n">
        <v>43573</v>
      </c>
      <c r="C105" s="1" t="n">
        <v>45205</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HYPERLINK("https://klasma.github.io/Logging_HOGSBY/artfynd/A 20823-2019.xlsx", "A 20823-2019")</f>
        <v/>
      </c>
      <c r="T105">
        <f>HYPERLINK("https://klasma.github.io/Logging_HOGSBY/kartor/A 20823-2019.png", "A 20823-2019")</f>
        <v/>
      </c>
      <c r="U105">
        <f>HYPERLINK("https://klasma.github.io/Logging_HOGSBY/knärot/A 20823-2019.png", "A 20823-2019")</f>
        <v/>
      </c>
      <c r="V105">
        <f>HYPERLINK("https://klasma.github.io/Logging_HOGSBY/klagomål/A 20823-2019.docx", "A 20823-2019")</f>
        <v/>
      </c>
      <c r="W105">
        <f>HYPERLINK("https://klasma.github.io/Logging_HOGSBY/klagomålsmail/A 20823-2019.docx", "A 20823-2019")</f>
        <v/>
      </c>
      <c r="X105">
        <f>HYPERLINK("https://klasma.github.io/Logging_HOGSBY/tillsyn/A 20823-2019.docx", "A 20823-2019")</f>
        <v/>
      </c>
      <c r="Y105">
        <f>HYPERLINK("https://klasma.github.io/Logging_HOGSBY/tillsynsmail/A 20823-2019.docx", "A 20823-2019")</f>
        <v/>
      </c>
    </row>
    <row r="106" ht="15" customHeight="1">
      <c r="A106" t="inlineStr">
        <is>
          <t>A 36145-2019</t>
        </is>
      </c>
      <c r="B106" s="1" t="n">
        <v>43668</v>
      </c>
      <c r="C106" s="1" t="n">
        <v>45205</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HYPERLINK("https://klasma.github.io/Logging_HOGSBY/artfynd/A 36145-2019.xlsx", "A 36145-2019")</f>
        <v/>
      </c>
      <c r="T106">
        <f>HYPERLINK("https://klasma.github.io/Logging_HOGSBY/kartor/A 36145-2019.png", "A 36145-2019")</f>
        <v/>
      </c>
      <c r="V106">
        <f>HYPERLINK("https://klasma.github.io/Logging_HOGSBY/klagomål/A 36145-2019.docx", "A 36145-2019")</f>
        <v/>
      </c>
      <c r="W106">
        <f>HYPERLINK("https://klasma.github.io/Logging_HOGSBY/klagomålsmail/A 36145-2019.docx", "A 36145-2019")</f>
        <v/>
      </c>
      <c r="X106">
        <f>HYPERLINK("https://klasma.github.io/Logging_HOGSBY/tillsyn/A 36145-2019.docx", "A 36145-2019")</f>
        <v/>
      </c>
      <c r="Y106">
        <f>HYPERLINK("https://klasma.github.io/Logging_HOGSBY/tillsynsmail/A 36145-2019.docx", "A 36145-2019")</f>
        <v/>
      </c>
    </row>
    <row r="107" ht="15" customHeight="1">
      <c r="A107" t="inlineStr">
        <is>
          <t>A 55589-2019</t>
        </is>
      </c>
      <c r="B107" s="1" t="n">
        <v>43760</v>
      </c>
      <c r="C107" s="1" t="n">
        <v>45205</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HYPERLINK("https://klasma.github.io/Logging_MORBYLANGA/artfynd/A 55589-2019.xlsx", "A 55589-2019")</f>
        <v/>
      </c>
      <c r="T107">
        <f>HYPERLINK("https://klasma.github.io/Logging_MORBYLANGA/kartor/A 55589-2019.png", "A 55589-2019")</f>
        <v/>
      </c>
      <c r="V107">
        <f>HYPERLINK("https://klasma.github.io/Logging_MORBYLANGA/klagomål/A 55589-2019.docx", "A 55589-2019")</f>
        <v/>
      </c>
      <c r="W107">
        <f>HYPERLINK("https://klasma.github.io/Logging_MORBYLANGA/klagomålsmail/A 55589-2019.docx", "A 55589-2019")</f>
        <v/>
      </c>
      <c r="X107">
        <f>HYPERLINK("https://klasma.github.io/Logging_MORBYLANGA/tillsyn/A 55589-2019.docx", "A 55589-2019")</f>
        <v/>
      </c>
      <c r="Y107">
        <f>HYPERLINK("https://klasma.github.io/Logging_MORBYLANGA/tillsynsmail/A 55589-2019.docx", "A 55589-2019")</f>
        <v/>
      </c>
    </row>
    <row r="108" ht="15" customHeight="1">
      <c r="A108" t="inlineStr">
        <is>
          <t>A 2085-2020</t>
        </is>
      </c>
      <c r="B108" s="1" t="n">
        <v>43845</v>
      </c>
      <c r="C108" s="1" t="n">
        <v>45205</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HYPERLINK("https://klasma.github.io/Logging_HULTSFRED/artfynd/A 2085-2020.xlsx", "A 2085-2020")</f>
        <v/>
      </c>
      <c r="T108">
        <f>HYPERLINK("https://klasma.github.io/Logging_HULTSFRED/kartor/A 2085-2020.png", "A 2085-2020")</f>
        <v/>
      </c>
      <c r="U108">
        <f>HYPERLINK("https://klasma.github.io/Logging_HULTSFRED/knärot/A 2085-2020.png", "A 2085-2020")</f>
        <v/>
      </c>
      <c r="V108">
        <f>HYPERLINK("https://klasma.github.io/Logging_HULTSFRED/klagomål/A 2085-2020.docx", "A 2085-2020")</f>
        <v/>
      </c>
      <c r="W108">
        <f>HYPERLINK("https://klasma.github.io/Logging_HULTSFRED/klagomålsmail/A 2085-2020.docx", "A 2085-2020")</f>
        <v/>
      </c>
      <c r="X108">
        <f>HYPERLINK("https://klasma.github.io/Logging_HULTSFRED/tillsyn/A 2085-2020.docx", "A 2085-2020")</f>
        <v/>
      </c>
      <c r="Y108">
        <f>HYPERLINK("https://klasma.github.io/Logging_HULTSFRED/tillsynsmail/A 2085-2020.docx", "A 2085-2020")</f>
        <v/>
      </c>
    </row>
    <row r="109" ht="15" customHeight="1">
      <c r="A109" t="inlineStr">
        <is>
          <t>A 16102-2020</t>
        </is>
      </c>
      <c r="B109" s="1" t="n">
        <v>43916</v>
      </c>
      <c r="C109" s="1" t="n">
        <v>45205</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HYPERLINK("https://klasma.github.io/Logging_HULTSFRED/artfynd/A 16102-2020.xlsx", "A 16102-2020")</f>
        <v/>
      </c>
      <c r="T109">
        <f>HYPERLINK("https://klasma.github.io/Logging_HULTSFRED/kartor/A 16102-2020.png", "A 16102-2020")</f>
        <v/>
      </c>
      <c r="V109">
        <f>HYPERLINK("https://klasma.github.io/Logging_HULTSFRED/klagomål/A 16102-2020.docx", "A 16102-2020")</f>
        <v/>
      </c>
      <c r="W109">
        <f>HYPERLINK("https://klasma.github.io/Logging_HULTSFRED/klagomålsmail/A 16102-2020.docx", "A 16102-2020")</f>
        <v/>
      </c>
      <c r="X109">
        <f>HYPERLINK("https://klasma.github.io/Logging_HULTSFRED/tillsyn/A 16102-2020.docx", "A 16102-2020")</f>
        <v/>
      </c>
      <c r="Y109">
        <f>HYPERLINK("https://klasma.github.io/Logging_HULTSFRED/tillsynsmail/A 16102-2020.docx", "A 16102-2020")</f>
        <v/>
      </c>
    </row>
    <row r="110" ht="15" customHeight="1">
      <c r="A110" t="inlineStr">
        <is>
          <t>A 26222-2020</t>
        </is>
      </c>
      <c r="B110" s="1" t="n">
        <v>43986</v>
      </c>
      <c r="C110" s="1" t="n">
        <v>45205</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HYPERLINK("https://klasma.github.io/Logging_HULTSFRED/artfynd/A 26222-2020.xlsx", "A 26222-2020")</f>
        <v/>
      </c>
      <c r="T110">
        <f>HYPERLINK("https://klasma.github.io/Logging_HULTSFRED/kartor/A 26222-2020.png", "A 26222-2020")</f>
        <v/>
      </c>
      <c r="V110">
        <f>HYPERLINK("https://klasma.github.io/Logging_HULTSFRED/klagomål/A 26222-2020.docx", "A 26222-2020")</f>
        <v/>
      </c>
      <c r="W110">
        <f>HYPERLINK("https://klasma.github.io/Logging_HULTSFRED/klagomålsmail/A 26222-2020.docx", "A 26222-2020")</f>
        <v/>
      </c>
      <c r="X110">
        <f>HYPERLINK("https://klasma.github.io/Logging_HULTSFRED/tillsyn/A 26222-2020.docx", "A 26222-2020")</f>
        <v/>
      </c>
      <c r="Y110">
        <f>HYPERLINK("https://klasma.github.io/Logging_HULTSFRED/tillsynsmail/A 26222-2020.docx", "A 26222-2020")</f>
        <v/>
      </c>
    </row>
    <row r="111" ht="15" customHeight="1">
      <c r="A111" t="inlineStr">
        <is>
          <t>A 55371-2020</t>
        </is>
      </c>
      <c r="B111" s="1" t="n">
        <v>44130</v>
      </c>
      <c r="C111" s="1" t="n">
        <v>45205</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HYPERLINK("https://klasma.github.io/Logging_MONSTERAS/artfynd/A 55371-2020.xlsx", "A 55371-2020")</f>
        <v/>
      </c>
      <c r="T111">
        <f>HYPERLINK("https://klasma.github.io/Logging_MONSTERAS/kartor/A 55371-2020.png", "A 55371-2020")</f>
        <v/>
      </c>
      <c r="V111">
        <f>HYPERLINK("https://klasma.github.io/Logging_MONSTERAS/klagomål/A 55371-2020.docx", "A 55371-2020")</f>
        <v/>
      </c>
      <c r="W111">
        <f>HYPERLINK("https://klasma.github.io/Logging_MONSTERAS/klagomålsmail/A 55371-2020.docx", "A 55371-2020")</f>
        <v/>
      </c>
      <c r="X111">
        <f>HYPERLINK("https://klasma.github.io/Logging_MONSTERAS/tillsyn/A 55371-2020.docx", "A 55371-2020")</f>
        <v/>
      </c>
      <c r="Y111">
        <f>HYPERLINK("https://klasma.github.io/Logging_MONSTERAS/tillsynsmail/A 55371-2020.docx", "A 55371-2020")</f>
        <v/>
      </c>
    </row>
    <row r="112" ht="15" customHeight="1">
      <c r="A112" t="inlineStr">
        <is>
          <t>A 4881-2021</t>
        </is>
      </c>
      <c r="B112" s="1" t="n">
        <v>44225</v>
      </c>
      <c r="C112" s="1" t="n">
        <v>45205</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HYPERLINK("https://klasma.github.io/Logging_BORGHOLM/artfynd/A 4881-2021.xlsx", "A 4881-2021")</f>
        <v/>
      </c>
      <c r="T112">
        <f>HYPERLINK("https://klasma.github.io/Logging_BORGHOLM/kartor/A 4881-2021.png", "A 4881-2021")</f>
        <v/>
      </c>
      <c r="V112">
        <f>HYPERLINK("https://klasma.github.io/Logging_BORGHOLM/klagomål/A 4881-2021.docx", "A 4881-2021")</f>
        <v/>
      </c>
      <c r="W112">
        <f>HYPERLINK("https://klasma.github.io/Logging_BORGHOLM/klagomålsmail/A 4881-2021.docx", "A 4881-2021")</f>
        <v/>
      </c>
      <c r="X112">
        <f>HYPERLINK("https://klasma.github.io/Logging_BORGHOLM/tillsyn/A 4881-2021.docx", "A 4881-2021")</f>
        <v/>
      </c>
      <c r="Y112">
        <f>HYPERLINK("https://klasma.github.io/Logging_BORGHOLM/tillsynsmail/A 4881-2021.docx", "A 4881-2021")</f>
        <v/>
      </c>
    </row>
    <row r="113" ht="15" customHeight="1">
      <c r="A113" t="inlineStr">
        <is>
          <t>A 11931-2021</t>
        </is>
      </c>
      <c r="B113" s="1" t="n">
        <v>44265</v>
      </c>
      <c r="C113" s="1" t="n">
        <v>45205</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HYPERLINK("https://klasma.github.io/Logging_NYBRO/artfynd/A 11931-2021.xlsx", "A 11931-2021")</f>
        <v/>
      </c>
      <c r="T113">
        <f>HYPERLINK("https://klasma.github.io/Logging_NYBRO/kartor/A 11931-2021.png", "A 11931-2021")</f>
        <v/>
      </c>
      <c r="V113">
        <f>HYPERLINK("https://klasma.github.io/Logging_NYBRO/klagomål/A 11931-2021.docx", "A 11931-2021")</f>
        <v/>
      </c>
      <c r="W113">
        <f>HYPERLINK("https://klasma.github.io/Logging_NYBRO/klagomålsmail/A 11931-2021.docx", "A 11931-2021")</f>
        <v/>
      </c>
      <c r="X113">
        <f>HYPERLINK("https://klasma.github.io/Logging_NYBRO/tillsyn/A 11931-2021.docx", "A 11931-2021")</f>
        <v/>
      </c>
      <c r="Y113">
        <f>HYPERLINK("https://klasma.github.io/Logging_NYBRO/tillsynsmail/A 11931-2021.docx", "A 11931-2021")</f>
        <v/>
      </c>
    </row>
    <row r="114" ht="15" customHeight="1">
      <c r="A114" t="inlineStr">
        <is>
          <t>A 31837-2021</t>
        </is>
      </c>
      <c r="B114" s="1" t="n">
        <v>44370</v>
      </c>
      <c r="C114" s="1" t="n">
        <v>45205</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HYPERLINK("https://klasma.github.io/Logging_BORGHOLM/artfynd/A 31837-2021.xlsx", "A 31837-2021")</f>
        <v/>
      </c>
      <c r="T114">
        <f>HYPERLINK("https://klasma.github.io/Logging_BORGHOLM/kartor/A 31837-2021.png", "A 31837-2021")</f>
        <v/>
      </c>
      <c r="V114">
        <f>HYPERLINK("https://klasma.github.io/Logging_BORGHOLM/klagomål/A 31837-2021.docx", "A 31837-2021")</f>
        <v/>
      </c>
      <c r="W114">
        <f>HYPERLINK("https://klasma.github.io/Logging_BORGHOLM/klagomålsmail/A 31837-2021.docx", "A 31837-2021")</f>
        <v/>
      </c>
      <c r="X114">
        <f>HYPERLINK("https://klasma.github.io/Logging_BORGHOLM/tillsyn/A 31837-2021.docx", "A 31837-2021")</f>
        <v/>
      </c>
      <c r="Y114">
        <f>HYPERLINK("https://klasma.github.io/Logging_BORGHOLM/tillsynsmail/A 31837-2021.docx", "A 31837-2021")</f>
        <v/>
      </c>
    </row>
    <row r="115" ht="15" customHeight="1">
      <c r="A115" t="inlineStr">
        <is>
          <t>A 63779-2021</t>
        </is>
      </c>
      <c r="B115" s="1" t="n">
        <v>44508</v>
      </c>
      <c r="C115" s="1" t="n">
        <v>45205</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45205</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45205</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45205</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45205</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45205</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45205</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45205</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45205</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45205</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45205</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45205</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45205</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45205</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45205</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45205</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45205</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45205</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45205</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45205</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45205</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45205</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45205</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45205</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45205</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31588-2020</t>
        </is>
      </c>
      <c r="B140" s="1" t="n">
        <v>44013</v>
      </c>
      <c r="C140" s="1" t="n">
        <v>45205</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HYPERLINK("https://klasma.github.io/Logging_VIMMERBY/artfynd/A 31588-2020.xlsx", "A 31588-2020")</f>
        <v/>
      </c>
      <c r="T140">
        <f>HYPERLINK("https://klasma.github.io/Logging_VIMMERBY/kartor/A 31588-2020.png", "A 31588-2020")</f>
        <v/>
      </c>
      <c r="V140">
        <f>HYPERLINK("https://klasma.github.io/Logging_VIMMERBY/klagomål/A 31588-2020.docx", "A 31588-2020")</f>
        <v/>
      </c>
      <c r="W140">
        <f>HYPERLINK("https://klasma.github.io/Logging_VIMMERBY/klagomålsmail/A 31588-2020.docx", "A 31588-2020")</f>
        <v/>
      </c>
      <c r="X140">
        <f>HYPERLINK("https://klasma.github.io/Logging_VIMMERBY/tillsyn/A 31588-2020.docx", "A 31588-2020")</f>
        <v/>
      </c>
      <c r="Y140">
        <f>HYPERLINK("https://klasma.github.io/Logging_VIMMERBY/tillsynsmail/A 31588-2020.docx", "A 31588-2020")</f>
        <v/>
      </c>
    </row>
    <row r="141" ht="15" customHeight="1">
      <c r="A141" t="inlineStr">
        <is>
          <t>A 38049-2020</t>
        </is>
      </c>
      <c r="B141" s="1" t="n">
        <v>44057</v>
      </c>
      <c r="C141" s="1" t="n">
        <v>45205</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HYPERLINK("https://klasma.github.io/Logging_KALMAR/artfynd/A 38049-2020.xlsx", "A 38049-2020")</f>
        <v/>
      </c>
      <c r="T141">
        <f>HYPERLINK("https://klasma.github.io/Logging_KALMAR/kartor/A 38049-2020.png", "A 38049-2020")</f>
        <v/>
      </c>
      <c r="U141">
        <f>HYPERLINK("https://klasma.github.io/Logging_KALMAR/knärot/A 38049-2020.png", "A 38049-2020")</f>
        <v/>
      </c>
      <c r="V141">
        <f>HYPERLINK("https://klasma.github.io/Logging_KALMAR/klagomål/A 38049-2020.docx", "A 38049-2020")</f>
        <v/>
      </c>
      <c r="W141">
        <f>HYPERLINK("https://klasma.github.io/Logging_KALMAR/klagomålsmail/A 38049-2020.docx", "A 38049-2020")</f>
        <v/>
      </c>
      <c r="X141">
        <f>HYPERLINK("https://klasma.github.io/Logging_KALMAR/tillsyn/A 38049-2020.docx", "A 38049-2020")</f>
        <v/>
      </c>
      <c r="Y141">
        <f>HYPERLINK("https://klasma.github.io/Logging_KALMAR/tillsynsmail/A 38049-2020.docx", "A 38049-2020")</f>
        <v/>
      </c>
    </row>
    <row r="142" ht="15" customHeight="1">
      <c r="A142" t="inlineStr">
        <is>
          <t>A 41561-2020</t>
        </is>
      </c>
      <c r="B142" s="1" t="n">
        <v>44074</v>
      </c>
      <c r="C142" s="1" t="n">
        <v>45205</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HYPERLINK("https://klasma.github.io/Logging_BORGHOLM/artfynd/A 41561-2020.xlsx", "A 41561-2020")</f>
        <v/>
      </c>
      <c r="T142">
        <f>HYPERLINK("https://klasma.github.io/Logging_BORGHOLM/kartor/A 41561-2020.png", "A 41561-2020")</f>
        <v/>
      </c>
      <c r="V142">
        <f>HYPERLINK("https://klasma.github.io/Logging_BORGHOLM/klagomål/A 41561-2020.docx", "A 41561-2020")</f>
        <v/>
      </c>
      <c r="W142">
        <f>HYPERLINK("https://klasma.github.io/Logging_BORGHOLM/klagomålsmail/A 41561-2020.docx", "A 41561-2020")</f>
        <v/>
      </c>
      <c r="X142">
        <f>HYPERLINK("https://klasma.github.io/Logging_BORGHOLM/tillsyn/A 41561-2020.docx", "A 41561-2020")</f>
        <v/>
      </c>
      <c r="Y142">
        <f>HYPERLINK("https://klasma.github.io/Logging_BORGHOLM/tillsynsmail/A 41561-2020.docx", "A 41561-2020")</f>
        <v/>
      </c>
    </row>
    <row r="143" ht="15" customHeight="1">
      <c r="A143" t="inlineStr">
        <is>
          <t>A 42561-2020</t>
        </is>
      </c>
      <c r="B143" s="1" t="n">
        <v>44077</v>
      </c>
      <c r="C143" s="1" t="n">
        <v>45205</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HYPERLINK("https://klasma.github.io/Logging_NYBRO/artfynd/A 42561-2020.xlsx", "A 42561-2020")</f>
        <v/>
      </c>
      <c r="T143">
        <f>HYPERLINK("https://klasma.github.io/Logging_NYBRO/kartor/A 42561-2020.png", "A 42561-2020")</f>
        <v/>
      </c>
      <c r="V143">
        <f>HYPERLINK("https://klasma.github.io/Logging_NYBRO/klagomål/A 42561-2020.docx", "A 42561-2020")</f>
        <v/>
      </c>
      <c r="W143">
        <f>HYPERLINK("https://klasma.github.io/Logging_NYBRO/klagomålsmail/A 42561-2020.docx", "A 42561-2020")</f>
        <v/>
      </c>
      <c r="X143">
        <f>HYPERLINK("https://klasma.github.io/Logging_NYBRO/tillsyn/A 42561-2020.docx", "A 42561-2020")</f>
        <v/>
      </c>
      <c r="Y143">
        <f>HYPERLINK("https://klasma.github.io/Logging_NYBRO/tillsynsmail/A 42561-2020.docx", "A 42561-2020")</f>
        <v/>
      </c>
    </row>
    <row r="144" ht="15" customHeight="1">
      <c r="A144" t="inlineStr">
        <is>
          <t>A 51578-2020</t>
        </is>
      </c>
      <c r="B144" s="1" t="n">
        <v>44109</v>
      </c>
      <c r="C144" s="1" t="n">
        <v>45205</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HYPERLINK("https://klasma.github.io/Logging_HOGSBY/artfynd/A 51578-2020.xlsx", "A 51578-2020")</f>
        <v/>
      </c>
      <c r="T144">
        <f>HYPERLINK("https://klasma.github.io/Logging_HOGSBY/kartor/A 51578-2020.png", "A 51578-2020")</f>
        <v/>
      </c>
      <c r="V144">
        <f>HYPERLINK("https://klasma.github.io/Logging_HOGSBY/klagomål/A 51578-2020.docx", "A 51578-2020")</f>
        <v/>
      </c>
      <c r="W144">
        <f>HYPERLINK("https://klasma.github.io/Logging_HOGSBY/klagomålsmail/A 51578-2020.docx", "A 51578-2020")</f>
        <v/>
      </c>
      <c r="X144">
        <f>HYPERLINK("https://klasma.github.io/Logging_HOGSBY/tillsyn/A 51578-2020.docx", "A 51578-2020")</f>
        <v/>
      </c>
      <c r="Y144">
        <f>HYPERLINK("https://klasma.github.io/Logging_HOGSBY/tillsynsmail/A 51578-2020.docx", "A 51578-2020")</f>
        <v/>
      </c>
    </row>
    <row r="145" ht="15" customHeight="1">
      <c r="A145" t="inlineStr">
        <is>
          <t>A 55210-2020</t>
        </is>
      </c>
      <c r="B145" s="1" t="n">
        <v>44130</v>
      </c>
      <c r="C145" s="1" t="n">
        <v>45205</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HYPERLINK("https://klasma.github.io/Logging_BORGHOLM/artfynd/A 55210-2020.xlsx", "A 55210-2020")</f>
        <v/>
      </c>
      <c r="T145">
        <f>HYPERLINK("https://klasma.github.io/Logging_BORGHOLM/kartor/A 55210-2020.png", "A 55210-2020")</f>
        <v/>
      </c>
      <c r="V145">
        <f>HYPERLINK("https://klasma.github.io/Logging_BORGHOLM/klagomål/A 55210-2020.docx", "A 55210-2020")</f>
        <v/>
      </c>
      <c r="W145">
        <f>HYPERLINK("https://klasma.github.io/Logging_BORGHOLM/klagomålsmail/A 55210-2020.docx", "A 55210-2020")</f>
        <v/>
      </c>
      <c r="X145">
        <f>HYPERLINK("https://klasma.github.io/Logging_BORGHOLM/tillsyn/A 55210-2020.docx", "A 55210-2020")</f>
        <v/>
      </c>
      <c r="Y145">
        <f>HYPERLINK("https://klasma.github.io/Logging_BORGHOLM/tillsynsmail/A 55210-2020.docx", "A 55210-2020")</f>
        <v/>
      </c>
    </row>
    <row r="146" ht="15" customHeight="1">
      <c r="A146" t="inlineStr">
        <is>
          <t>A 61854-2020</t>
        </is>
      </c>
      <c r="B146" s="1" t="n">
        <v>44155</v>
      </c>
      <c r="C146" s="1" t="n">
        <v>45205</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HYPERLINK("https://klasma.github.io/Logging_MORBYLANGA/artfynd/A 61854-2020.xlsx", "A 61854-2020")</f>
        <v/>
      </c>
      <c r="T146">
        <f>HYPERLINK("https://klasma.github.io/Logging_MORBYLANGA/kartor/A 61854-2020.png", "A 61854-2020")</f>
        <v/>
      </c>
      <c r="V146">
        <f>HYPERLINK("https://klasma.github.io/Logging_MORBYLANGA/klagomål/A 61854-2020.docx", "A 61854-2020")</f>
        <v/>
      </c>
      <c r="W146">
        <f>HYPERLINK("https://klasma.github.io/Logging_MORBYLANGA/klagomålsmail/A 61854-2020.docx", "A 61854-2020")</f>
        <v/>
      </c>
      <c r="X146">
        <f>HYPERLINK("https://klasma.github.io/Logging_MORBYLANGA/tillsyn/A 61854-2020.docx", "A 61854-2020")</f>
        <v/>
      </c>
      <c r="Y146">
        <f>HYPERLINK("https://klasma.github.io/Logging_MORBYLANGA/tillsynsmail/A 61854-2020.docx", "A 61854-2020")</f>
        <v/>
      </c>
    </row>
    <row r="147" ht="15" customHeight="1">
      <c r="A147" t="inlineStr">
        <is>
          <t>A 10511-2021</t>
        </is>
      </c>
      <c r="B147" s="1" t="n">
        <v>44258</v>
      </c>
      <c r="C147" s="1" t="n">
        <v>45205</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HYPERLINK("https://klasma.github.io/Logging_HULTSFRED/artfynd/A 10511-2021.xlsx", "A 10511-2021")</f>
        <v/>
      </c>
      <c r="T147">
        <f>HYPERLINK("https://klasma.github.io/Logging_HULTSFRED/kartor/A 10511-2021.png", "A 10511-2021")</f>
        <v/>
      </c>
      <c r="U147">
        <f>HYPERLINK("https://klasma.github.io/Logging_HULTSFRED/knärot/A 10511-2021.png", "A 10511-2021")</f>
        <v/>
      </c>
      <c r="V147">
        <f>HYPERLINK("https://klasma.github.io/Logging_HULTSFRED/klagomål/A 10511-2021.docx", "A 10511-2021")</f>
        <v/>
      </c>
      <c r="W147">
        <f>HYPERLINK("https://klasma.github.io/Logging_HULTSFRED/klagomålsmail/A 10511-2021.docx", "A 10511-2021")</f>
        <v/>
      </c>
      <c r="X147">
        <f>HYPERLINK("https://klasma.github.io/Logging_HULTSFRED/tillsyn/A 10511-2021.docx", "A 10511-2021")</f>
        <v/>
      </c>
      <c r="Y147">
        <f>HYPERLINK("https://klasma.github.io/Logging_HULTSFRED/tillsynsmail/A 10511-2021.docx", "A 10511-2021")</f>
        <v/>
      </c>
    </row>
    <row r="148" ht="15" customHeight="1">
      <c r="A148" t="inlineStr">
        <is>
          <t>A 28301-2021</t>
        </is>
      </c>
      <c r="B148" s="1" t="n">
        <v>44356</v>
      </c>
      <c r="C148" s="1" t="n">
        <v>45205</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HYPERLINK("https://klasma.github.io/Logging_OSKARSHAMN/artfynd/A 28301-2021.xlsx", "A 28301-2021")</f>
        <v/>
      </c>
      <c r="T148">
        <f>HYPERLINK("https://klasma.github.io/Logging_OSKARSHAMN/kartor/A 28301-2021.png", "A 28301-2021")</f>
        <v/>
      </c>
      <c r="V148">
        <f>HYPERLINK("https://klasma.github.io/Logging_OSKARSHAMN/klagomål/A 28301-2021.docx", "A 28301-2021")</f>
        <v/>
      </c>
      <c r="W148">
        <f>HYPERLINK("https://klasma.github.io/Logging_OSKARSHAMN/klagomålsmail/A 28301-2021.docx", "A 28301-2021")</f>
        <v/>
      </c>
      <c r="X148">
        <f>HYPERLINK("https://klasma.github.io/Logging_OSKARSHAMN/tillsyn/A 28301-2021.docx", "A 28301-2021")</f>
        <v/>
      </c>
      <c r="Y148">
        <f>HYPERLINK("https://klasma.github.io/Logging_OSKARSHAMN/tillsynsmail/A 28301-2021.docx", "A 28301-2021")</f>
        <v/>
      </c>
    </row>
    <row r="149" ht="15" customHeight="1">
      <c r="A149" t="inlineStr">
        <is>
          <t>A 28297-2021</t>
        </is>
      </c>
      <c r="B149" s="1" t="n">
        <v>44356</v>
      </c>
      <c r="C149" s="1" t="n">
        <v>45205</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HYPERLINK("https://klasma.github.io/Logging_OSKARSHAMN/artfynd/A 28297-2021.xlsx", "A 28297-2021")</f>
        <v/>
      </c>
      <c r="T149">
        <f>HYPERLINK("https://klasma.github.io/Logging_OSKARSHAMN/kartor/A 28297-2021.png", "A 28297-2021")</f>
        <v/>
      </c>
      <c r="V149">
        <f>HYPERLINK("https://klasma.github.io/Logging_OSKARSHAMN/klagomål/A 28297-2021.docx", "A 28297-2021")</f>
        <v/>
      </c>
      <c r="W149">
        <f>HYPERLINK("https://klasma.github.io/Logging_OSKARSHAMN/klagomålsmail/A 28297-2021.docx", "A 28297-2021")</f>
        <v/>
      </c>
      <c r="X149">
        <f>HYPERLINK("https://klasma.github.io/Logging_OSKARSHAMN/tillsyn/A 28297-2021.docx", "A 28297-2021")</f>
        <v/>
      </c>
      <c r="Y149">
        <f>HYPERLINK("https://klasma.github.io/Logging_OSKARSHAMN/tillsynsmail/A 28297-2021.docx", "A 28297-2021")</f>
        <v/>
      </c>
    </row>
    <row r="150" ht="15" customHeight="1">
      <c r="A150" t="inlineStr">
        <is>
          <t>A 42768-2021</t>
        </is>
      </c>
      <c r="B150" s="1" t="n">
        <v>44428</v>
      </c>
      <c r="C150" s="1" t="n">
        <v>45205</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HYPERLINK("https://klasma.github.io/Logging_NYBRO/artfynd/A 42768-2021.xlsx", "A 42768-2021")</f>
        <v/>
      </c>
      <c r="T150">
        <f>HYPERLINK("https://klasma.github.io/Logging_NYBRO/kartor/A 42768-2021.png", "A 42768-2021")</f>
        <v/>
      </c>
      <c r="U150">
        <f>HYPERLINK("https://klasma.github.io/Logging_NYBRO/knärot/A 42768-2021.png", "A 42768-2021")</f>
        <v/>
      </c>
      <c r="V150">
        <f>HYPERLINK("https://klasma.github.io/Logging_NYBRO/klagomål/A 42768-2021.docx", "A 42768-2021")</f>
        <v/>
      </c>
      <c r="W150">
        <f>HYPERLINK("https://klasma.github.io/Logging_NYBRO/klagomålsmail/A 42768-2021.docx", "A 42768-2021")</f>
        <v/>
      </c>
      <c r="X150">
        <f>HYPERLINK("https://klasma.github.io/Logging_NYBRO/tillsyn/A 42768-2021.docx", "A 42768-2021")</f>
        <v/>
      </c>
      <c r="Y150">
        <f>HYPERLINK("https://klasma.github.io/Logging_NYBRO/tillsynsmail/A 42768-2021.docx", "A 42768-2021")</f>
        <v/>
      </c>
    </row>
    <row r="151" ht="15" customHeight="1">
      <c r="A151" t="inlineStr">
        <is>
          <t>A 50720-2021</t>
        </is>
      </c>
      <c r="B151" s="1" t="n">
        <v>44459</v>
      </c>
      <c r="C151" s="1" t="n">
        <v>45205</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HYPERLINK("https://klasma.github.io/Logging_BORGHOLM/artfynd/A 50720-2021.xlsx", "A 50720-2021")</f>
        <v/>
      </c>
      <c r="T151">
        <f>HYPERLINK("https://klasma.github.io/Logging_BORGHOLM/kartor/A 50720-2021.png", "A 50720-2021")</f>
        <v/>
      </c>
      <c r="V151">
        <f>HYPERLINK("https://klasma.github.io/Logging_BORGHOLM/klagomål/A 50720-2021.docx", "A 50720-2021")</f>
        <v/>
      </c>
      <c r="W151">
        <f>HYPERLINK("https://klasma.github.io/Logging_BORGHOLM/klagomålsmail/A 50720-2021.docx", "A 50720-2021")</f>
        <v/>
      </c>
      <c r="X151">
        <f>HYPERLINK("https://klasma.github.io/Logging_BORGHOLM/tillsyn/A 50720-2021.docx", "A 50720-2021")</f>
        <v/>
      </c>
      <c r="Y151">
        <f>HYPERLINK("https://klasma.github.io/Logging_BORGHOLM/tillsynsmail/A 50720-2021.docx", "A 50720-2021")</f>
        <v/>
      </c>
    </row>
    <row r="152" ht="15" customHeight="1">
      <c r="A152" t="inlineStr">
        <is>
          <t>A 55135-2021</t>
        </is>
      </c>
      <c r="B152" s="1" t="n">
        <v>44474</v>
      </c>
      <c r="C152" s="1" t="n">
        <v>45205</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HYPERLINK("https://klasma.github.io/Logging_HULTSFRED/artfynd/A 55135-2021.xlsx", "A 55135-2021")</f>
        <v/>
      </c>
      <c r="T152">
        <f>HYPERLINK("https://klasma.github.io/Logging_HULTSFRED/kartor/A 55135-2021.png", "A 55135-2021")</f>
        <v/>
      </c>
      <c r="U152">
        <f>HYPERLINK("https://klasma.github.io/Logging_HULTSFRED/knärot/A 55135-2021.png", "A 55135-2021")</f>
        <v/>
      </c>
      <c r="V152">
        <f>HYPERLINK("https://klasma.github.io/Logging_HULTSFRED/klagomål/A 55135-2021.docx", "A 55135-2021")</f>
        <v/>
      </c>
      <c r="W152">
        <f>HYPERLINK("https://klasma.github.io/Logging_HULTSFRED/klagomålsmail/A 55135-2021.docx", "A 55135-2021")</f>
        <v/>
      </c>
      <c r="X152">
        <f>HYPERLINK("https://klasma.github.io/Logging_HULTSFRED/tillsyn/A 55135-2021.docx", "A 55135-2021")</f>
        <v/>
      </c>
      <c r="Y152">
        <f>HYPERLINK("https://klasma.github.io/Logging_HULTSFRED/tillsynsmail/A 55135-2021.docx", "A 55135-2021")</f>
        <v/>
      </c>
    </row>
    <row r="153" ht="15" customHeight="1">
      <c r="A153" t="inlineStr">
        <is>
          <t>A 55017-2021</t>
        </is>
      </c>
      <c r="B153" s="1" t="n">
        <v>44474</v>
      </c>
      <c r="C153" s="1" t="n">
        <v>45205</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HYPERLINK("https://klasma.github.io/Logging_VASTERVIK/artfynd/A 55017-2021.xlsx", "A 55017-2021")</f>
        <v/>
      </c>
      <c r="T153">
        <f>HYPERLINK("https://klasma.github.io/Logging_VASTERVIK/kartor/A 55017-2021.png", "A 55017-2021")</f>
        <v/>
      </c>
      <c r="U153">
        <f>HYPERLINK("https://klasma.github.io/Logging_VASTERVIK/knärot/A 55017-2021.png", "A 55017-2021")</f>
        <v/>
      </c>
      <c r="V153">
        <f>HYPERLINK("https://klasma.github.io/Logging_VASTERVIK/klagomål/A 55017-2021.docx", "A 55017-2021")</f>
        <v/>
      </c>
      <c r="W153">
        <f>HYPERLINK("https://klasma.github.io/Logging_VASTERVIK/klagomålsmail/A 55017-2021.docx", "A 55017-2021")</f>
        <v/>
      </c>
      <c r="X153">
        <f>HYPERLINK("https://klasma.github.io/Logging_VASTERVIK/tillsyn/A 55017-2021.docx", "A 55017-2021")</f>
        <v/>
      </c>
      <c r="Y153">
        <f>HYPERLINK("https://klasma.github.io/Logging_VASTERVIK/tillsynsmail/A 55017-2021.docx", "A 55017-2021")</f>
        <v/>
      </c>
    </row>
    <row r="154" ht="15" customHeight="1">
      <c r="A154" t="inlineStr">
        <is>
          <t>A 63850-2021</t>
        </is>
      </c>
      <c r="B154" s="1" t="n">
        <v>44505</v>
      </c>
      <c r="C154" s="1" t="n">
        <v>45205</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HYPERLINK("https://klasma.github.io/Logging_VASTERVIK/artfynd/A 63850-2021.xlsx", "A 63850-2021")</f>
        <v/>
      </c>
      <c r="T154">
        <f>HYPERLINK("https://klasma.github.io/Logging_VASTERVIK/kartor/A 63850-2021.png", "A 63850-2021")</f>
        <v/>
      </c>
      <c r="U154">
        <f>HYPERLINK("https://klasma.github.io/Logging_VASTERVIK/knärot/A 63850-2021.png", "A 63850-2021")</f>
        <v/>
      </c>
      <c r="V154">
        <f>HYPERLINK("https://klasma.github.io/Logging_VASTERVIK/klagomål/A 63850-2021.docx", "A 63850-2021")</f>
        <v/>
      </c>
      <c r="W154">
        <f>HYPERLINK("https://klasma.github.io/Logging_VASTERVIK/klagomålsmail/A 63850-2021.docx", "A 63850-2021")</f>
        <v/>
      </c>
      <c r="X154">
        <f>HYPERLINK("https://klasma.github.io/Logging_VASTERVIK/tillsyn/A 63850-2021.docx", "A 63850-2021")</f>
        <v/>
      </c>
      <c r="Y154">
        <f>HYPERLINK("https://klasma.github.io/Logging_VASTERVIK/tillsynsmail/A 63850-2021.docx", "A 63850-2021")</f>
        <v/>
      </c>
    </row>
    <row r="155" ht="15" customHeight="1">
      <c r="A155" t="inlineStr">
        <is>
          <t>A 73465-2021</t>
        </is>
      </c>
      <c r="B155" s="1" t="n">
        <v>44551</v>
      </c>
      <c r="C155" s="1" t="n">
        <v>45205</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HYPERLINK("https://klasma.github.io/Logging_HULTSFRED/artfynd/A 73465-2021.xlsx", "A 73465-2021")</f>
        <v/>
      </c>
      <c r="T155">
        <f>HYPERLINK("https://klasma.github.io/Logging_HULTSFRED/kartor/A 73465-2021.png", "A 73465-2021")</f>
        <v/>
      </c>
      <c r="U155">
        <f>HYPERLINK("https://klasma.github.io/Logging_HULTSFRED/knärot/A 73465-2021.png", "A 73465-2021")</f>
        <v/>
      </c>
      <c r="V155">
        <f>HYPERLINK("https://klasma.github.io/Logging_HULTSFRED/klagomål/A 73465-2021.docx", "A 73465-2021")</f>
        <v/>
      </c>
      <c r="W155">
        <f>HYPERLINK("https://klasma.github.io/Logging_HULTSFRED/klagomålsmail/A 73465-2021.docx", "A 73465-2021")</f>
        <v/>
      </c>
      <c r="X155">
        <f>HYPERLINK("https://klasma.github.io/Logging_HULTSFRED/tillsyn/A 73465-2021.docx", "A 73465-2021")</f>
        <v/>
      </c>
      <c r="Y155">
        <f>HYPERLINK("https://klasma.github.io/Logging_HULTSFRED/tillsynsmail/A 73465-2021.docx", "A 73465-2021")</f>
        <v/>
      </c>
    </row>
    <row r="156" ht="15" customHeight="1">
      <c r="A156" t="inlineStr">
        <is>
          <t>A 1650-2022</t>
        </is>
      </c>
      <c r="B156" s="1" t="n">
        <v>44574</v>
      </c>
      <c r="C156" s="1" t="n">
        <v>45205</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HYPERLINK("https://klasma.github.io/Logging_OSKARSHAMN/artfynd/A 1650-2022.xlsx", "A 1650-2022")</f>
        <v/>
      </c>
      <c r="T156">
        <f>HYPERLINK("https://klasma.github.io/Logging_OSKARSHAMN/kartor/A 1650-2022.png", "A 1650-2022")</f>
        <v/>
      </c>
      <c r="U156">
        <f>HYPERLINK("https://klasma.github.io/Logging_OSKARSHAMN/knärot/A 1650-2022.png", "A 1650-2022")</f>
        <v/>
      </c>
      <c r="V156">
        <f>HYPERLINK("https://klasma.github.io/Logging_OSKARSHAMN/klagomål/A 1650-2022.docx", "A 1650-2022")</f>
        <v/>
      </c>
      <c r="W156">
        <f>HYPERLINK("https://klasma.github.io/Logging_OSKARSHAMN/klagomålsmail/A 1650-2022.docx", "A 1650-2022")</f>
        <v/>
      </c>
      <c r="X156">
        <f>HYPERLINK("https://klasma.github.io/Logging_OSKARSHAMN/tillsyn/A 1650-2022.docx", "A 1650-2022")</f>
        <v/>
      </c>
      <c r="Y156">
        <f>HYPERLINK("https://klasma.github.io/Logging_OSKARSHAMN/tillsynsmail/A 1650-2022.docx", "A 1650-2022")</f>
        <v/>
      </c>
    </row>
    <row r="157" ht="15" customHeight="1">
      <c r="A157" t="inlineStr">
        <is>
          <t>A 35331-2022</t>
        </is>
      </c>
      <c r="B157" s="1" t="n">
        <v>44798</v>
      </c>
      <c r="C157" s="1" t="n">
        <v>45205</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HYPERLINK("https://klasma.github.io/Logging_VIMMERBY/artfynd/A 35331-2022.xlsx", "A 35331-2022")</f>
        <v/>
      </c>
      <c r="T157">
        <f>HYPERLINK("https://klasma.github.io/Logging_VIMMERBY/kartor/A 35331-2022.png", "A 35331-2022")</f>
        <v/>
      </c>
      <c r="V157">
        <f>HYPERLINK("https://klasma.github.io/Logging_VIMMERBY/klagomål/A 35331-2022.docx", "A 35331-2022")</f>
        <v/>
      </c>
      <c r="W157">
        <f>HYPERLINK("https://klasma.github.io/Logging_VIMMERBY/klagomålsmail/A 35331-2022.docx", "A 35331-2022")</f>
        <v/>
      </c>
      <c r="X157">
        <f>HYPERLINK("https://klasma.github.io/Logging_VIMMERBY/tillsyn/A 35331-2022.docx", "A 35331-2022")</f>
        <v/>
      </c>
      <c r="Y157">
        <f>HYPERLINK("https://klasma.github.io/Logging_VIMMERBY/tillsynsmail/A 35331-2022.docx", "A 35331-2022")</f>
        <v/>
      </c>
    </row>
    <row r="158" ht="15" customHeight="1">
      <c r="A158" t="inlineStr">
        <is>
          <t>A 51923-2022</t>
        </is>
      </c>
      <c r="B158" s="1" t="n">
        <v>44868</v>
      </c>
      <c r="C158" s="1" t="n">
        <v>45205</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HYPERLINK("https://klasma.github.io/Logging_VASTERVIK/artfynd/A 51923-2022.xlsx", "A 51923-2022")</f>
        <v/>
      </c>
      <c r="T158">
        <f>HYPERLINK("https://klasma.github.io/Logging_VASTERVIK/kartor/A 51923-2022.png", "A 51923-2022")</f>
        <v/>
      </c>
      <c r="V158">
        <f>HYPERLINK("https://klasma.github.io/Logging_VASTERVIK/klagomål/A 51923-2022.docx", "A 51923-2022")</f>
        <v/>
      </c>
      <c r="W158">
        <f>HYPERLINK("https://klasma.github.io/Logging_VASTERVIK/klagomålsmail/A 51923-2022.docx", "A 51923-2022")</f>
        <v/>
      </c>
      <c r="X158">
        <f>HYPERLINK("https://klasma.github.io/Logging_VASTERVIK/tillsyn/A 51923-2022.docx", "A 51923-2022")</f>
        <v/>
      </c>
      <c r="Y158">
        <f>HYPERLINK("https://klasma.github.io/Logging_VASTERVIK/tillsynsmail/A 51923-2022.docx", "A 51923-2022")</f>
        <v/>
      </c>
    </row>
    <row r="159" ht="15" customHeight="1">
      <c r="A159" t="inlineStr">
        <is>
          <t>A 53167-2022</t>
        </is>
      </c>
      <c r="B159" s="1" t="n">
        <v>44873</v>
      </c>
      <c r="C159" s="1" t="n">
        <v>45205</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HYPERLINK("https://klasma.github.io/Logging_MONSTERAS/artfynd/A 53167-2022.xlsx", "A 53167-2022")</f>
        <v/>
      </c>
      <c r="T159">
        <f>HYPERLINK("https://klasma.github.io/Logging_MONSTERAS/kartor/A 53167-2022.png", "A 53167-2022")</f>
        <v/>
      </c>
      <c r="V159">
        <f>HYPERLINK("https://klasma.github.io/Logging_MONSTERAS/klagomål/A 53167-2022.docx", "A 53167-2022")</f>
        <v/>
      </c>
      <c r="W159">
        <f>HYPERLINK("https://klasma.github.io/Logging_MONSTERAS/klagomålsmail/A 53167-2022.docx", "A 53167-2022")</f>
        <v/>
      </c>
      <c r="X159">
        <f>HYPERLINK("https://klasma.github.io/Logging_MONSTERAS/tillsyn/A 53167-2022.docx", "A 53167-2022")</f>
        <v/>
      </c>
      <c r="Y159">
        <f>HYPERLINK("https://klasma.github.io/Logging_MONSTERAS/tillsynsmail/A 53167-2022.docx", "A 53167-2022")</f>
        <v/>
      </c>
    </row>
    <row r="160" ht="15" customHeight="1">
      <c r="A160" t="inlineStr">
        <is>
          <t>A 53368-2022</t>
        </is>
      </c>
      <c r="B160" s="1" t="n">
        <v>44879</v>
      </c>
      <c r="C160" s="1" t="n">
        <v>45205</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HYPERLINK("https://klasma.github.io/Logging_NYBRO/artfynd/A 53368-2022.xlsx", "A 53368-2022")</f>
        <v/>
      </c>
      <c r="T160">
        <f>HYPERLINK("https://klasma.github.io/Logging_NYBRO/kartor/A 53368-2022.png", "A 53368-2022")</f>
        <v/>
      </c>
      <c r="V160">
        <f>HYPERLINK("https://klasma.github.io/Logging_NYBRO/klagomål/A 53368-2022.docx", "A 53368-2022")</f>
        <v/>
      </c>
      <c r="W160">
        <f>HYPERLINK("https://klasma.github.io/Logging_NYBRO/klagomålsmail/A 53368-2022.docx", "A 53368-2022")</f>
        <v/>
      </c>
      <c r="X160">
        <f>HYPERLINK("https://klasma.github.io/Logging_NYBRO/tillsyn/A 53368-2022.docx", "A 53368-2022")</f>
        <v/>
      </c>
      <c r="Y160">
        <f>HYPERLINK("https://klasma.github.io/Logging_NYBRO/tillsynsmail/A 53368-2022.docx", "A 53368-2022")</f>
        <v/>
      </c>
    </row>
    <row r="161" ht="15" customHeight="1">
      <c r="A161" t="inlineStr">
        <is>
          <t>A 6933-2023</t>
        </is>
      </c>
      <c r="B161" s="1" t="n">
        <v>44951</v>
      </c>
      <c r="C161" s="1" t="n">
        <v>45205</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HYPERLINK("https://klasma.github.io/Logging_KALMAR/artfynd/A 6933-2023.xlsx", "A 6933-2023")</f>
        <v/>
      </c>
      <c r="T161">
        <f>HYPERLINK("https://klasma.github.io/Logging_KALMAR/kartor/A 6933-2023.png", "A 6933-2023")</f>
        <v/>
      </c>
      <c r="U161">
        <f>HYPERLINK("https://klasma.github.io/Logging_KALMAR/knärot/A 6933-2023.png", "A 6933-2023")</f>
        <v/>
      </c>
      <c r="V161">
        <f>HYPERLINK("https://klasma.github.io/Logging_KALMAR/klagomål/A 6933-2023.docx", "A 6933-2023")</f>
        <v/>
      </c>
      <c r="W161">
        <f>HYPERLINK("https://klasma.github.io/Logging_KALMAR/klagomålsmail/A 6933-2023.docx", "A 6933-2023")</f>
        <v/>
      </c>
      <c r="X161">
        <f>HYPERLINK("https://klasma.github.io/Logging_KALMAR/tillsyn/A 6933-2023.docx", "A 6933-2023")</f>
        <v/>
      </c>
      <c r="Y161">
        <f>HYPERLINK("https://klasma.github.io/Logging_KALMAR/tillsynsmail/A 6933-2023.docx", "A 6933-2023")</f>
        <v/>
      </c>
    </row>
    <row r="162" ht="15" customHeight="1">
      <c r="A162" t="inlineStr">
        <is>
          <t>A 8929-2023</t>
        </is>
      </c>
      <c r="B162" s="1" t="n">
        <v>44979</v>
      </c>
      <c r="C162" s="1" t="n">
        <v>45205</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HYPERLINK("https://klasma.github.io/Logging_KALMAR/artfynd/A 8929-2023.xlsx", "A 8929-2023")</f>
        <v/>
      </c>
      <c r="T162">
        <f>HYPERLINK("https://klasma.github.io/Logging_KALMAR/kartor/A 8929-2023.png", "A 8929-2023")</f>
        <v/>
      </c>
      <c r="V162">
        <f>HYPERLINK("https://klasma.github.io/Logging_KALMAR/klagomål/A 8929-2023.docx", "A 8929-2023")</f>
        <v/>
      </c>
      <c r="W162">
        <f>HYPERLINK("https://klasma.github.io/Logging_KALMAR/klagomålsmail/A 8929-2023.docx", "A 8929-2023")</f>
        <v/>
      </c>
      <c r="X162">
        <f>HYPERLINK("https://klasma.github.io/Logging_KALMAR/tillsyn/A 8929-2023.docx", "A 8929-2023")</f>
        <v/>
      </c>
      <c r="Y162">
        <f>HYPERLINK("https://klasma.github.io/Logging_KALMAR/tillsynsmail/A 8929-2023.docx", "A 8929-2023")</f>
        <v/>
      </c>
    </row>
    <row r="163" ht="15" customHeight="1">
      <c r="A163" t="inlineStr">
        <is>
          <t>A 12870-2023</t>
        </is>
      </c>
      <c r="B163" s="1" t="n">
        <v>45001</v>
      </c>
      <c r="C163" s="1" t="n">
        <v>45205</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HYPERLINK("https://klasma.github.io/Logging_TORSAS/artfynd/A 12870-2023.xlsx", "A 12870-2023")</f>
        <v/>
      </c>
      <c r="T163">
        <f>HYPERLINK("https://klasma.github.io/Logging_TORSAS/kartor/A 12870-2023.png", "A 12870-2023")</f>
        <v/>
      </c>
      <c r="V163">
        <f>HYPERLINK("https://klasma.github.io/Logging_TORSAS/klagomål/A 12870-2023.docx", "A 12870-2023")</f>
        <v/>
      </c>
      <c r="W163">
        <f>HYPERLINK("https://klasma.github.io/Logging_TORSAS/klagomålsmail/A 12870-2023.docx", "A 12870-2023")</f>
        <v/>
      </c>
      <c r="X163">
        <f>HYPERLINK("https://klasma.github.io/Logging_TORSAS/tillsyn/A 12870-2023.docx", "A 12870-2023")</f>
        <v/>
      </c>
      <c r="Y163">
        <f>HYPERLINK("https://klasma.github.io/Logging_TORSAS/tillsynsmail/A 12870-2023.docx", "A 12870-2023")</f>
        <v/>
      </c>
    </row>
    <row r="164" ht="15" customHeight="1">
      <c r="A164" t="inlineStr">
        <is>
          <t>A 71226-2018</t>
        </is>
      </c>
      <c r="B164" s="1" t="n">
        <v>43453</v>
      </c>
      <c r="C164" s="1" t="n">
        <v>45205</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HYPERLINK("https://klasma.github.io/Logging_VIMMERBY/artfynd/A 71226-2018.xlsx", "A 71226-2018")</f>
        <v/>
      </c>
      <c r="T164">
        <f>HYPERLINK("https://klasma.github.io/Logging_VIMMERBY/kartor/A 71226-2018.png", "A 71226-2018")</f>
        <v/>
      </c>
      <c r="V164">
        <f>HYPERLINK("https://klasma.github.io/Logging_VIMMERBY/klagomål/A 71226-2018.docx", "A 71226-2018")</f>
        <v/>
      </c>
      <c r="W164">
        <f>HYPERLINK("https://klasma.github.io/Logging_VIMMERBY/klagomålsmail/A 71226-2018.docx", "A 71226-2018")</f>
        <v/>
      </c>
      <c r="X164">
        <f>HYPERLINK("https://klasma.github.io/Logging_VIMMERBY/tillsyn/A 71226-2018.docx", "A 71226-2018")</f>
        <v/>
      </c>
      <c r="Y164">
        <f>HYPERLINK("https://klasma.github.io/Logging_VIMMERBY/tillsynsmail/A 71226-2018.docx", "A 71226-2018")</f>
        <v/>
      </c>
    </row>
    <row r="165" ht="15" customHeight="1">
      <c r="A165" t="inlineStr">
        <is>
          <t>A 3816-2019</t>
        </is>
      </c>
      <c r="B165" s="1" t="n">
        <v>43475</v>
      </c>
      <c r="C165" s="1" t="n">
        <v>45205</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HYPERLINK("https://klasma.github.io/Logging_HOGSBY/artfynd/A 3816-2019.xlsx", "A 3816-2019")</f>
        <v/>
      </c>
      <c r="T165">
        <f>HYPERLINK("https://klasma.github.io/Logging_HOGSBY/kartor/A 3816-2019.png", "A 3816-2019")</f>
        <v/>
      </c>
      <c r="V165">
        <f>HYPERLINK("https://klasma.github.io/Logging_HOGSBY/klagomål/A 3816-2019.docx", "A 3816-2019")</f>
        <v/>
      </c>
      <c r="W165">
        <f>HYPERLINK("https://klasma.github.io/Logging_HOGSBY/klagomålsmail/A 3816-2019.docx", "A 3816-2019")</f>
        <v/>
      </c>
      <c r="X165">
        <f>HYPERLINK("https://klasma.github.io/Logging_HOGSBY/tillsyn/A 3816-2019.docx", "A 3816-2019")</f>
        <v/>
      </c>
      <c r="Y165">
        <f>HYPERLINK("https://klasma.github.io/Logging_HOGSBY/tillsynsmail/A 3816-2019.docx", "A 3816-2019")</f>
        <v/>
      </c>
    </row>
    <row r="166" ht="15" customHeight="1">
      <c r="A166" t="inlineStr">
        <is>
          <t>A 3993-2019</t>
        </is>
      </c>
      <c r="B166" s="1" t="n">
        <v>43475</v>
      </c>
      <c r="C166" s="1" t="n">
        <v>45205</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HYPERLINK("https://klasma.github.io/Logging_NYBRO/artfynd/A 3993-2019.xlsx", "A 3993-2019")</f>
        <v/>
      </c>
      <c r="T166">
        <f>HYPERLINK("https://klasma.github.io/Logging_NYBRO/kartor/A 3993-2019.png", "A 3993-2019")</f>
        <v/>
      </c>
      <c r="V166">
        <f>HYPERLINK("https://klasma.github.io/Logging_NYBRO/klagomål/A 3993-2019.docx", "A 3993-2019")</f>
        <v/>
      </c>
      <c r="W166">
        <f>HYPERLINK("https://klasma.github.io/Logging_NYBRO/klagomålsmail/A 3993-2019.docx", "A 3993-2019")</f>
        <v/>
      </c>
      <c r="X166">
        <f>HYPERLINK("https://klasma.github.io/Logging_NYBRO/tillsyn/A 3993-2019.docx", "A 3993-2019")</f>
        <v/>
      </c>
      <c r="Y166">
        <f>HYPERLINK("https://klasma.github.io/Logging_NYBRO/tillsynsmail/A 3993-2019.docx", "A 3993-2019")</f>
        <v/>
      </c>
    </row>
    <row r="167" ht="15" customHeight="1">
      <c r="A167" t="inlineStr">
        <is>
          <t>A 6157-2019</t>
        </is>
      </c>
      <c r="B167" s="1" t="n">
        <v>43493</v>
      </c>
      <c r="C167" s="1" t="n">
        <v>45205</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HYPERLINK("https://klasma.github.io/Logging_HOGSBY/artfynd/A 6157-2019.xlsx", "A 6157-2019")</f>
        <v/>
      </c>
      <c r="T167">
        <f>HYPERLINK("https://klasma.github.io/Logging_HOGSBY/kartor/A 6157-2019.png", "A 6157-2019")</f>
        <v/>
      </c>
      <c r="V167">
        <f>HYPERLINK("https://klasma.github.io/Logging_HOGSBY/klagomål/A 6157-2019.docx", "A 6157-2019")</f>
        <v/>
      </c>
      <c r="W167">
        <f>HYPERLINK("https://klasma.github.io/Logging_HOGSBY/klagomålsmail/A 6157-2019.docx", "A 6157-2019")</f>
        <v/>
      </c>
      <c r="X167">
        <f>HYPERLINK("https://klasma.github.io/Logging_HOGSBY/tillsyn/A 6157-2019.docx", "A 6157-2019")</f>
        <v/>
      </c>
      <c r="Y167">
        <f>HYPERLINK("https://klasma.github.io/Logging_HOGSBY/tillsynsmail/A 6157-2019.docx", "A 6157-2019")</f>
        <v/>
      </c>
    </row>
    <row r="168" ht="15" customHeight="1">
      <c r="A168" t="inlineStr">
        <is>
          <t>A 26717-2019</t>
        </is>
      </c>
      <c r="B168" s="1" t="n">
        <v>43613</v>
      </c>
      <c r="C168" s="1" t="n">
        <v>45205</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HYPERLINK("https://klasma.github.io/Logging_KALMAR/artfynd/A 26717-2019.xlsx", "A 26717-2019")</f>
        <v/>
      </c>
      <c r="T168">
        <f>HYPERLINK("https://klasma.github.io/Logging_KALMAR/kartor/A 26717-2019.png", "A 26717-2019")</f>
        <v/>
      </c>
      <c r="U168">
        <f>HYPERLINK("https://klasma.github.io/Logging_KALMAR/knärot/A 26717-2019.png", "A 26717-2019")</f>
        <v/>
      </c>
      <c r="V168">
        <f>HYPERLINK("https://klasma.github.io/Logging_KALMAR/klagomål/A 26717-2019.docx", "A 26717-2019")</f>
        <v/>
      </c>
      <c r="W168">
        <f>HYPERLINK("https://klasma.github.io/Logging_KALMAR/klagomålsmail/A 26717-2019.docx", "A 26717-2019")</f>
        <v/>
      </c>
      <c r="X168">
        <f>HYPERLINK("https://klasma.github.io/Logging_KALMAR/tillsyn/A 26717-2019.docx", "A 26717-2019")</f>
        <v/>
      </c>
      <c r="Y168">
        <f>HYPERLINK("https://klasma.github.io/Logging_KALMAR/tillsynsmail/A 26717-2019.docx", "A 26717-2019")</f>
        <v/>
      </c>
    </row>
    <row r="169" ht="15" customHeight="1">
      <c r="A169" t="inlineStr">
        <is>
          <t>A 36349-2019</t>
        </is>
      </c>
      <c r="B169" s="1" t="n">
        <v>43670</v>
      </c>
      <c r="C169" s="1" t="n">
        <v>45205</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HYPERLINK("https://klasma.github.io/Logging_VIMMERBY/artfynd/A 36349-2019.xlsx", "A 36349-2019")</f>
        <v/>
      </c>
      <c r="T169">
        <f>HYPERLINK("https://klasma.github.io/Logging_VIMMERBY/kartor/A 36349-2019.png", "A 36349-2019")</f>
        <v/>
      </c>
      <c r="V169">
        <f>HYPERLINK("https://klasma.github.io/Logging_VIMMERBY/klagomål/A 36349-2019.docx", "A 36349-2019")</f>
        <v/>
      </c>
      <c r="W169">
        <f>HYPERLINK("https://klasma.github.io/Logging_VIMMERBY/klagomålsmail/A 36349-2019.docx", "A 36349-2019")</f>
        <v/>
      </c>
      <c r="X169">
        <f>HYPERLINK("https://klasma.github.io/Logging_VIMMERBY/tillsyn/A 36349-2019.docx", "A 36349-2019")</f>
        <v/>
      </c>
      <c r="Y169">
        <f>HYPERLINK("https://klasma.github.io/Logging_VIMMERBY/tillsynsmail/A 36349-2019.docx", "A 36349-2019")</f>
        <v/>
      </c>
    </row>
    <row r="170" ht="15" customHeight="1">
      <c r="A170" t="inlineStr">
        <is>
          <t>A 48149-2019</t>
        </is>
      </c>
      <c r="B170" s="1" t="n">
        <v>43726</v>
      </c>
      <c r="C170" s="1" t="n">
        <v>45205</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HYPERLINK("https://klasma.github.io/Logging_BORGHOLM/artfynd/A 48149-2019.xlsx", "A 48149-2019")</f>
        <v/>
      </c>
      <c r="T170">
        <f>HYPERLINK("https://klasma.github.io/Logging_BORGHOLM/kartor/A 48149-2019.png", "A 48149-2019")</f>
        <v/>
      </c>
      <c r="V170">
        <f>HYPERLINK("https://klasma.github.io/Logging_BORGHOLM/klagomål/A 48149-2019.docx", "A 48149-2019")</f>
        <v/>
      </c>
      <c r="W170">
        <f>HYPERLINK("https://klasma.github.io/Logging_BORGHOLM/klagomålsmail/A 48149-2019.docx", "A 48149-2019")</f>
        <v/>
      </c>
      <c r="X170">
        <f>HYPERLINK("https://klasma.github.io/Logging_BORGHOLM/tillsyn/A 48149-2019.docx", "A 48149-2019")</f>
        <v/>
      </c>
      <c r="Y170">
        <f>HYPERLINK("https://klasma.github.io/Logging_BORGHOLM/tillsynsmail/A 48149-2019.docx", "A 48149-2019")</f>
        <v/>
      </c>
    </row>
    <row r="171" ht="15" customHeight="1">
      <c r="A171" t="inlineStr">
        <is>
          <t>A 61247-2019</t>
        </is>
      </c>
      <c r="B171" s="1" t="n">
        <v>43783</v>
      </c>
      <c r="C171" s="1" t="n">
        <v>45205</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HYPERLINK("https://klasma.github.io/Logging_TORSAS/artfynd/A 61247-2019.xlsx", "A 61247-2019")</f>
        <v/>
      </c>
      <c r="T171">
        <f>HYPERLINK("https://klasma.github.io/Logging_TORSAS/kartor/A 61247-2019.png", "A 61247-2019")</f>
        <v/>
      </c>
      <c r="V171">
        <f>HYPERLINK("https://klasma.github.io/Logging_TORSAS/klagomål/A 61247-2019.docx", "A 61247-2019")</f>
        <v/>
      </c>
      <c r="W171">
        <f>HYPERLINK("https://klasma.github.io/Logging_TORSAS/klagomålsmail/A 61247-2019.docx", "A 61247-2019")</f>
        <v/>
      </c>
      <c r="X171">
        <f>HYPERLINK("https://klasma.github.io/Logging_TORSAS/tillsyn/A 61247-2019.docx", "A 61247-2019")</f>
        <v/>
      </c>
      <c r="Y171">
        <f>HYPERLINK("https://klasma.github.io/Logging_TORSAS/tillsynsmail/A 61247-2019.docx", "A 61247-2019")</f>
        <v/>
      </c>
    </row>
    <row r="172" ht="15" customHeight="1">
      <c r="A172" t="inlineStr">
        <is>
          <t>A 61610-2019</t>
        </is>
      </c>
      <c r="B172" s="1" t="n">
        <v>43784</v>
      </c>
      <c r="C172" s="1" t="n">
        <v>45205</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HYPERLINK("https://klasma.github.io/Logging_HOGSBY/artfynd/A 61610-2019.xlsx", "A 61610-2019")</f>
        <v/>
      </c>
      <c r="T172">
        <f>HYPERLINK("https://klasma.github.io/Logging_HOGSBY/kartor/A 61610-2019.png", "A 61610-2019")</f>
        <v/>
      </c>
      <c r="V172">
        <f>HYPERLINK("https://klasma.github.io/Logging_HOGSBY/klagomål/A 61610-2019.docx", "A 61610-2019")</f>
        <v/>
      </c>
      <c r="W172">
        <f>HYPERLINK("https://klasma.github.io/Logging_HOGSBY/klagomålsmail/A 61610-2019.docx", "A 61610-2019")</f>
        <v/>
      </c>
      <c r="X172">
        <f>HYPERLINK("https://klasma.github.io/Logging_HOGSBY/tillsyn/A 61610-2019.docx", "A 61610-2019")</f>
        <v/>
      </c>
      <c r="Y172">
        <f>HYPERLINK("https://klasma.github.io/Logging_HOGSBY/tillsynsmail/A 61610-2019.docx", "A 61610-2019")</f>
        <v/>
      </c>
    </row>
    <row r="173" ht="15" customHeight="1">
      <c r="A173" t="inlineStr">
        <is>
          <t>A 6509-2020</t>
        </is>
      </c>
      <c r="B173" s="1" t="n">
        <v>43867</v>
      </c>
      <c r="C173" s="1" t="n">
        <v>45205</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HYPERLINK("https://klasma.github.io/Logging_MONSTERAS/artfynd/A 6509-2020.xlsx", "A 6509-2020")</f>
        <v/>
      </c>
      <c r="T173">
        <f>HYPERLINK("https://klasma.github.io/Logging_MONSTERAS/kartor/A 6509-2020.png", "A 6509-2020")</f>
        <v/>
      </c>
      <c r="U173">
        <f>HYPERLINK("https://klasma.github.io/Logging_MONSTERAS/knärot/A 6509-2020.png", "A 6509-2020")</f>
        <v/>
      </c>
      <c r="V173">
        <f>HYPERLINK("https://klasma.github.io/Logging_MONSTERAS/klagomål/A 6509-2020.docx", "A 6509-2020")</f>
        <v/>
      </c>
      <c r="W173">
        <f>HYPERLINK("https://klasma.github.io/Logging_MONSTERAS/klagomålsmail/A 6509-2020.docx", "A 6509-2020")</f>
        <v/>
      </c>
      <c r="X173">
        <f>HYPERLINK("https://klasma.github.io/Logging_MONSTERAS/tillsyn/A 6509-2020.docx", "A 6509-2020")</f>
        <v/>
      </c>
      <c r="Y173">
        <f>HYPERLINK("https://klasma.github.io/Logging_MONSTERAS/tillsynsmail/A 6509-2020.docx", "A 6509-2020")</f>
        <v/>
      </c>
    </row>
    <row r="174" ht="15" customHeight="1">
      <c r="A174" t="inlineStr">
        <is>
          <t>A 9270-2020</t>
        </is>
      </c>
      <c r="B174" s="1" t="n">
        <v>43880</v>
      </c>
      <c r="C174" s="1" t="n">
        <v>45205</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HYPERLINK("https://klasma.github.io/Logging_MORBYLANGA/artfynd/A 9270-2020.xlsx", "A 9270-2020")</f>
        <v/>
      </c>
      <c r="T174">
        <f>HYPERLINK("https://klasma.github.io/Logging_MORBYLANGA/kartor/A 9270-2020.png", "A 9270-2020")</f>
        <v/>
      </c>
      <c r="V174">
        <f>HYPERLINK("https://klasma.github.io/Logging_MORBYLANGA/klagomål/A 9270-2020.docx", "A 9270-2020")</f>
        <v/>
      </c>
      <c r="W174">
        <f>HYPERLINK("https://klasma.github.io/Logging_MORBYLANGA/klagomålsmail/A 9270-2020.docx", "A 9270-2020")</f>
        <v/>
      </c>
      <c r="X174">
        <f>HYPERLINK("https://klasma.github.io/Logging_MORBYLANGA/tillsyn/A 9270-2020.docx", "A 9270-2020")</f>
        <v/>
      </c>
      <c r="Y174">
        <f>HYPERLINK("https://klasma.github.io/Logging_MORBYLANGA/tillsynsmail/A 9270-2020.docx", "A 9270-2020")</f>
        <v/>
      </c>
    </row>
    <row r="175" ht="15" customHeight="1">
      <c r="A175" t="inlineStr">
        <is>
          <t>A 10069-2020</t>
        </is>
      </c>
      <c r="B175" s="1" t="n">
        <v>43883</v>
      </c>
      <c r="C175" s="1" t="n">
        <v>45205</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HYPERLINK("https://klasma.github.io/Logging_OSKARSHAMN/artfynd/A 10069-2020.xlsx", "A 10069-2020")</f>
        <v/>
      </c>
      <c r="T175">
        <f>HYPERLINK("https://klasma.github.io/Logging_OSKARSHAMN/kartor/A 10069-2020.png", "A 10069-2020")</f>
        <v/>
      </c>
      <c r="U175">
        <f>HYPERLINK("https://klasma.github.io/Logging_OSKARSHAMN/knärot/A 10069-2020.png", "A 10069-2020")</f>
        <v/>
      </c>
      <c r="V175">
        <f>HYPERLINK("https://klasma.github.io/Logging_OSKARSHAMN/klagomål/A 10069-2020.docx", "A 10069-2020")</f>
        <v/>
      </c>
      <c r="W175">
        <f>HYPERLINK("https://klasma.github.io/Logging_OSKARSHAMN/klagomålsmail/A 10069-2020.docx", "A 10069-2020")</f>
        <v/>
      </c>
      <c r="X175">
        <f>HYPERLINK("https://klasma.github.io/Logging_OSKARSHAMN/tillsyn/A 10069-2020.docx", "A 10069-2020")</f>
        <v/>
      </c>
      <c r="Y175">
        <f>HYPERLINK("https://klasma.github.io/Logging_OSKARSHAMN/tillsynsmail/A 10069-2020.docx", "A 10069-2020")</f>
        <v/>
      </c>
    </row>
    <row r="176" ht="15" customHeight="1">
      <c r="A176" t="inlineStr">
        <is>
          <t>A 25348-2020</t>
        </is>
      </c>
      <c r="B176" s="1" t="n">
        <v>43980</v>
      </c>
      <c r="C176" s="1" t="n">
        <v>45205</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HYPERLINK("https://klasma.github.io/Logging_MONSTERAS/artfynd/A 25348-2020.xlsx", "A 25348-2020")</f>
        <v/>
      </c>
      <c r="T176">
        <f>HYPERLINK("https://klasma.github.io/Logging_MONSTERAS/kartor/A 25348-2020.png", "A 25348-2020")</f>
        <v/>
      </c>
      <c r="U176">
        <f>HYPERLINK("https://klasma.github.io/Logging_MONSTERAS/knärot/A 25348-2020.png", "A 25348-2020")</f>
        <v/>
      </c>
      <c r="V176">
        <f>HYPERLINK("https://klasma.github.io/Logging_MONSTERAS/klagomål/A 25348-2020.docx", "A 25348-2020")</f>
        <v/>
      </c>
      <c r="W176">
        <f>HYPERLINK("https://klasma.github.io/Logging_MONSTERAS/klagomålsmail/A 25348-2020.docx", "A 25348-2020")</f>
        <v/>
      </c>
      <c r="X176">
        <f>HYPERLINK("https://klasma.github.io/Logging_MONSTERAS/tillsyn/A 25348-2020.docx", "A 25348-2020")</f>
        <v/>
      </c>
      <c r="Y176">
        <f>HYPERLINK("https://klasma.github.io/Logging_MONSTERAS/tillsynsmail/A 25348-2020.docx", "A 25348-2020")</f>
        <v/>
      </c>
    </row>
    <row r="177" ht="15" customHeight="1">
      <c r="A177" t="inlineStr">
        <is>
          <t>A 57704-2020</t>
        </is>
      </c>
      <c r="B177" s="1" t="n">
        <v>44140</v>
      </c>
      <c r="C177" s="1" t="n">
        <v>45205</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HYPERLINK("https://klasma.github.io/Logging_MORBYLANGA/artfynd/A 57704-2020.xlsx", "A 57704-2020")</f>
        <v/>
      </c>
      <c r="T177">
        <f>HYPERLINK("https://klasma.github.io/Logging_MORBYLANGA/kartor/A 57704-2020.png", "A 57704-2020")</f>
        <v/>
      </c>
      <c r="V177">
        <f>HYPERLINK("https://klasma.github.io/Logging_MORBYLANGA/klagomål/A 57704-2020.docx", "A 57704-2020")</f>
        <v/>
      </c>
      <c r="W177">
        <f>HYPERLINK("https://klasma.github.io/Logging_MORBYLANGA/klagomålsmail/A 57704-2020.docx", "A 57704-2020")</f>
        <v/>
      </c>
      <c r="X177">
        <f>HYPERLINK("https://klasma.github.io/Logging_MORBYLANGA/tillsyn/A 57704-2020.docx", "A 57704-2020")</f>
        <v/>
      </c>
      <c r="Y177">
        <f>HYPERLINK("https://klasma.github.io/Logging_MORBYLANGA/tillsynsmail/A 57704-2020.docx", "A 57704-2020")</f>
        <v/>
      </c>
    </row>
    <row r="178" ht="15" customHeight="1">
      <c r="A178" t="inlineStr">
        <is>
          <t>A 58231-2020</t>
        </is>
      </c>
      <c r="B178" s="1" t="n">
        <v>44144</v>
      </c>
      <c r="C178" s="1" t="n">
        <v>45205</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HYPERLINK("https://klasma.github.io/Logging_BORGHOLM/artfynd/A 58231-2020.xlsx", "A 58231-2020")</f>
        <v/>
      </c>
      <c r="T178">
        <f>HYPERLINK("https://klasma.github.io/Logging_BORGHOLM/kartor/A 58231-2020.png", "A 58231-2020")</f>
        <v/>
      </c>
      <c r="V178">
        <f>HYPERLINK("https://klasma.github.io/Logging_BORGHOLM/klagomål/A 58231-2020.docx", "A 58231-2020")</f>
        <v/>
      </c>
      <c r="W178">
        <f>HYPERLINK("https://klasma.github.io/Logging_BORGHOLM/klagomålsmail/A 58231-2020.docx", "A 58231-2020")</f>
        <v/>
      </c>
      <c r="X178">
        <f>HYPERLINK("https://klasma.github.io/Logging_BORGHOLM/tillsyn/A 58231-2020.docx", "A 58231-2020")</f>
        <v/>
      </c>
      <c r="Y178">
        <f>HYPERLINK("https://klasma.github.io/Logging_BORGHOLM/tillsynsmail/A 58231-2020.docx", "A 58231-2020")</f>
        <v/>
      </c>
    </row>
    <row r="179" ht="15" customHeight="1">
      <c r="A179" t="inlineStr">
        <is>
          <t>A 4574-2021</t>
        </is>
      </c>
      <c r="B179" s="1" t="n">
        <v>44224</v>
      </c>
      <c r="C179" s="1" t="n">
        <v>45205</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HYPERLINK("https://klasma.github.io/Logging_HULTSFRED/artfynd/A 4574-2021.xlsx", "A 4574-2021")</f>
        <v/>
      </c>
      <c r="T179">
        <f>HYPERLINK("https://klasma.github.io/Logging_HULTSFRED/kartor/A 4574-2021.png", "A 4574-2021")</f>
        <v/>
      </c>
      <c r="V179">
        <f>HYPERLINK("https://klasma.github.io/Logging_HULTSFRED/klagomål/A 4574-2021.docx", "A 4574-2021")</f>
        <v/>
      </c>
      <c r="W179">
        <f>HYPERLINK("https://klasma.github.io/Logging_HULTSFRED/klagomålsmail/A 4574-2021.docx", "A 4574-2021")</f>
        <v/>
      </c>
      <c r="X179">
        <f>HYPERLINK("https://klasma.github.io/Logging_HULTSFRED/tillsyn/A 4574-2021.docx", "A 4574-2021")</f>
        <v/>
      </c>
      <c r="Y179">
        <f>HYPERLINK("https://klasma.github.io/Logging_HULTSFRED/tillsynsmail/A 4574-2021.docx", "A 4574-2021")</f>
        <v/>
      </c>
    </row>
    <row r="180" ht="15" customHeight="1">
      <c r="A180" t="inlineStr">
        <is>
          <t>A 8411-2021</t>
        </is>
      </c>
      <c r="B180" s="1" t="n">
        <v>44245</v>
      </c>
      <c r="C180" s="1" t="n">
        <v>45205</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HYPERLINK("https://klasma.github.io/Logging_VIMMERBY/artfynd/A 8411-2021.xlsx", "A 8411-2021")</f>
        <v/>
      </c>
      <c r="T180">
        <f>HYPERLINK("https://klasma.github.io/Logging_VIMMERBY/kartor/A 8411-2021.png", "A 8411-2021")</f>
        <v/>
      </c>
      <c r="V180">
        <f>HYPERLINK("https://klasma.github.io/Logging_VIMMERBY/klagomål/A 8411-2021.docx", "A 8411-2021")</f>
        <v/>
      </c>
      <c r="W180">
        <f>HYPERLINK("https://klasma.github.io/Logging_VIMMERBY/klagomålsmail/A 8411-2021.docx", "A 8411-2021")</f>
        <v/>
      </c>
      <c r="X180">
        <f>HYPERLINK("https://klasma.github.io/Logging_VIMMERBY/tillsyn/A 8411-2021.docx", "A 8411-2021")</f>
        <v/>
      </c>
      <c r="Y180">
        <f>HYPERLINK("https://klasma.github.io/Logging_VIMMERBY/tillsynsmail/A 8411-2021.docx", "A 8411-2021")</f>
        <v/>
      </c>
    </row>
    <row r="181" ht="15" customHeight="1">
      <c r="A181" t="inlineStr">
        <is>
          <t>A 9097-2021</t>
        </is>
      </c>
      <c r="B181" s="1" t="n">
        <v>44249</v>
      </c>
      <c r="C181" s="1" t="n">
        <v>45205</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HYPERLINK("https://klasma.github.io/Logging_VASTERVIK/artfynd/A 9097-2021.xlsx", "A 9097-2021")</f>
        <v/>
      </c>
      <c r="T181">
        <f>HYPERLINK("https://klasma.github.io/Logging_VASTERVIK/kartor/A 9097-2021.png", "A 9097-2021")</f>
        <v/>
      </c>
      <c r="V181">
        <f>HYPERLINK("https://klasma.github.io/Logging_VASTERVIK/klagomål/A 9097-2021.docx", "A 9097-2021")</f>
        <v/>
      </c>
      <c r="W181">
        <f>HYPERLINK("https://klasma.github.io/Logging_VASTERVIK/klagomålsmail/A 9097-2021.docx", "A 9097-2021")</f>
        <v/>
      </c>
      <c r="X181">
        <f>HYPERLINK("https://klasma.github.io/Logging_VASTERVIK/tillsyn/A 9097-2021.docx", "A 9097-2021")</f>
        <v/>
      </c>
      <c r="Y181">
        <f>HYPERLINK("https://klasma.github.io/Logging_VASTERVIK/tillsynsmail/A 9097-2021.docx", "A 9097-2021")</f>
        <v/>
      </c>
    </row>
    <row r="182" ht="15" customHeight="1">
      <c r="A182" t="inlineStr">
        <is>
          <t>A 25280-2021</t>
        </is>
      </c>
      <c r="B182" s="1" t="n">
        <v>44342</v>
      </c>
      <c r="C182" s="1" t="n">
        <v>45205</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HYPERLINK("https://klasma.github.io/Logging_VASTERVIK/artfynd/A 25280-2021.xlsx", "A 25280-2021")</f>
        <v/>
      </c>
      <c r="T182">
        <f>HYPERLINK("https://klasma.github.io/Logging_VASTERVIK/kartor/A 25280-2021.png", "A 25280-2021")</f>
        <v/>
      </c>
      <c r="U182">
        <f>HYPERLINK("https://klasma.github.io/Logging_VASTERVIK/knärot/A 25280-2021.png", "A 25280-2021")</f>
        <v/>
      </c>
      <c r="V182">
        <f>HYPERLINK("https://klasma.github.io/Logging_VASTERVIK/klagomål/A 25280-2021.docx", "A 25280-2021")</f>
        <v/>
      </c>
      <c r="W182">
        <f>HYPERLINK("https://klasma.github.io/Logging_VASTERVIK/klagomålsmail/A 25280-2021.docx", "A 25280-2021")</f>
        <v/>
      </c>
      <c r="X182">
        <f>HYPERLINK("https://klasma.github.io/Logging_VASTERVIK/tillsyn/A 25280-2021.docx", "A 25280-2021")</f>
        <v/>
      </c>
      <c r="Y182">
        <f>HYPERLINK("https://klasma.github.io/Logging_VASTERVIK/tillsynsmail/A 25280-2021.docx", "A 25280-2021")</f>
        <v/>
      </c>
    </row>
    <row r="183" ht="15" customHeight="1">
      <c r="A183" t="inlineStr">
        <is>
          <t>A 46995-2021</t>
        </is>
      </c>
      <c r="B183" s="1" t="n">
        <v>44446</v>
      </c>
      <c r="C183" s="1" t="n">
        <v>45205</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HYPERLINK("https://klasma.github.io/Logging_MONSTERAS/artfynd/A 46995-2021.xlsx", "A 46995-2021")</f>
        <v/>
      </c>
      <c r="T183">
        <f>HYPERLINK("https://klasma.github.io/Logging_MONSTERAS/kartor/A 46995-2021.png", "A 46995-2021")</f>
        <v/>
      </c>
      <c r="U183">
        <f>HYPERLINK("https://klasma.github.io/Logging_MONSTERAS/knärot/A 46995-2021.png", "A 46995-2021")</f>
        <v/>
      </c>
      <c r="V183">
        <f>HYPERLINK("https://klasma.github.io/Logging_MONSTERAS/klagomål/A 46995-2021.docx", "A 46995-2021")</f>
        <v/>
      </c>
      <c r="W183">
        <f>HYPERLINK("https://klasma.github.io/Logging_MONSTERAS/klagomålsmail/A 46995-2021.docx", "A 46995-2021")</f>
        <v/>
      </c>
      <c r="X183">
        <f>HYPERLINK("https://klasma.github.io/Logging_MONSTERAS/tillsyn/A 46995-2021.docx", "A 46995-2021")</f>
        <v/>
      </c>
      <c r="Y183">
        <f>HYPERLINK("https://klasma.github.io/Logging_MONSTERAS/tillsynsmail/A 46995-2021.docx", "A 46995-2021")</f>
        <v/>
      </c>
    </row>
    <row r="184" ht="15" customHeight="1">
      <c r="A184" t="inlineStr">
        <is>
          <t>A 50351-2021</t>
        </is>
      </c>
      <c r="B184" s="1" t="n">
        <v>44459</v>
      </c>
      <c r="C184" s="1" t="n">
        <v>45205</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HYPERLINK("https://klasma.github.io/Logging_TORSAS/artfynd/A 50351-2021.xlsx", "A 50351-2021")</f>
        <v/>
      </c>
      <c r="T184">
        <f>HYPERLINK("https://klasma.github.io/Logging_TORSAS/kartor/A 50351-2021.png", "A 50351-2021")</f>
        <v/>
      </c>
      <c r="V184">
        <f>HYPERLINK("https://klasma.github.io/Logging_TORSAS/klagomål/A 50351-2021.docx", "A 50351-2021")</f>
        <v/>
      </c>
      <c r="W184">
        <f>HYPERLINK("https://klasma.github.io/Logging_TORSAS/klagomålsmail/A 50351-2021.docx", "A 50351-2021")</f>
        <v/>
      </c>
      <c r="X184">
        <f>HYPERLINK("https://klasma.github.io/Logging_TORSAS/tillsyn/A 50351-2021.docx", "A 50351-2021")</f>
        <v/>
      </c>
      <c r="Y184">
        <f>HYPERLINK("https://klasma.github.io/Logging_TORSAS/tillsynsmail/A 50351-2021.docx", "A 50351-2021")</f>
        <v/>
      </c>
    </row>
    <row r="185" ht="15" customHeight="1">
      <c r="A185" t="inlineStr">
        <is>
          <t>A 58919-2021</t>
        </is>
      </c>
      <c r="B185" s="1" t="n">
        <v>44489</v>
      </c>
      <c r="C185" s="1" t="n">
        <v>45205</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HYPERLINK("https://klasma.github.io/Logging_KALMAR/artfynd/A 58919-2021.xlsx", "A 58919-2021")</f>
        <v/>
      </c>
      <c r="T185">
        <f>HYPERLINK("https://klasma.github.io/Logging_KALMAR/kartor/A 58919-2021.png", "A 58919-2021")</f>
        <v/>
      </c>
      <c r="U185">
        <f>HYPERLINK("https://klasma.github.io/Logging_KALMAR/knärot/A 58919-2021.png", "A 58919-2021")</f>
        <v/>
      </c>
      <c r="V185">
        <f>HYPERLINK("https://klasma.github.io/Logging_KALMAR/klagomål/A 58919-2021.docx", "A 58919-2021")</f>
        <v/>
      </c>
      <c r="W185">
        <f>HYPERLINK("https://klasma.github.io/Logging_KALMAR/klagomålsmail/A 58919-2021.docx", "A 58919-2021")</f>
        <v/>
      </c>
      <c r="X185">
        <f>HYPERLINK("https://klasma.github.io/Logging_KALMAR/tillsyn/A 58919-2021.docx", "A 58919-2021")</f>
        <v/>
      </c>
      <c r="Y185">
        <f>HYPERLINK("https://klasma.github.io/Logging_KALMAR/tillsynsmail/A 58919-2021.docx", "A 58919-2021")</f>
        <v/>
      </c>
    </row>
    <row r="186" ht="15" customHeight="1">
      <c r="A186" t="inlineStr">
        <is>
          <t>A 59111-2021</t>
        </is>
      </c>
      <c r="B186" s="1" t="n">
        <v>44490</v>
      </c>
      <c r="C186" s="1" t="n">
        <v>45205</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HYPERLINK("https://klasma.github.io/Logging_NYBRO/artfynd/A 59111-2021.xlsx", "A 59111-2021")</f>
        <v/>
      </c>
      <c r="T186">
        <f>HYPERLINK("https://klasma.github.io/Logging_NYBRO/kartor/A 59111-2021.png", "A 59111-2021")</f>
        <v/>
      </c>
      <c r="V186">
        <f>HYPERLINK("https://klasma.github.io/Logging_NYBRO/klagomål/A 59111-2021.docx", "A 59111-2021")</f>
        <v/>
      </c>
      <c r="W186">
        <f>HYPERLINK("https://klasma.github.io/Logging_NYBRO/klagomålsmail/A 59111-2021.docx", "A 59111-2021")</f>
        <v/>
      </c>
      <c r="X186">
        <f>HYPERLINK("https://klasma.github.io/Logging_NYBRO/tillsyn/A 59111-2021.docx", "A 59111-2021")</f>
        <v/>
      </c>
      <c r="Y186">
        <f>HYPERLINK("https://klasma.github.io/Logging_NYBRO/tillsynsmail/A 59111-2021.docx", "A 59111-2021")</f>
        <v/>
      </c>
    </row>
    <row r="187" ht="15" customHeight="1">
      <c r="A187" t="inlineStr">
        <is>
          <t>A 63813-2021</t>
        </is>
      </c>
      <c r="B187" s="1" t="n">
        <v>44505</v>
      </c>
      <c r="C187" s="1" t="n">
        <v>45205</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HYPERLINK("https://klasma.github.io/Logging_VASTERVIK/artfynd/A 63813-2021.xlsx", "A 63813-2021")</f>
        <v/>
      </c>
      <c r="T187">
        <f>HYPERLINK("https://klasma.github.io/Logging_VASTERVIK/kartor/A 63813-2021.png", "A 63813-2021")</f>
        <v/>
      </c>
      <c r="U187">
        <f>HYPERLINK("https://klasma.github.io/Logging_VASTERVIK/knärot/A 63813-2021.png", "A 63813-2021")</f>
        <v/>
      </c>
      <c r="V187">
        <f>HYPERLINK("https://klasma.github.io/Logging_VASTERVIK/klagomål/A 63813-2021.docx", "A 63813-2021")</f>
        <v/>
      </c>
      <c r="W187">
        <f>HYPERLINK("https://klasma.github.io/Logging_VASTERVIK/klagomålsmail/A 63813-2021.docx", "A 63813-2021")</f>
        <v/>
      </c>
      <c r="X187">
        <f>HYPERLINK("https://klasma.github.io/Logging_VASTERVIK/tillsyn/A 63813-2021.docx", "A 63813-2021")</f>
        <v/>
      </c>
      <c r="Y187">
        <f>HYPERLINK("https://klasma.github.io/Logging_VASTERVIK/tillsynsmail/A 63813-2021.docx", "A 63813-2021")</f>
        <v/>
      </c>
    </row>
    <row r="188" ht="15" customHeight="1">
      <c r="A188" t="inlineStr">
        <is>
          <t>A 65973-2021</t>
        </is>
      </c>
      <c r="B188" s="1" t="n">
        <v>44517</v>
      </c>
      <c r="C188" s="1" t="n">
        <v>45205</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HYPERLINK("https://klasma.github.io/Logging_KALMAR/artfynd/A 65973-2021.xlsx", "A 65973-2021")</f>
        <v/>
      </c>
      <c r="T188">
        <f>HYPERLINK("https://klasma.github.io/Logging_KALMAR/kartor/A 65973-2021.png", "A 65973-2021")</f>
        <v/>
      </c>
      <c r="V188">
        <f>HYPERLINK("https://klasma.github.io/Logging_KALMAR/klagomål/A 65973-2021.docx", "A 65973-2021")</f>
        <v/>
      </c>
      <c r="W188">
        <f>HYPERLINK("https://klasma.github.io/Logging_KALMAR/klagomålsmail/A 65973-2021.docx", "A 65973-2021")</f>
        <v/>
      </c>
      <c r="X188">
        <f>HYPERLINK("https://klasma.github.io/Logging_KALMAR/tillsyn/A 65973-2021.docx", "A 65973-2021")</f>
        <v/>
      </c>
      <c r="Y188">
        <f>HYPERLINK("https://klasma.github.io/Logging_KALMAR/tillsynsmail/A 65973-2021.docx", "A 65973-2021")</f>
        <v/>
      </c>
    </row>
    <row r="189" ht="15" customHeight="1">
      <c r="A189" t="inlineStr">
        <is>
          <t>A 68416-2021</t>
        </is>
      </c>
      <c r="B189" s="1" t="n">
        <v>44529</v>
      </c>
      <c r="C189" s="1" t="n">
        <v>45205</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HYPERLINK("https://klasma.github.io/Logging_VASTERVIK/artfynd/A 68416-2021.xlsx", "A 68416-2021")</f>
        <v/>
      </c>
      <c r="T189">
        <f>HYPERLINK("https://klasma.github.io/Logging_VASTERVIK/kartor/A 68416-2021.png", "A 68416-2021")</f>
        <v/>
      </c>
      <c r="U189">
        <f>HYPERLINK("https://klasma.github.io/Logging_VASTERVIK/knärot/A 68416-2021.png", "A 68416-2021")</f>
        <v/>
      </c>
      <c r="V189">
        <f>HYPERLINK("https://klasma.github.io/Logging_VASTERVIK/klagomål/A 68416-2021.docx", "A 68416-2021")</f>
        <v/>
      </c>
      <c r="W189">
        <f>HYPERLINK("https://klasma.github.io/Logging_VASTERVIK/klagomålsmail/A 68416-2021.docx", "A 68416-2021")</f>
        <v/>
      </c>
      <c r="X189">
        <f>HYPERLINK("https://klasma.github.io/Logging_VASTERVIK/tillsyn/A 68416-2021.docx", "A 68416-2021")</f>
        <v/>
      </c>
      <c r="Y189">
        <f>HYPERLINK("https://klasma.github.io/Logging_VASTERVIK/tillsynsmail/A 68416-2021.docx", "A 68416-2021")</f>
        <v/>
      </c>
    </row>
    <row r="190" ht="15" customHeight="1">
      <c r="A190" t="inlineStr">
        <is>
          <t>A 1933-2022</t>
        </is>
      </c>
      <c r="B190" s="1" t="n">
        <v>44575</v>
      </c>
      <c r="C190" s="1" t="n">
        <v>45205</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HYPERLINK("https://klasma.github.io/Logging_KALMAR/artfynd/A 1933-2022.xlsx", "A 1933-2022")</f>
        <v/>
      </c>
      <c r="T190">
        <f>HYPERLINK("https://klasma.github.io/Logging_KALMAR/kartor/A 1933-2022.png", "A 1933-2022")</f>
        <v/>
      </c>
      <c r="U190">
        <f>HYPERLINK("https://klasma.github.io/Logging_KALMAR/knärot/A 1933-2022.png", "A 1933-2022")</f>
        <v/>
      </c>
      <c r="V190">
        <f>HYPERLINK("https://klasma.github.io/Logging_KALMAR/klagomål/A 1933-2022.docx", "A 1933-2022")</f>
        <v/>
      </c>
      <c r="W190">
        <f>HYPERLINK("https://klasma.github.io/Logging_KALMAR/klagomålsmail/A 1933-2022.docx", "A 1933-2022")</f>
        <v/>
      </c>
      <c r="X190">
        <f>HYPERLINK("https://klasma.github.io/Logging_KALMAR/tillsyn/A 1933-2022.docx", "A 1933-2022")</f>
        <v/>
      </c>
      <c r="Y190">
        <f>HYPERLINK("https://klasma.github.io/Logging_KALMAR/tillsynsmail/A 1933-2022.docx", "A 1933-2022")</f>
        <v/>
      </c>
    </row>
    <row r="191" ht="15" customHeight="1">
      <c r="A191" t="inlineStr">
        <is>
          <t>A 12711-2022</t>
        </is>
      </c>
      <c r="B191" s="1" t="n">
        <v>44641</v>
      </c>
      <c r="C191" s="1" t="n">
        <v>45205</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HYPERLINK("https://klasma.github.io/Logging_HULTSFRED/artfynd/A 12711-2022.xlsx", "A 12711-2022")</f>
        <v/>
      </c>
      <c r="T191">
        <f>HYPERLINK("https://klasma.github.io/Logging_HULTSFRED/kartor/A 12711-2022.png", "A 12711-2022")</f>
        <v/>
      </c>
      <c r="V191">
        <f>HYPERLINK("https://klasma.github.io/Logging_HULTSFRED/klagomål/A 12711-2022.docx", "A 12711-2022")</f>
        <v/>
      </c>
      <c r="W191">
        <f>HYPERLINK("https://klasma.github.io/Logging_HULTSFRED/klagomålsmail/A 12711-2022.docx", "A 12711-2022")</f>
        <v/>
      </c>
      <c r="X191">
        <f>HYPERLINK("https://klasma.github.io/Logging_HULTSFRED/tillsyn/A 12711-2022.docx", "A 12711-2022")</f>
        <v/>
      </c>
      <c r="Y191">
        <f>HYPERLINK("https://klasma.github.io/Logging_HULTSFRED/tillsynsmail/A 12711-2022.docx", "A 12711-2022")</f>
        <v/>
      </c>
    </row>
    <row r="192" ht="15" customHeight="1">
      <c r="A192" t="inlineStr">
        <is>
          <t>A 32640-2022</t>
        </is>
      </c>
      <c r="B192" s="1" t="n">
        <v>44783</v>
      </c>
      <c r="C192" s="1" t="n">
        <v>45205</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HYPERLINK("https://klasma.github.io/Logging_BORGHOLM/artfynd/A 32640-2022.xlsx", "A 32640-2022")</f>
        <v/>
      </c>
      <c r="T192">
        <f>HYPERLINK("https://klasma.github.io/Logging_BORGHOLM/kartor/A 32640-2022.png", "A 32640-2022")</f>
        <v/>
      </c>
      <c r="V192">
        <f>HYPERLINK("https://klasma.github.io/Logging_BORGHOLM/klagomål/A 32640-2022.docx", "A 32640-2022")</f>
        <v/>
      </c>
      <c r="W192">
        <f>HYPERLINK("https://klasma.github.io/Logging_BORGHOLM/klagomålsmail/A 32640-2022.docx", "A 32640-2022")</f>
        <v/>
      </c>
      <c r="X192">
        <f>HYPERLINK("https://klasma.github.io/Logging_BORGHOLM/tillsyn/A 32640-2022.docx", "A 32640-2022")</f>
        <v/>
      </c>
      <c r="Y192">
        <f>HYPERLINK("https://klasma.github.io/Logging_BORGHOLM/tillsynsmail/A 32640-2022.docx", "A 32640-2022")</f>
        <v/>
      </c>
    </row>
    <row r="193" ht="15" customHeight="1">
      <c r="A193" t="inlineStr">
        <is>
          <t>A 33057-2022</t>
        </is>
      </c>
      <c r="B193" s="1" t="n">
        <v>44785</v>
      </c>
      <c r="C193" s="1" t="n">
        <v>45205</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HYPERLINK("https://klasma.github.io/Logging_KALMAR/artfynd/A 33057-2022.xlsx", "A 33057-2022")</f>
        <v/>
      </c>
      <c r="T193">
        <f>HYPERLINK("https://klasma.github.io/Logging_KALMAR/kartor/A 33057-2022.png", "A 33057-2022")</f>
        <v/>
      </c>
      <c r="V193">
        <f>HYPERLINK("https://klasma.github.io/Logging_KALMAR/klagomål/A 33057-2022.docx", "A 33057-2022")</f>
        <v/>
      </c>
      <c r="W193">
        <f>HYPERLINK("https://klasma.github.io/Logging_KALMAR/klagomålsmail/A 33057-2022.docx", "A 33057-2022")</f>
        <v/>
      </c>
      <c r="X193">
        <f>HYPERLINK("https://klasma.github.io/Logging_KALMAR/tillsyn/A 33057-2022.docx", "A 33057-2022")</f>
        <v/>
      </c>
      <c r="Y193">
        <f>HYPERLINK("https://klasma.github.io/Logging_KALMAR/tillsynsmail/A 33057-2022.docx", "A 33057-2022")</f>
        <v/>
      </c>
    </row>
    <row r="194" ht="15" customHeight="1">
      <c r="A194" t="inlineStr">
        <is>
          <t>A 37603-2022</t>
        </is>
      </c>
      <c r="B194" s="1" t="n">
        <v>44809</v>
      </c>
      <c r="C194" s="1" t="n">
        <v>45205</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HYPERLINK("https://klasma.github.io/Logging_HULTSFRED/artfynd/A 37603-2022.xlsx", "A 37603-2022")</f>
        <v/>
      </c>
      <c r="T194">
        <f>HYPERLINK("https://klasma.github.io/Logging_HULTSFRED/kartor/A 37603-2022.png", "A 37603-2022")</f>
        <v/>
      </c>
      <c r="V194">
        <f>HYPERLINK("https://klasma.github.io/Logging_HULTSFRED/klagomål/A 37603-2022.docx", "A 37603-2022")</f>
        <v/>
      </c>
      <c r="W194">
        <f>HYPERLINK("https://klasma.github.io/Logging_HULTSFRED/klagomålsmail/A 37603-2022.docx", "A 37603-2022")</f>
        <v/>
      </c>
      <c r="X194">
        <f>HYPERLINK("https://klasma.github.io/Logging_HULTSFRED/tillsyn/A 37603-2022.docx", "A 37603-2022")</f>
        <v/>
      </c>
      <c r="Y194">
        <f>HYPERLINK("https://klasma.github.io/Logging_HULTSFRED/tillsynsmail/A 37603-2022.docx", "A 37603-2022")</f>
        <v/>
      </c>
    </row>
    <row r="195" ht="15" customHeight="1">
      <c r="A195" t="inlineStr">
        <is>
          <t>A 37901-2022</t>
        </is>
      </c>
      <c r="B195" s="1" t="n">
        <v>44811</v>
      </c>
      <c r="C195" s="1" t="n">
        <v>45205</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HYPERLINK("https://klasma.github.io/Logging_VIMMERBY/artfynd/A 37901-2022.xlsx", "A 37901-2022")</f>
        <v/>
      </c>
      <c r="T195">
        <f>HYPERLINK("https://klasma.github.io/Logging_VIMMERBY/kartor/A 37901-2022.png", "A 37901-2022")</f>
        <v/>
      </c>
      <c r="V195">
        <f>HYPERLINK("https://klasma.github.io/Logging_VIMMERBY/klagomål/A 37901-2022.docx", "A 37901-2022")</f>
        <v/>
      </c>
      <c r="W195">
        <f>HYPERLINK("https://klasma.github.io/Logging_VIMMERBY/klagomålsmail/A 37901-2022.docx", "A 37901-2022")</f>
        <v/>
      </c>
      <c r="X195">
        <f>HYPERLINK("https://klasma.github.io/Logging_VIMMERBY/tillsyn/A 37901-2022.docx", "A 37901-2022")</f>
        <v/>
      </c>
      <c r="Y195">
        <f>HYPERLINK("https://klasma.github.io/Logging_VIMMERBY/tillsynsmail/A 37901-2022.docx", "A 37901-2022")</f>
        <v/>
      </c>
    </row>
    <row r="196" ht="15" customHeight="1">
      <c r="A196" t="inlineStr">
        <is>
          <t>A 40302-2022</t>
        </is>
      </c>
      <c r="B196" s="1" t="n">
        <v>44822</v>
      </c>
      <c r="C196" s="1" t="n">
        <v>45205</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HYPERLINK("https://klasma.github.io/Logging_HULTSFRED/artfynd/A 40302-2022.xlsx", "A 40302-2022")</f>
        <v/>
      </c>
      <c r="T196">
        <f>HYPERLINK("https://klasma.github.io/Logging_HULTSFRED/kartor/A 40302-2022.png", "A 40302-2022")</f>
        <v/>
      </c>
      <c r="V196">
        <f>HYPERLINK("https://klasma.github.io/Logging_HULTSFRED/klagomål/A 40302-2022.docx", "A 40302-2022")</f>
        <v/>
      </c>
      <c r="W196">
        <f>HYPERLINK("https://klasma.github.io/Logging_HULTSFRED/klagomålsmail/A 40302-2022.docx", "A 40302-2022")</f>
        <v/>
      </c>
      <c r="X196">
        <f>HYPERLINK("https://klasma.github.io/Logging_HULTSFRED/tillsyn/A 40302-2022.docx", "A 40302-2022")</f>
        <v/>
      </c>
      <c r="Y196">
        <f>HYPERLINK("https://klasma.github.io/Logging_HULTSFRED/tillsynsmail/A 40302-2022.docx", "A 40302-2022")</f>
        <v/>
      </c>
    </row>
    <row r="197" ht="15" customHeight="1">
      <c r="A197" t="inlineStr">
        <is>
          <t>A 41772-2022</t>
        </is>
      </c>
      <c r="B197" s="1" t="n">
        <v>44827</v>
      </c>
      <c r="C197" s="1" t="n">
        <v>45205</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HYPERLINK("https://klasma.github.io/Logging_NYBRO/artfynd/A 41772-2022.xlsx", "A 41772-2022")</f>
        <v/>
      </c>
      <c r="T197">
        <f>HYPERLINK("https://klasma.github.io/Logging_NYBRO/kartor/A 41772-2022.png", "A 41772-2022")</f>
        <v/>
      </c>
      <c r="V197">
        <f>HYPERLINK("https://klasma.github.io/Logging_NYBRO/klagomål/A 41772-2022.docx", "A 41772-2022")</f>
        <v/>
      </c>
      <c r="W197">
        <f>HYPERLINK("https://klasma.github.io/Logging_NYBRO/klagomålsmail/A 41772-2022.docx", "A 41772-2022")</f>
        <v/>
      </c>
      <c r="X197">
        <f>HYPERLINK("https://klasma.github.io/Logging_NYBRO/tillsyn/A 41772-2022.docx", "A 41772-2022")</f>
        <v/>
      </c>
      <c r="Y197">
        <f>HYPERLINK("https://klasma.github.io/Logging_NYBRO/tillsynsmail/A 41772-2022.docx", "A 41772-2022")</f>
        <v/>
      </c>
    </row>
    <row r="198" ht="15" customHeight="1">
      <c r="A198" t="inlineStr">
        <is>
          <t>A 41542-2022</t>
        </is>
      </c>
      <c r="B198" s="1" t="n">
        <v>44827</v>
      </c>
      <c r="C198" s="1" t="n">
        <v>45205</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HYPERLINK("https://klasma.github.io/Logging_KALMAR/artfynd/A 41542-2022.xlsx", "A 41542-2022")</f>
        <v/>
      </c>
      <c r="T198">
        <f>HYPERLINK("https://klasma.github.io/Logging_KALMAR/kartor/A 41542-2022.png", "A 41542-2022")</f>
        <v/>
      </c>
      <c r="U198">
        <f>HYPERLINK("https://klasma.github.io/Logging_KALMAR/knärot/A 41542-2022.png", "A 41542-2022")</f>
        <v/>
      </c>
      <c r="V198">
        <f>HYPERLINK("https://klasma.github.io/Logging_KALMAR/klagomål/A 41542-2022.docx", "A 41542-2022")</f>
        <v/>
      </c>
      <c r="W198">
        <f>HYPERLINK("https://klasma.github.io/Logging_KALMAR/klagomålsmail/A 41542-2022.docx", "A 41542-2022")</f>
        <v/>
      </c>
      <c r="X198">
        <f>HYPERLINK("https://klasma.github.io/Logging_KALMAR/tillsyn/A 41542-2022.docx", "A 41542-2022")</f>
        <v/>
      </c>
      <c r="Y198">
        <f>HYPERLINK("https://klasma.github.io/Logging_KALMAR/tillsynsmail/A 41542-2022.docx", "A 41542-2022")</f>
        <v/>
      </c>
    </row>
    <row r="199" ht="15" customHeight="1">
      <c r="A199" t="inlineStr">
        <is>
          <t>A 47451-2022</t>
        </is>
      </c>
      <c r="B199" s="1" t="n">
        <v>44853</v>
      </c>
      <c r="C199" s="1" t="n">
        <v>45205</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HYPERLINK("https://klasma.github.io/Logging_KALMAR/artfynd/A 47451-2022.xlsx", "A 47451-2022")</f>
        <v/>
      </c>
      <c r="T199">
        <f>HYPERLINK("https://klasma.github.io/Logging_KALMAR/kartor/A 47451-2022.png", "A 47451-2022")</f>
        <v/>
      </c>
      <c r="U199">
        <f>HYPERLINK("https://klasma.github.io/Logging_KALMAR/knärot/A 47451-2022.png", "A 47451-2022")</f>
        <v/>
      </c>
      <c r="V199">
        <f>HYPERLINK("https://klasma.github.io/Logging_KALMAR/klagomål/A 47451-2022.docx", "A 47451-2022")</f>
        <v/>
      </c>
      <c r="W199">
        <f>HYPERLINK("https://klasma.github.io/Logging_KALMAR/klagomålsmail/A 47451-2022.docx", "A 47451-2022")</f>
        <v/>
      </c>
      <c r="X199">
        <f>HYPERLINK("https://klasma.github.io/Logging_KALMAR/tillsyn/A 47451-2022.docx", "A 47451-2022")</f>
        <v/>
      </c>
      <c r="Y199">
        <f>HYPERLINK("https://klasma.github.io/Logging_KALMAR/tillsynsmail/A 47451-2022.docx", "A 47451-2022")</f>
        <v/>
      </c>
    </row>
    <row r="200" ht="15" customHeight="1">
      <c r="A200" t="inlineStr">
        <is>
          <t>A 50759-2022</t>
        </is>
      </c>
      <c r="B200" s="1" t="n">
        <v>44867</v>
      </c>
      <c r="C200" s="1" t="n">
        <v>45205</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HYPERLINK("https://klasma.github.io/Logging_NYBRO/artfynd/A 50759-2022.xlsx", "A 50759-2022")</f>
        <v/>
      </c>
      <c r="T200">
        <f>HYPERLINK("https://klasma.github.io/Logging_NYBRO/kartor/A 50759-2022.png", "A 50759-2022")</f>
        <v/>
      </c>
      <c r="V200">
        <f>HYPERLINK("https://klasma.github.io/Logging_NYBRO/klagomål/A 50759-2022.docx", "A 50759-2022")</f>
        <v/>
      </c>
      <c r="W200">
        <f>HYPERLINK("https://klasma.github.io/Logging_NYBRO/klagomålsmail/A 50759-2022.docx", "A 50759-2022")</f>
        <v/>
      </c>
      <c r="X200">
        <f>HYPERLINK("https://klasma.github.io/Logging_NYBRO/tillsyn/A 50759-2022.docx", "A 50759-2022")</f>
        <v/>
      </c>
      <c r="Y200">
        <f>HYPERLINK("https://klasma.github.io/Logging_NYBRO/tillsynsmail/A 50759-2022.docx", "A 50759-2022")</f>
        <v/>
      </c>
    </row>
    <row r="201" ht="15" customHeight="1">
      <c r="A201" t="inlineStr">
        <is>
          <t>A 53138-2022</t>
        </is>
      </c>
      <c r="B201" s="1" t="n">
        <v>44876</v>
      </c>
      <c r="C201" s="1" t="n">
        <v>45205</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HYPERLINK("https://klasma.github.io/Logging_KALMAR/artfynd/A 53138-2022.xlsx", "A 53138-2022")</f>
        <v/>
      </c>
      <c r="T201">
        <f>HYPERLINK("https://klasma.github.io/Logging_KALMAR/kartor/A 53138-2022.png", "A 53138-2022")</f>
        <v/>
      </c>
      <c r="U201">
        <f>HYPERLINK("https://klasma.github.io/Logging_KALMAR/knärot/A 53138-2022.png", "A 53138-2022")</f>
        <v/>
      </c>
      <c r="V201">
        <f>HYPERLINK("https://klasma.github.io/Logging_KALMAR/klagomål/A 53138-2022.docx", "A 53138-2022")</f>
        <v/>
      </c>
      <c r="W201">
        <f>HYPERLINK("https://klasma.github.io/Logging_KALMAR/klagomålsmail/A 53138-2022.docx", "A 53138-2022")</f>
        <v/>
      </c>
      <c r="X201">
        <f>HYPERLINK("https://klasma.github.io/Logging_KALMAR/tillsyn/A 53138-2022.docx", "A 53138-2022")</f>
        <v/>
      </c>
      <c r="Y201">
        <f>HYPERLINK("https://klasma.github.io/Logging_KALMAR/tillsynsmail/A 53138-2022.docx", "A 53138-2022")</f>
        <v/>
      </c>
    </row>
    <row r="202" ht="15" customHeight="1">
      <c r="A202" t="inlineStr">
        <is>
          <t>A 55506-2022</t>
        </is>
      </c>
      <c r="B202" s="1" t="n">
        <v>44887</v>
      </c>
      <c r="C202" s="1" t="n">
        <v>45205</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HYPERLINK("https://klasma.github.io/Logging_VASTERVIK/artfynd/A 55506-2022.xlsx", "A 55506-2022")</f>
        <v/>
      </c>
      <c r="T202">
        <f>HYPERLINK("https://klasma.github.io/Logging_VASTERVIK/kartor/A 55506-2022.png", "A 55506-2022")</f>
        <v/>
      </c>
      <c r="V202">
        <f>HYPERLINK("https://klasma.github.io/Logging_VASTERVIK/klagomål/A 55506-2022.docx", "A 55506-2022")</f>
        <v/>
      </c>
      <c r="W202">
        <f>HYPERLINK("https://klasma.github.io/Logging_VASTERVIK/klagomålsmail/A 55506-2022.docx", "A 55506-2022")</f>
        <v/>
      </c>
      <c r="X202">
        <f>HYPERLINK("https://klasma.github.io/Logging_VASTERVIK/tillsyn/A 55506-2022.docx", "A 55506-2022")</f>
        <v/>
      </c>
      <c r="Y202">
        <f>HYPERLINK("https://klasma.github.io/Logging_VASTERVIK/tillsynsmail/A 55506-2022.docx", "A 55506-2022")</f>
        <v/>
      </c>
    </row>
    <row r="203" ht="15" customHeight="1">
      <c r="A203" t="inlineStr">
        <is>
          <t>A 58955-2022</t>
        </is>
      </c>
      <c r="B203" s="1" t="n">
        <v>44896</v>
      </c>
      <c r="C203" s="1" t="n">
        <v>45205</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HYPERLINK("https://klasma.github.io/Logging_VASTERVIK/artfynd/A 58955-2022.xlsx", "A 58955-2022")</f>
        <v/>
      </c>
      <c r="T203">
        <f>HYPERLINK("https://klasma.github.io/Logging_VASTERVIK/kartor/A 58955-2022.png", "A 58955-2022")</f>
        <v/>
      </c>
      <c r="U203">
        <f>HYPERLINK("https://klasma.github.io/Logging_VASTERVIK/knärot/A 58955-2022.png", "A 58955-2022")</f>
        <v/>
      </c>
      <c r="V203">
        <f>HYPERLINK("https://klasma.github.io/Logging_VASTERVIK/klagomål/A 58955-2022.docx", "A 58955-2022")</f>
        <v/>
      </c>
      <c r="W203">
        <f>HYPERLINK("https://klasma.github.io/Logging_VASTERVIK/klagomålsmail/A 58955-2022.docx", "A 58955-2022")</f>
        <v/>
      </c>
      <c r="X203">
        <f>HYPERLINK("https://klasma.github.io/Logging_VASTERVIK/tillsyn/A 58955-2022.docx", "A 58955-2022")</f>
        <v/>
      </c>
      <c r="Y203">
        <f>HYPERLINK("https://klasma.github.io/Logging_VASTERVIK/tillsynsmail/A 58955-2022.docx", "A 58955-2022")</f>
        <v/>
      </c>
    </row>
    <row r="204" ht="15" customHeight="1">
      <c r="A204" t="inlineStr">
        <is>
          <t>A 8214-2023</t>
        </is>
      </c>
      <c r="B204" s="1" t="n">
        <v>44974</v>
      </c>
      <c r="C204" s="1" t="n">
        <v>45205</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HYPERLINK("https://klasma.github.io/Logging_VIMMERBY/artfynd/A 8214-2023.xlsx", "A 8214-2023")</f>
        <v/>
      </c>
      <c r="T204">
        <f>HYPERLINK("https://klasma.github.io/Logging_VIMMERBY/kartor/A 8214-2023.png", "A 8214-2023")</f>
        <v/>
      </c>
      <c r="U204">
        <f>HYPERLINK("https://klasma.github.io/Logging_VIMMERBY/knärot/A 8214-2023.png", "A 8214-2023")</f>
        <v/>
      </c>
      <c r="V204">
        <f>HYPERLINK("https://klasma.github.io/Logging_VIMMERBY/klagomål/A 8214-2023.docx", "A 8214-2023")</f>
        <v/>
      </c>
      <c r="W204">
        <f>HYPERLINK("https://klasma.github.io/Logging_VIMMERBY/klagomålsmail/A 8214-2023.docx", "A 8214-2023")</f>
        <v/>
      </c>
      <c r="X204">
        <f>HYPERLINK("https://klasma.github.io/Logging_VIMMERBY/tillsyn/A 8214-2023.docx", "A 8214-2023")</f>
        <v/>
      </c>
      <c r="Y204">
        <f>HYPERLINK("https://klasma.github.io/Logging_VIMMERBY/tillsynsmail/A 8214-2023.docx", "A 8214-2023")</f>
        <v/>
      </c>
    </row>
    <row r="205" ht="15" customHeight="1">
      <c r="A205" t="inlineStr">
        <is>
          <t>A 12708-2023</t>
        </is>
      </c>
      <c r="B205" s="1" t="n">
        <v>45000</v>
      </c>
      <c r="C205" s="1" t="n">
        <v>45205</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HYPERLINK("https://klasma.github.io/Logging_VASTERVIK/artfynd/A 12708-2023.xlsx", "A 12708-2023")</f>
        <v/>
      </c>
      <c r="T205">
        <f>HYPERLINK("https://klasma.github.io/Logging_VASTERVIK/kartor/A 12708-2023.png", "A 12708-2023")</f>
        <v/>
      </c>
      <c r="U205">
        <f>HYPERLINK("https://klasma.github.io/Logging_VASTERVIK/knärot/A 12708-2023.png", "A 12708-2023")</f>
        <v/>
      </c>
      <c r="V205">
        <f>HYPERLINK("https://klasma.github.io/Logging_VASTERVIK/klagomål/A 12708-2023.docx", "A 12708-2023")</f>
        <v/>
      </c>
      <c r="W205">
        <f>HYPERLINK("https://klasma.github.io/Logging_VASTERVIK/klagomålsmail/A 12708-2023.docx", "A 12708-2023")</f>
        <v/>
      </c>
      <c r="X205">
        <f>HYPERLINK("https://klasma.github.io/Logging_VASTERVIK/tillsyn/A 12708-2023.docx", "A 12708-2023")</f>
        <v/>
      </c>
      <c r="Y205">
        <f>HYPERLINK("https://klasma.github.io/Logging_VASTERVIK/tillsynsmail/A 12708-2023.docx", "A 12708-2023")</f>
        <v/>
      </c>
    </row>
    <row r="206" ht="15" customHeight="1">
      <c r="A206" t="inlineStr">
        <is>
          <t>A 15427-2023</t>
        </is>
      </c>
      <c r="B206" s="1" t="n">
        <v>45020</v>
      </c>
      <c r="C206" s="1" t="n">
        <v>45205</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HYPERLINK("https://klasma.github.io/Logging_VIMMERBY/artfynd/A 15427-2023.xlsx", "A 15427-2023")</f>
        <v/>
      </c>
      <c r="T206">
        <f>HYPERLINK("https://klasma.github.io/Logging_VIMMERBY/kartor/A 15427-2023.png", "A 15427-2023")</f>
        <v/>
      </c>
      <c r="V206">
        <f>HYPERLINK("https://klasma.github.io/Logging_VIMMERBY/klagomål/A 15427-2023.docx", "A 15427-2023")</f>
        <v/>
      </c>
      <c r="W206">
        <f>HYPERLINK("https://klasma.github.io/Logging_VIMMERBY/klagomålsmail/A 15427-2023.docx", "A 15427-2023")</f>
        <v/>
      </c>
      <c r="X206">
        <f>HYPERLINK("https://klasma.github.io/Logging_VIMMERBY/tillsyn/A 15427-2023.docx", "A 15427-2023")</f>
        <v/>
      </c>
      <c r="Y206">
        <f>HYPERLINK("https://klasma.github.io/Logging_VIMMERBY/tillsynsmail/A 15427-2023.docx", "A 15427-2023")</f>
        <v/>
      </c>
    </row>
    <row r="207" ht="15" customHeight="1">
      <c r="A207" t="inlineStr">
        <is>
          <t>A 16469-2023</t>
        </is>
      </c>
      <c r="B207" s="1" t="n">
        <v>45026</v>
      </c>
      <c r="C207" s="1" t="n">
        <v>45205</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HYPERLINK("https://klasma.github.io/Logging_HULTSFRED/artfynd/A 16469-2023.xlsx", "A 16469-2023")</f>
        <v/>
      </c>
      <c r="T207">
        <f>HYPERLINK("https://klasma.github.io/Logging_HULTSFRED/kartor/A 16469-2023.png", "A 16469-2023")</f>
        <v/>
      </c>
      <c r="V207">
        <f>HYPERLINK("https://klasma.github.io/Logging_HULTSFRED/klagomål/A 16469-2023.docx", "A 16469-2023")</f>
        <v/>
      </c>
      <c r="W207">
        <f>HYPERLINK("https://klasma.github.io/Logging_HULTSFRED/klagomålsmail/A 16469-2023.docx", "A 16469-2023")</f>
        <v/>
      </c>
      <c r="X207">
        <f>HYPERLINK("https://klasma.github.io/Logging_HULTSFRED/tillsyn/A 16469-2023.docx", "A 16469-2023")</f>
        <v/>
      </c>
      <c r="Y207">
        <f>HYPERLINK("https://klasma.github.io/Logging_HULTSFRED/tillsynsmail/A 16469-2023.docx", "A 16469-2023")</f>
        <v/>
      </c>
    </row>
    <row r="208" ht="15" customHeight="1">
      <c r="A208" t="inlineStr">
        <is>
          <t>A 16171-2023</t>
        </is>
      </c>
      <c r="B208" s="1" t="n">
        <v>45027</v>
      </c>
      <c r="C208" s="1" t="n">
        <v>45205</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HYPERLINK("https://klasma.github.io/Logging_BORGHOLM/artfynd/A 16171-2023.xlsx", "A 16171-2023")</f>
        <v/>
      </c>
      <c r="T208">
        <f>HYPERLINK("https://klasma.github.io/Logging_BORGHOLM/kartor/A 16171-2023.png", "A 16171-2023")</f>
        <v/>
      </c>
      <c r="V208">
        <f>HYPERLINK("https://klasma.github.io/Logging_BORGHOLM/klagomål/A 16171-2023.docx", "A 16171-2023")</f>
        <v/>
      </c>
      <c r="W208">
        <f>HYPERLINK("https://klasma.github.io/Logging_BORGHOLM/klagomålsmail/A 16171-2023.docx", "A 16171-2023")</f>
        <v/>
      </c>
      <c r="X208">
        <f>HYPERLINK("https://klasma.github.io/Logging_BORGHOLM/tillsyn/A 16171-2023.docx", "A 16171-2023")</f>
        <v/>
      </c>
      <c r="Y208">
        <f>HYPERLINK("https://klasma.github.io/Logging_BORGHOLM/tillsynsmail/A 16171-2023.docx", "A 16171-2023")</f>
        <v/>
      </c>
    </row>
    <row r="209" ht="15" customHeight="1">
      <c r="A209" t="inlineStr">
        <is>
          <t>A 25192-2023</t>
        </is>
      </c>
      <c r="B209" s="1" t="n">
        <v>45079</v>
      </c>
      <c r="C209" s="1" t="n">
        <v>45205</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HYPERLINK("https://klasma.github.io/Logging_MONSTERAS/artfynd/A 25192-2023.xlsx", "A 25192-2023")</f>
        <v/>
      </c>
      <c r="T209">
        <f>HYPERLINK("https://klasma.github.io/Logging_MONSTERAS/kartor/A 25192-2023.png", "A 25192-2023")</f>
        <v/>
      </c>
      <c r="U209">
        <f>HYPERLINK("https://klasma.github.io/Logging_MONSTERAS/knärot/A 25192-2023.png", "A 25192-2023")</f>
        <v/>
      </c>
      <c r="V209">
        <f>HYPERLINK("https://klasma.github.io/Logging_MONSTERAS/klagomål/A 25192-2023.docx", "A 25192-2023")</f>
        <v/>
      </c>
      <c r="W209">
        <f>HYPERLINK("https://klasma.github.io/Logging_MONSTERAS/klagomålsmail/A 25192-2023.docx", "A 25192-2023")</f>
        <v/>
      </c>
      <c r="X209">
        <f>HYPERLINK("https://klasma.github.io/Logging_MONSTERAS/tillsyn/A 25192-2023.docx", "A 25192-2023")</f>
        <v/>
      </c>
      <c r="Y209">
        <f>HYPERLINK("https://klasma.github.io/Logging_MONSTERAS/tillsynsmail/A 25192-2023.docx", "A 25192-2023")</f>
        <v/>
      </c>
    </row>
    <row r="210" ht="15" customHeight="1">
      <c r="A210" t="inlineStr">
        <is>
          <t>A 30705-2023</t>
        </is>
      </c>
      <c r="B210" s="1" t="n">
        <v>45103</v>
      </c>
      <c r="C210" s="1" t="n">
        <v>45205</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HYPERLINK("https://klasma.github.io/Logging_MONSTERAS/artfynd/A 30705-2023.xlsx", "A 30705-2023")</f>
        <v/>
      </c>
      <c r="T210">
        <f>HYPERLINK("https://klasma.github.io/Logging_MONSTERAS/kartor/A 30705-2023.png", "A 30705-2023")</f>
        <v/>
      </c>
      <c r="U210">
        <f>HYPERLINK("https://klasma.github.io/Logging_MONSTERAS/knärot/A 30705-2023.png", "A 30705-2023")</f>
        <v/>
      </c>
      <c r="V210">
        <f>HYPERLINK("https://klasma.github.io/Logging_MONSTERAS/klagomål/A 30705-2023.docx", "A 30705-2023")</f>
        <v/>
      </c>
      <c r="W210">
        <f>HYPERLINK("https://klasma.github.io/Logging_MONSTERAS/klagomålsmail/A 30705-2023.docx", "A 30705-2023")</f>
        <v/>
      </c>
      <c r="X210">
        <f>HYPERLINK("https://klasma.github.io/Logging_MONSTERAS/tillsyn/A 30705-2023.docx", "A 30705-2023")</f>
        <v/>
      </c>
      <c r="Y210">
        <f>HYPERLINK("https://klasma.github.io/Logging_MONSTERAS/tillsynsmail/A 30705-2023.docx", "A 30705-2023")</f>
        <v/>
      </c>
    </row>
    <row r="211" ht="15" customHeight="1">
      <c r="A211" t="inlineStr">
        <is>
          <t>A 32415-2023</t>
        </is>
      </c>
      <c r="B211" s="1" t="n">
        <v>45110</v>
      </c>
      <c r="C211" s="1" t="n">
        <v>45205</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HYPERLINK("https://klasma.github.io/Logging_VASTERVIK/artfynd/A 32415-2023.xlsx", "A 32415-2023")</f>
        <v/>
      </c>
      <c r="T211">
        <f>HYPERLINK("https://klasma.github.io/Logging_VASTERVIK/kartor/A 32415-2023.png", "A 32415-2023")</f>
        <v/>
      </c>
      <c r="U211">
        <f>HYPERLINK("https://klasma.github.io/Logging_VASTERVIK/knärot/A 32415-2023.png", "A 32415-2023")</f>
        <v/>
      </c>
      <c r="V211">
        <f>HYPERLINK("https://klasma.github.io/Logging_VASTERVIK/klagomål/A 32415-2023.docx", "A 32415-2023")</f>
        <v/>
      </c>
      <c r="W211">
        <f>HYPERLINK("https://klasma.github.io/Logging_VASTERVIK/klagomålsmail/A 32415-2023.docx", "A 32415-2023")</f>
        <v/>
      </c>
      <c r="X211">
        <f>HYPERLINK("https://klasma.github.io/Logging_VASTERVIK/tillsyn/A 32415-2023.docx", "A 32415-2023")</f>
        <v/>
      </c>
      <c r="Y211">
        <f>HYPERLINK("https://klasma.github.io/Logging_VASTERVIK/tillsynsmail/A 32415-2023.docx", "A 32415-2023")</f>
        <v/>
      </c>
    </row>
    <row r="212" ht="15" customHeight="1">
      <c r="A212" t="inlineStr">
        <is>
          <t>A 31781-2023</t>
        </is>
      </c>
      <c r="B212" s="1" t="n">
        <v>45118</v>
      </c>
      <c r="C212" s="1" t="n">
        <v>45205</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HYPERLINK("https://klasma.github.io/Logging_KALMAR/artfynd/A 31781-2023.xlsx", "A 31781-2023")</f>
        <v/>
      </c>
      <c r="T212">
        <f>HYPERLINK("https://klasma.github.io/Logging_KALMAR/kartor/A 31781-2023.png", "A 31781-2023")</f>
        <v/>
      </c>
      <c r="V212">
        <f>HYPERLINK("https://klasma.github.io/Logging_KALMAR/klagomål/A 31781-2023.docx", "A 31781-2023")</f>
        <v/>
      </c>
      <c r="W212">
        <f>HYPERLINK("https://klasma.github.io/Logging_KALMAR/klagomålsmail/A 31781-2023.docx", "A 31781-2023")</f>
        <v/>
      </c>
      <c r="X212">
        <f>HYPERLINK("https://klasma.github.io/Logging_KALMAR/tillsyn/A 31781-2023.docx", "A 31781-2023")</f>
        <v/>
      </c>
      <c r="Y212">
        <f>HYPERLINK("https://klasma.github.io/Logging_KALMAR/tillsynsmail/A 31781-2023.docx", "A 31781-2023")</f>
        <v/>
      </c>
    </row>
    <row r="213" ht="15" customHeight="1">
      <c r="A213" t="inlineStr">
        <is>
          <t>A 35681-2018</t>
        </is>
      </c>
      <c r="B213" s="1" t="n">
        <v>43325</v>
      </c>
      <c r="C213" s="1" t="n">
        <v>45205</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HYPERLINK("https://klasma.github.io/Logging_HOGSBY/artfynd/A 35681-2018.xlsx", "A 35681-2018")</f>
        <v/>
      </c>
      <c r="T213">
        <f>HYPERLINK("https://klasma.github.io/Logging_HOGSBY/kartor/A 35681-2018.png", "A 35681-2018")</f>
        <v/>
      </c>
      <c r="V213">
        <f>HYPERLINK("https://klasma.github.io/Logging_HOGSBY/klagomål/A 35681-2018.docx", "A 35681-2018")</f>
        <v/>
      </c>
      <c r="W213">
        <f>HYPERLINK("https://klasma.github.io/Logging_HOGSBY/klagomålsmail/A 35681-2018.docx", "A 35681-2018")</f>
        <v/>
      </c>
      <c r="X213">
        <f>HYPERLINK("https://klasma.github.io/Logging_HOGSBY/tillsyn/A 35681-2018.docx", "A 35681-2018")</f>
        <v/>
      </c>
      <c r="Y213">
        <f>HYPERLINK("https://klasma.github.io/Logging_HOGSBY/tillsynsmail/A 35681-2018.docx", "A 35681-2018")</f>
        <v/>
      </c>
    </row>
    <row r="214" ht="15" customHeight="1">
      <c r="A214" t="inlineStr">
        <is>
          <t>A 35376-2018</t>
        </is>
      </c>
      <c r="B214" s="1" t="n">
        <v>43325</v>
      </c>
      <c r="C214" s="1" t="n">
        <v>45205</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HYPERLINK("https://klasma.github.io/Logging_VASTERVIK/artfynd/A 35376-2018.xlsx", "A 35376-2018")</f>
        <v/>
      </c>
      <c r="T214">
        <f>HYPERLINK("https://klasma.github.io/Logging_VASTERVIK/kartor/A 35376-2018.png", "A 35376-2018")</f>
        <v/>
      </c>
      <c r="V214">
        <f>HYPERLINK("https://klasma.github.io/Logging_VASTERVIK/klagomål/A 35376-2018.docx", "A 35376-2018")</f>
        <v/>
      </c>
      <c r="W214">
        <f>HYPERLINK("https://klasma.github.io/Logging_VASTERVIK/klagomålsmail/A 35376-2018.docx", "A 35376-2018")</f>
        <v/>
      </c>
      <c r="X214">
        <f>HYPERLINK("https://klasma.github.io/Logging_VASTERVIK/tillsyn/A 35376-2018.docx", "A 35376-2018")</f>
        <v/>
      </c>
      <c r="Y214">
        <f>HYPERLINK("https://klasma.github.io/Logging_VASTERVIK/tillsynsmail/A 35376-2018.docx", "A 35376-2018")</f>
        <v/>
      </c>
    </row>
    <row r="215" ht="15" customHeight="1">
      <c r="A215" t="inlineStr">
        <is>
          <t>A 40087-2018</t>
        </is>
      </c>
      <c r="B215" s="1" t="n">
        <v>43343</v>
      </c>
      <c r="C215" s="1" t="n">
        <v>45205</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HYPERLINK("https://klasma.github.io/Logging_HULTSFRED/artfynd/A 40087-2018.xlsx", "A 40087-2018")</f>
        <v/>
      </c>
      <c r="T215">
        <f>HYPERLINK("https://klasma.github.io/Logging_HULTSFRED/kartor/A 40087-2018.png", "A 40087-2018")</f>
        <v/>
      </c>
      <c r="V215">
        <f>HYPERLINK("https://klasma.github.io/Logging_HULTSFRED/klagomål/A 40087-2018.docx", "A 40087-2018")</f>
        <v/>
      </c>
      <c r="W215">
        <f>HYPERLINK("https://klasma.github.io/Logging_HULTSFRED/klagomålsmail/A 40087-2018.docx", "A 40087-2018")</f>
        <v/>
      </c>
      <c r="X215">
        <f>HYPERLINK("https://klasma.github.io/Logging_HULTSFRED/tillsyn/A 40087-2018.docx", "A 40087-2018")</f>
        <v/>
      </c>
      <c r="Y215">
        <f>HYPERLINK("https://klasma.github.io/Logging_HULTSFRED/tillsynsmail/A 40087-2018.docx", "A 40087-2018")</f>
        <v/>
      </c>
    </row>
    <row r="216" ht="15" customHeight="1">
      <c r="A216" t="inlineStr">
        <is>
          <t>A 57207-2018</t>
        </is>
      </c>
      <c r="B216" s="1" t="n">
        <v>43403</v>
      </c>
      <c r="C216" s="1" t="n">
        <v>45205</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HYPERLINK("https://klasma.github.io/Logging_BORGHOLM/artfynd/A 57207-2018.xlsx", "A 57207-2018")</f>
        <v/>
      </c>
      <c r="T216">
        <f>HYPERLINK("https://klasma.github.io/Logging_BORGHOLM/kartor/A 57207-2018.png", "A 57207-2018")</f>
        <v/>
      </c>
      <c r="V216">
        <f>HYPERLINK("https://klasma.github.io/Logging_BORGHOLM/klagomål/A 57207-2018.docx", "A 57207-2018")</f>
        <v/>
      </c>
      <c r="W216">
        <f>HYPERLINK("https://klasma.github.io/Logging_BORGHOLM/klagomålsmail/A 57207-2018.docx", "A 57207-2018")</f>
        <v/>
      </c>
      <c r="X216">
        <f>HYPERLINK("https://klasma.github.io/Logging_BORGHOLM/tillsyn/A 57207-2018.docx", "A 57207-2018")</f>
        <v/>
      </c>
      <c r="Y216">
        <f>HYPERLINK("https://klasma.github.io/Logging_BORGHOLM/tillsynsmail/A 57207-2018.docx", "A 57207-2018")</f>
        <v/>
      </c>
    </row>
    <row r="217" ht="15" customHeight="1">
      <c r="A217" t="inlineStr">
        <is>
          <t>A 60296-2018</t>
        </is>
      </c>
      <c r="B217" s="1" t="n">
        <v>43405</v>
      </c>
      <c r="C217" s="1" t="n">
        <v>45205</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HYPERLINK("https://klasma.github.io/Logging_HULTSFRED/artfynd/A 60296-2018.xlsx", "A 60296-2018")</f>
        <v/>
      </c>
      <c r="T217">
        <f>HYPERLINK("https://klasma.github.io/Logging_HULTSFRED/kartor/A 60296-2018.png", "A 60296-2018")</f>
        <v/>
      </c>
      <c r="V217">
        <f>HYPERLINK("https://klasma.github.io/Logging_HULTSFRED/klagomål/A 60296-2018.docx", "A 60296-2018")</f>
        <v/>
      </c>
      <c r="W217">
        <f>HYPERLINK("https://klasma.github.io/Logging_HULTSFRED/klagomålsmail/A 60296-2018.docx", "A 60296-2018")</f>
        <v/>
      </c>
      <c r="X217">
        <f>HYPERLINK("https://klasma.github.io/Logging_HULTSFRED/tillsyn/A 60296-2018.docx", "A 60296-2018")</f>
        <v/>
      </c>
      <c r="Y217">
        <f>HYPERLINK("https://klasma.github.io/Logging_HULTSFRED/tillsynsmail/A 60296-2018.docx", "A 60296-2018")</f>
        <v/>
      </c>
    </row>
    <row r="218" ht="15" customHeight="1">
      <c r="A218" t="inlineStr">
        <is>
          <t>A 61489-2018</t>
        </is>
      </c>
      <c r="B218" s="1" t="n">
        <v>43413</v>
      </c>
      <c r="C218" s="1" t="n">
        <v>45205</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HYPERLINK("https://klasma.github.io/Logging_EMMABODA/artfynd/A 61489-2018.xlsx", "A 61489-2018")</f>
        <v/>
      </c>
      <c r="T218">
        <f>HYPERLINK("https://klasma.github.io/Logging_EMMABODA/kartor/A 61489-2018.png", "A 61489-2018")</f>
        <v/>
      </c>
      <c r="V218">
        <f>HYPERLINK("https://klasma.github.io/Logging_EMMABODA/klagomål/A 61489-2018.docx", "A 61489-2018")</f>
        <v/>
      </c>
      <c r="W218">
        <f>HYPERLINK("https://klasma.github.io/Logging_EMMABODA/klagomålsmail/A 61489-2018.docx", "A 61489-2018")</f>
        <v/>
      </c>
      <c r="X218">
        <f>HYPERLINK("https://klasma.github.io/Logging_EMMABODA/tillsyn/A 61489-2018.docx", "A 61489-2018")</f>
        <v/>
      </c>
      <c r="Y218">
        <f>HYPERLINK("https://klasma.github.io/Logging_EMMABODA/tillsynsmail/A 61489-2018.docx", "A 61489-2018")</f>
        <v/>
      </c>
    </row>
    <row r="219" ht="15" customHeight="1">
      <c r="A219" t="inlineStr">
        <is>
          <t>A 63698-2018</t>
        </is>
      </c>
      <c r="B219" s="1" t="n">
        <v>43417</v>
      </c>
      <c r="C219" s="1" t="n">
        <v>45205</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HYPERLINK("https://klasma.github.io/Logging_VIMMERBY/artfynd/A 63698-2018.xlsx", "A 63698-2018")</f>
        <v/>
      </c>
      <c r="T219">
        <f>HYPERLINK("https://klasma.github.io/Logging_VIMMERBY/kartor/A 63698-2018.png", "A 63698-2018")</f>
        <v/>
      </c>
      <c r="V219">
        <f>HYPERLINK("https://klasma.github.io/Logging_VIMMERBY/klagomål/A 63698-2018.docx", "A 63698-2018")</f>
        <v/>
      </c>
      <c r="W219">
        <f>HYPERLINK("https://klasma.github.io/Logging_VIMMERBY/klagomålsmail/A 63698-2018.docx", "A 63698-2018")</f>
        <v/>
      </c>
      <c r="X219">
        <f>HYPERLINK("https://klasma.github.io/Logging_VIMMERBY/tillsyn/A 63698-2018.docx", "A 63698-2018")</f>
        <v/>
      </c>
      <c r="Y219">
        <f>HYPERLINK("https://klasma.github.io/Logging_VIMMERBY/tillsynsmail/A 63698-2018.docx", "A 63698-2018")</f>
        <v/>
      </c>
    </row>
    <row r="220" ht="15" customHeight="1">
      <c r="A220" t="inlineStr">
        <is>
          <t>A 63122-2018</t>
        </is>
      </c>
      <c r="B220" s="1" t="n">
        <v>43418</v>
      </c>
      <c r="C220" s="1" t="n">
        <v>45205</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HYPERLINK("https://klasma.github.io/Logging_HULTSFRED/artfynd/A 63122-2018.xlsx", "A 63122-2018")</f>
        <v/>
      </c>
      <c r="T220">
        <f>HYPERLINK("https://klasma.github.io/Logging_HULTSFRED/kartor/A 63122-2018.png", "A 63122-2018")</f>
        <v/>
      </c>
      <c r="V220">
        <f>HYPERLINK("https://klasma.github.io/Logging_HULTSFRED/klagomål/A 63122-2018.docx", "A 63122-2018")</f>
        <v/>
      </c>
      <c r="W220">
        <f>HYPERLINK("https://klasma.github.io/Logging_HULTSFRED/klagomålsmail/A 63122-2018.docx", "A 63122-2018")</f>
        <v/>
      </c>
      <c r="X220">
        <f>HYPERLINK("https://klasma.github.io/Logging_HULTSFRED/tillsyn/A 63122-2018.docx", "A 63122-2018")</f>
        <v/>
      </c>
      <c r="Y220">
        <f>HYPERLINK("https://klasma.github.io/Logging_HULTSFRED/tillsynsmail/A 63122-2018.docx", "A 63122-2018")</f>
        <v/>
      </c>
    </row>
    <row r="221" ht="15" customHeight="1">
      <c r="A221" t="inlineStr">
        <is>
          <t>A 64053-2018</t>
        </is>
      </c>
      <c r="B221" s="1" t="n">
        <v>43418</v>
      </c>
      <c r="C221" s="1" t="n">
        <v>45205</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HYPERLINK("https://klasma.github.io/Logging_VASTERVIK/artfynd/A 64053-2018.xlsx", "A 64053-2018")</f>
        <v/>
      </c>
      <c r="T221">
        <f>HYPERLINK("https://klasma.github.io/Logging_VASTERVIK/kartor/A 64053-2018.png", "A 64053-2018")</f>
        <v/>
      </c>
      <c r="V221">
        <f>HYPERLINK("https://klasma.github.io/Logging_VASTERVIK/klagomål/A 64053-2018.docx", "A 64053-2018")</f>
        <v/>
      </c>
      <c r="W221">
        <f>HYPERLINK("https://klasma.github.io/Logging_VASTERVIK/klagomålsmail/A 64053-2018.docx", "A 64053-2018")</f>
        <v/>
      </c>
      <c r="X221">
        <f>HYPERLINK("https://klasma.github.io/Logging_VASTERVIK/tillsyn/A 64053-2018.docx", "A 64053-2018")</f>
        <v/>
      </c>
      <c r="Y221">
        <f>HYPERLINK("https://klasma.github.io/Logging_VASTERVIK/tillsynsmail/A 64053-2018.docx", "A 64053-2018")</f>
        <v/>
      </c>
    </row>
    <row r="222" ht="15" customHeight="1">
      <c r="A222" t="inlineStr">
        <is>
          <t>A 59943-2018</t>
        </is>
      </c>
      <c r="B222" s="1" t="n">
        <v>43419</v>
      </c>
      <c r="C222" s="1" t="n">
        <v>45205</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HYPERLINK("https://klasma.github.io/Logging_HULTSFRED/artfynd/A 59943-2018.xlsx", "A 59943-2018")</f>
        <v/>
      </c>
      <c r="T222">
        <f>HYPERLINK("https://klasma.github.io/Logging_HULTSFRED/kartor/A 59943-2018.png", "A 59943-2018")</f>
        <v/>
      </c>
      <c r="V222">
        <f>HYPERLINK("https://klasma.github.io/Logging_HULTSFRED/klagomål/A 59943-2018.docx", "A 59943-2018")</f>
        <v/>
      </c>
      <c r="W222">
        <f>HYPERLINK("https://klasma.github.io/Logging_HULTSFRED/klagomålsmail/A 59943-2018.docx", "A 59943-2018")</f>
        <v/>
      </c>
      <c r="X222">
        <f>HYPERLINK("https://klasma.github.io/Logging_HULTSFRED/tillsyn/A 59943-2018.docx", "A 59943-2018")</f>
        <v/>
      </c>
      <c r="Y222">
        <f>HYPERLINK("https://klasma.github.io/Logging_HULTSFRED/tillsynsmail/A 59943-2018.docx", "A 59943-2018")</f>
        <v/>
      </c>
    </row>
    <row r="223" ht="15" customHeight="1">
      <c r="A223" t="inlineStr">
        <is>
          <t>A 62254-2018</t>
        </is>
      </c>
      <c r="B223" s="1" t="n">
        <v>43425</v>
      </c>
      <c r="C223" s="1" t="n">
        <v>45205</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HYPERLINK("https://klasma.github.io/Logging_MONSTERAS/artfynd/A 62254-2018.xlsx", "A 62254-2018")</f>
        <v/>
      </c>
      <c r="T223">
        <f>HYPERLINK("https://klasma.github.io/Logging_MONSTERAS/kartor/A 62254-2018.png", "A 62254-2018")</f>
        <v/>
      </c>
      <c r="U223">
        <f>HYPERLINK("https://klasma.github.io/Logging_MONSTERAS/knärot/A 62254-2018.png", "A 62254-2018")</f>
        <v/>
      </c>
      <c r="V223">
        <f>HYPERLINK("https://klasma.github.io/Logging_MONSTERAS/klagomål/A 62254-2018.docx", "A 62254-2018")</f>
        <v/>
      </c>
      <c r="W223">
        <f>HYPERLINK("https://klasma.github.io/Logging_MONSTERAS/klagomålsmail/A 62254-2018.docx", "A 62254-2018")</f>
        <v/>
      </c>
      <c r="X223">
        <f>HYPERLINK("https://klasma.github.io/Logging_MONSTERAS/tillsyn/A 62254-2018.docx", "A 62254-2018")</f>
        <v/>
      </c>
      <c r="Y223">
        <f>HYPERLINK("https://klasma.github.io/Logging_MONSTERAS/tillsynsmail/A 62254-2018.docx", "A 62254-2018")</f>
        <v/>
      </c>
    </row>
    <row r="224" ht="15" customHeight="1">
      <c r="A224" t="inlineStr">
        <is>
          <t>A 66214-2018</t>
        </is>
      </c>
      <c r="B224" s="1" t="n">
        <v>43434</v>
      </c>
      <c r="C224" s="1" t="n">
        <v>45205</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HYPERLINK("https://klasma.github.io/Logging_TORSAS/artfynd/A 66214-2018.xlsx", "A 66214-2018")</f>
        <v/>
      </c>
      <c r="T224">
        <f>HYPERLINK("https://klasma.github.io/Logging_TORSAS/kartor/A 66214-2018.png", "A 66214-2018")</f>
        <v/>
      </c>
      <c r="V224">
        <f>HYPERLINK("https://klasma.github.io/Logging_TORSAS/klagomål/A 66214-2018.docx", "A 66214-2018")</f>
        <v/>
      </c>
      <c r="W224">
        <f>HYPERLINK("https://klasma.github.io/Logging_TORSAS/klagomålsmail/A 66214-2018.docx", "A 66214-2018")</f>
        <v/>
      </c>
      <c r="X224">
        <f>HYPERLINK("https://klasma.github.io/Logging_TORSAS/tillsyn/A 66214-2018.docx", "A 66214-2018")</f>
        <v/>
      </c>
      <c r="Y224">
        <f>HYPERLINK("https://klasma.github.io/Logging_TORSAS/tillsynsmail/A 66214-2018.docx", "A 66214-2018")</f>
        <v/>
      </c>
    </row>
    <row r="225" ht="15" customHeight="1">
      <c r="A225" t="inlineStr">
        <is>
          <t>A 70416-2018</t>
        </is>
      </c>
      <c r="B225" s="1" t="n">
        <v>43447</v>
      </c>
      <c r="C225" s="1" t="n">
        <v>45205</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HYPERLINK("https://klasma.github.io/Logging_VIMMERBY/artfynd/A 70416-2018.xlsx", "A 70416-2018")</f>
        <v/>
      </c>
      <c r="T225">
        <f>HYPERLINK("https://klasma.github.io/Logging_VIMMERBY/kartor/A 70416-2018.png", "A 70416-2018")</f>
        <v/>
      </c>
      <c r="V225">
        <f>HYPERLINK("https://klasma.github.io/Logging_VIMMERBY/klagomål/A 70416-2018.docx", "A 70416-2018")</f>
        <v/>
      </c>
      <c r="W225">
        <f>HYPERLINK("https://klasma.github.io/Logging_VIMMERBY/klagomålsmail/A 70416-2018.docx", "A 70416-2018")</f>
        <v/>
      </c>
      <c r="X225">
        <f>HYPERLINK("https://klasma.github.io/Logging_VIMMERBY/tillsyn/A 70416-2018.docx", "A 70416-2018")</f>
        <v/>
      </c>
      <c r="Y225">
        <f>HYPERLINK("https://klasma.github.io/Logging_VIMMERBY/tillsynsmail/A 70416-2018.docx", "A 70416-2018")</f>
        <v/>
      </c>
    </row>
    <row r="226" ht="15" customHeight="1">
      <c r="A226" t="inlineStr">
        <is>
          <t>A 70951-2018</t>
        </is>
      </c>
      <c r="B226" s="1" t="n">
        <v>43448</v>
      </c>
      <c r="C226" s="1" t="n">
        <v>45205</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HYPERLINK("https://klasma.github.io/Logging_KALMAR/artfynd/A 70951-2018.xlsx", "A 70951-2018")</f>
        <v/>
      </c>
      <c r="T226">
        <f>HYPERLINK("https://klasma.github.io/Logging_KALMAR/kartor/A 70951-2018.png", "A 70951-2018")</f>
        <v/>
      </c>
      <c r="V226">
        <f>HYPERLINK("https://klasma.github.io/Logging_KALMAR/klagomål/A 70951-2018.docx", "A 70951-2018")</f>
        <v/>
      </c>
      <c r="W226">
        <f>HYPERLINK("https://klasma.github.io/Logging_KALMAR/klagomålsmail/A 70951-2018.docx", "A 70951-2018")</f>
        <v/>
      </c>
      <c r="X226">
        <f>HYPERLINK("https://klasma.github.io/Logging_KALMAR/tillsyn/A 70951-2018.docx", "A 70951-2018")</f>
        <v/>
      </c>
      <c r="Y226">
        <f>HYPERLINK("https://klasma.github.io/Logging_KALMAR/tillsynsmail/A 70951-2018.docx", "A 70951-2018")</f>
        <v/>
      </c>
    </row>
    <row r="227" ht="15" customHeight="1">
      <c r="A227" t="inlineStr">
        <is>
          <t>A 70270-2018</t>
        </is>
      </c>
      <c r="B227" s="1" t="n">
        <v>43449</v>
      </c>
      <c r="C227" s="1" t="n">
        <v>45205</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HYPERLINK("https://klasma.github.io/Logging_NYBRO/artfynd/A 70270-2018.xlsx", "A 70270-2018")</f>
        <v/>
      </c>
      <c r="T227">
        <f>HYPERLINK("https://klasma.github.io/Logging_NYBRO/kartor/A 70270-2018.png", "A 70270-2018")</f>
        <v/>
      </c>
      <c r="V227">
        <f>HYPERLINK("https://klasma.github.io/Logging_NYBRO/klagomål/A 70270-2018.docx", "A 70270-2018")</f>
        <v/>
      </c>
      <c r="W227">
        <f>HYPERLINK("https://klasma.github.io/Logging_NYBRO/klagomålsmail/A 70270-2018.docx", "A 70270-2018")</f>
        <v/>
      </c>
      <c r="X227">
        <f>HYPERLINK("https://klasma.github.io/Logging_NYBRO/tillsyn/A 70270-2018.docx", "A 70270-2018")</f>
        <v/>
      </c>
      <c r="Y227">
        <f>HYPERLINK("https://klasma.github.io/Logging_NYBRO/tillsynsmail/A 70270-2018.docx", "A 70270-2018")</f>
        <v/>
      </c>
    </row>
    <row r="228" ht="15" customHeight="1">
      <c r="A228" t="inlineStr">
        <is>
          <t>A 71214-2018</t>
        </is>
      </c>
      <c r="B228" s="1" t="n">
        <v>43453</v>
      </c>
      <c r="C228" s="1" t="n">
        <v>45205</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HYPERLINK("https://klasma.github.io/Logging_VIMMERBY/artfynd/A 71214-2018.xlsx", "A 71214-2018")</f>
        <v/>
      </c>
      <c r="T228">
        <f>HYPERLINK("https://klasma.github.io/Logging_VIMMERBY/kartor/A 71214-2018.png", "A 71214-2018")</f>
        <v/>
      </c>
      <c r="V228">
        <f>HYPERLINK("https://klasma.github.io/Logging_VIMMERBY/klagomål/A 71214-2018.docx", "A 71214-2018")</f>
        <v/>
      </c>
      <c r="W228">
        <f>HYPERLINK("https://klasma.github.io/Logging_VIMMERBY/klagomålsmail/A 71214-2018.docx", "A 71214-2018")</f>
        <v/>
      </c>
      <c r="X228">
        <f>HYPERLINK("https://klasma.github.io/Logging_VIMMERBY/tillsyn/A 71214-2018.docx", "A 71214-2018")</f>
        <v/>
      </c>
      <c r="Y228">
        <f>HYPERLINK("https://klasma.github.io/Logging_VIMMERBY/tillsynsmail/A 71214-2018.docx", "A 71214-2018")</f>
        <v/>
      </c>
    </row>
    <row r="229" ht="15" customHeight="1">
      <c r="A229" t="inlineStr">
        <is>
          <t>A 5642-2019</t>
        </is>
      </c>
      <c r="B229" s="1" t="n">
        <v>43489</v>
      </c>
      <c r="C229" s="1" t="n">
        <v>45205</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HYPERLINK("https://klasma.github.io/Logging_HULTSFRED/artfynd/A 5642-2019.xlsx", "A 5642-2019")</f>
        <v/>
      </c>
      <c r="T229">
        <f>HYPERLINK("https://klasma.github.io/Logging_HULTSFRED/kartor/A 5642-2019.png", "A 5642-2019")</f>
        <v/>
      </c>
      <c r="V229">
        <f>HYPERLINK("https://klasma.github.io/Logging_HULTSFRED/klagomål/A 5642-2019.docx", "A 5642-2019")</f>
        <v/>
      </c>
      <c r="W229">
        <f>HYPERLINK("https://klasma.github.io/Logging_HULTSFRED/klagomålsmail/A 5642-2019.docx", "A 5642-2019")</f>
        <v/>
      </c>
      <c r="X229">
        <f>HYPERLINK("https://klasma.github.io/Logging_HULTSFRED/tillsyn/A 5642-2019.docx", "A 5642-2019")</f>
        <v/>
      </c>
      <c r="Y229">
        <f>HYPERLINK("https://klasma.github.io/Logging_HULTSFRED/tillsynsmail/A 5642-2019.docx", "A 5642-2019")</f>
        <v/>
      </c>
    </row>
    <row r="230" ht="15" customHeight="1">
      <c r="A230" t="inlineStr">
        <is>
          <t>A 7907-2019</t>
        </is>
      </c>
      <c r="B230" s="1" t="n">
        <v>43500</v>
      </c>
      <c r="C230" s="1" t="n">
        <v>45205</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HYPERLINK("https://klasma.github.io/Logging_VASTERVIK/artfynd/A 7907-2019.xlsx", "A 7907-2019")</f>
        <v/>
      </c>
      <c r="T230">
        <f>HYPERLINK("https://klasma.github.io/Logging_VASTERVIK/kartor/A 7907-2019.png", "A 7907-2019")</f>
        <v/>
      </c>
      <c r="V230">
        <f>HYPERLINK("https://klasma.github.io/Logging_VASTERVIK/klagomål/A 7907-2019.docx", "A 7907-2019")</f>
        <v/>
      </c>
      <c r="W230">
        <f>HYPERLINK("https://klasma.github.io/Logging_VASTERVIK/klagomålsmail/A 7907-2019.docx", "A 7907-2019")</f>
        <v/>
      </c>
      <c r="X230">
        <f>HYPERLINK("https://klasma.github.io/Logging_VASTERVIK/tillsyn/A 7907-2019.docx", "A 7907-2019")</f>
        <v/>
      </c>
      <c r="Y230">
        <f>HYPERLINK("https://klasma.github.io/Logging_VASTERVIK/tillsynsmail/A 7907-2019.docx", "A 7907-2019")</f>
        <v/>
      </c>
    </row>
    <row r="231" ht="15" customHeight="1">
      <c r="A231" t="inlineStr">
        <is>
          <t>A 13588-2019</t>
        </is>
      </c>
      <c r="B231" s="1" t="n">
        <v>43530</v>
      </c>
      <c r="C231" s="1" t="n">
        <v>45205</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13588-2019.xlsx", "A 13588-2019")</f>
        <v/>
      </c>
      <c r="T231">
        <f>HYPERLINK("https://klasma.github.io/Logging_VIMMERBY/kartor/A 13588-2019.png", "A 13588-2019")</f>
        <v/>
      </c>
      <c r="V231">
        <f>HYPERLINK("https://klasma.github.io/Logging_VIMMERBY/klagomål/A 13588-2019.docx", "A 13588-2019")</f>
        <v/>
      </c>
      <c r="W231">
        <f>HYPERLINK("https://klasma.github.io/Logging_VIMMERBY/klagomålsmail/A 13588-2019.docx", "A 13588-2019")</f>
        <v/>
      </c>
      <c r="X231">
        <f>HYPERLINK("https://klasma.github.io/Logging_VIMMERBY/tillsyn/A 13588-2019.docx", "A 13588-2019")</f>
        <v/>
      </c>
      <c r="Y231">
        <f>HYPERLINK("https://klasma.github.io/Logging_VIMMERBY/tillsynsmail/A 13588-2019.docx", "A 13588-2019")</f>
        <v/>
      </c>
    </row>
    <row r="232" ht="15" customHeight="1">
      <c r="A232" t="inlineStr">
        <is>
          <t>A 13596-2019</t>
        </is>
      </c>
      <c r="B232" s="1" t="n">
        <v>43530</v>
      </c>
      <c r="C232" s="1" t="n">
        <v>45205</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HYPERLINK("https://klasma.github.io/Logging_VIMMERBY/artfynd/A 13596-2019.xlsx", "A 13596-2019")</f>
        <v/>
      </c>
      <c r="T232">
        <f>HYPERLINK("https://klasma.github.io/Logging_VIMMERBY/kartor/A 13596-2019.png", "A 13596-2019")</f>
        <v/>
      </c>
      <c r="V232">
        <f>HYPERLINK("https://klasma.github.io/Logging_VIMMERBY/klagomål/A 13596-2019.docx", "A 13596-2019")</f>
        <v/>
      </c>
      <c r="W232">
        <f>HYPERLINK("https://klasma.github.io/Logging_VIMMERBY/klagomålsmail/A 13596-2019.docx", "A 13596-2019")</f>
        <v/>
      </c>
      <c r="X232">
        <f>HYPERLINK("https://klasma.github.io/Logging_VIMMERBY/tillsyn/A 13596-2019.docx", "A 13596-2019")</f>
        <v/>
      </c>
      <c r="Y232">
        <f>HYPERLINK("https://klasma.github.io/Logging_VIMMERBY/tillsynsmail/A 13596-2019.docx", "A 13596-2019")</f>
        <v/>
      </c>
    </row>
    <row r="233" ht="15" customHeight="1">
      <c r="A233" t="inlineStr">
        <is>
          <t>A 16358-2019</t>
        </is>
      </c>
      <c r="B233" s="1" t="n">
        <v>43545</v>
      </c>
      <c r="C233" s="1" t="n">
        <v>45205</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HYPERLINK("https://klasma.github.io/Logging_OSKARSHAMN/artfynd/A 16358-2019.xlsx", "A 16358-2019")</f>
        <v/>
      </c>
      <c r="T233">
        <f>HYPERLINK("https://klasma.github.io/Logging_OSKARSHAMN/kartor/A 16358-2019.png", "A 16358-2019")</f>
        <v/>
      </c>
      <c r="V233">
        <f>HYPERLINK("https://klasma.github.io/Logging_OSKARSHAMN/klagomål/A 16358-2019.docx", "A 16358-2019")</f>
        <v/>
      </c>
      <c r="W233">
        <f>HYPERLINK("https://klasma.github.io/Logging_OSKARSHAMN/klagomålsmail/A 16358-2019.docx", "A 16358-2019")</f>
        <v/>
      </c>
      <c r="X233">
        <f>HYPERLINK("https://klasma.github.io/Logging_OSKARSHAMN/tillsyn/A 16358-2019.docx", "A 16358-2019")</f>
        <v/>
      </c>
      <c r="Y233">
        <f>HYPERLINK("https://klasma.github.io/Logging_OSKARSHAMN/tillsynsmail/A 16358-2019.docx", "A 16358-2019")</f>
        <v/>
      </c>
    </row>
    <row r="234" ht="15" customHeight="1">
      <c r="A234" t="inlineStr">
        <is>
          <t>A 17437-2019</t>
        </is>
      </c>
      <c r="B234" s="1" t="n">
        <v>43553</v>
      </c>
      <c r="C234" s="1" t="n">
        <v>45205</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HYPERLINK("https://klasma.github.io/Logging_NYBRO/artfynd/A 17437-2019.xlsx", "A 17437-2019")</f>
        <v/>
      </c>
      <c r="T234">
        <f>HYPERLINK("https://klasma.github.io/Logging_NYBRO/kartor/A 17437-2019.png", "A 17437-2019")</f>
        <v/>
      </c>
      <c r="V234">
        <f>HYPERLINK("https://klasma.github.io/Logging_NYBRO/klagomål/A 17437-2019.docx", "A 17437-2019")</f>
        <v/>
      </c>
      <c r="W234">
        <f>HYPERLINK("https://klasma.github.io/Logging_NYBRO/klagomålsmail/A 17437-2019.docx", "A 17437-2019")</f>
        <v/>
      </c>
      <c r="X234">
        <f>HYPERLINK("https://klasma.github.io/Logging_NYBRO/tillsyn/A 17437-2019.docx", "A 17437-2019")</f>
        <v/>
      </c>
      <c r="Y234">
        <f>HYPERLINK("https://klasma.github.io/Logging_NYBRO/tillsynsmail/A 17437-2019.docx", "A 17437-2019")</f>
        <v/>
      </c>
    </row>
    <row r="235" ht="15" customHeight="1">
      <c r="A235" t="inlineStr">
        <is>
          <t>A 20824-2019</t>
        </is>
      </c>
      <c r="B235" s="1" t="n">
        <v>43573</v>
      </c>
      <c r="C235" s="1" t="n">
        <v>45205</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HYPERLINK("https://klasma.github.io/Logging_HOGSBY/artfynd/A 20824-2019.xlsx", "A 20824-2019")</f>
        <v/>
      </c>
      <c r="T235">
        <f>HYPERLINK("https://klasma.github.io/Logging_HOGSBY/kartor/A 20824-2019.png", "A 20824-2019")</f>
        <v/>
      </c>
      <c r="V235">
        <f>HYPERLINK("https://klasma.github.io/Logging_HOGSBY/klagomål/A 20824-2019.docx", "A 20824-2019")</f>
        <v/>
      </c>
      <c r="W235">
        <f>HYPERLINK("https://klasma.github.io/Logging_HOGSBY/klagomålsmail/A 20824-2019.docx", "A 20824-2019")</f>
        <v/>
      </c>
      <c r="X235">
        <f>HYPERLINK("https://klasma.github.io/Logging_HOGSBY/tillsyn/A 20824-2019.docx", "A 20824-2019")</f>
        <v/>
      </c>
      <c r="Y235">
        <f>HYPERLINK("https://klasma.github.io/Logging_HOGSBY/tillsynsmail/A 20824-2019.docx", "A 20824-2019")</f>
        <v/>
      </c>
    </row>
    <row r="236" ht="15" customHeight="1">
      <c r="A236" t="inlineStr">
        <is>
          <t>A 25729-2019</t>
        </is>
      </c>
      <c r="B236" s="1" t="n">
        <v>43608</v>
      </c>
      <c r="C236" s="1" t="n">
        <v>45205</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HYPERLINK("https://klasma.github.io/Logging_TORSAS/artfynd/A 25729-2019.xlsx", "A 25729-2019")</f>
        <v/>
      </c>
      <c r="T236">
        <f>HYPERLINK("https://klasma.github.io/Logging_TORSAS/kartor/A 25729-2019.png", "A 25729-2019")</f>
        <v/>
      </c>
      <c r="V236">
        <f>HYPERLINK("https://klasma.github.io/Logging_TORSAS/klagomål/A 25729-2019.docx", "A 25729-2019")</f>
        <v/>
      </c>
      <c r="W236">
        <f>HYPERLINK("https://klasma.github.io/Logging_TORSAS/klagomålsmail/A 25729-2019.docx", "A 25729-2019")</f>
        <v/>
      </c>
      <c r="X236">
        <f>HYPERLINK("https://klasma.github.io/Logging_TORSAS/tillsyn/A 25729-2019.docx", "A 25729-2019")</f>
        <v/>
      </c>
      <c r="Y236">
        <f>HYPERLINK("https://klasma.github.io/Logging_TORSAS/tillsynsmail/A 25729-2019.docx", "A 25729-2019")</f>
        <v/>
      </c>
    </row>
    <row r="237" ht="15" customHeight="1">
      <c r="A237" t="inlineStr">
        <is>
          <t>A 31267-2019</t>
        </is>
      </c>
      <c r="B237" s="1" t="n">
        <v>43640</v>
      </c>
      <c r="C237" s="1" t="n">
        <v>45205</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HYPERLINK("https://klasma.github.io/Logging_KALMAR/artfynd/A 31267-2019.xlsx", "A 31267-2019")</f>
        <v/>
      </c>
      <c r="T237">
        <f>HYPERLINK("https://klasma.github.io/Logging_KALMAR/kartor/A 31267-2019.png", "A 31267-2019")</f>
        <v/>
      </c>
      <c r="U237">
        <f>HYPERLINK("https://klasma.github.io/Logging_KALMAR/knärot/A 31267-2019.png", "A 31267-2019")</f>
        <v/>
      </c>
      <c r="V237">
        <f>HYPERLINK("https://klasma.github.io/Logging_KALMAR/klagomål/A 31267-2019.docx", "A 31267-2019")</f>
        <v/>
      </c>
      <c r="W237">
        <f>HYPERLINK("https://klasma.github.io/Logging_KALMAR/klagomålsmail/A 31267-2019.docx", "A 31267-2019")</f>
        <v/>
      </c>
      <c r="X237">
        <f>HYPERLINK("https://klasma.github.io/Logging_KALMAR/tillsyn/A 31267-2019.docx", "A 31267-2019")</f>
        <v/>
      </c>
      <c r="Y237">
        <f>HYPERLINK("https://klasma.github.io/Logging_KALMAR/tillsynsmail/A 31267-2019.docx", "A 31267-2019")</f>
        <v/>
      </c>
    </row>
    <row r="238" ht="15" customHeight="1">
      <c r="A238" t="inlineStr">
        <is>
          <t>A 36531-2019</t>
        </is>
      </c>
      <c r="B238" s="1" t="n">
        <v>43663</v>
      </c>
      <c r="C238" s="1" t="n">
        <v>45205</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HYPERLINK("https://klasma.github.io/Logging_HOGSBY/artfynd/A 36531-2019.xlsx", "A 36531-2019")</f>
        <v/>
      </c>
      <c r="T238">
        <f>HYPERLINK("https://klasma.github.io/Logging_HOGSBY/kartor/A 36531-2019.png", "A 36531-2019")</f>
        <v/>
      </c>
      <c r="V238">
        <f>HYPERLINK("https://klasma.github.io/Logging_HOGSBY/klagomål/A 36531-2019.docx", "A 36531-2019")</f>
        <v/>
      </c>
      <c r="W238">
        <f>HYPERLINK("https://klasma.github.io/Logging_HOGSBY/klagomålsmail/A 36531-2019.docx", "A 36531-2019")</f>
        <v/>
      </c>
      <c r="X238">
        <f>HYPERLINK("https://klasma.github.io/Logging_HOGSBY/tillsyn/A 36531-2019.docx", "A 36531-2019")</f>
        <v/>
      </c>
      <c r="Y238">
        <f>HYPERLINK("https://klasma.github.io/Logging_HOGSBY/tillsynsmail/A 36531-2019.docx", "A 36531-2019")</f>
        <v/>
      </c>
    </row>
    <row r="239" ht="15" customHeight="1">
      <c r="A239" t="inlineStr">
        <is>
          <t>A 36803-2019</t>
        </is>
      </c>
      <c r="B239" s="1" t="n">
        <v>43672</v>
      </c>
      <c r="C239" s="1" t="n">
        <v>45205</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HYPERLINK("https://klasma.github.io/Logging_VIMMERBY/artfynd/A 36803-2019.xlsx", "A 36803-2019")</f>
        <v/>
      </c>
      <c r="T239">
        <f>HYPERLINK("https://klasma.github.io/Logging_VIMMERBY/kartor/A 36803-2019.png", "A 36803-2019")</f>
        <v/>
      </c>
      <c r="V239">
        <f>HYPERLINK("https://klasma.github.io/Logging_VIMMERBY/klagomål/A 36803-2019.docx", "A 36803-2019")</f>
        <v/>
      </c>
      <c r="W239">
        <f>HYPERLINK("https://klasma.github.io/Logging_VIMMERBY/klagomålsmail/A 36803-2019.docx", "A 36803-2019")</f>
        <v/>
      </c>
      <c r="X239">
        <f>HYPERLINK("https://klasma.github.io/Logging_VIMMERBY/tillsyn/A 36803-2019.docx", "A 36803-2019")</f>
        <v/>
      </c>
      <c r="Y239">
        <f>HYPERLINK("https://klasma.github.io/Logging_VIMMERBY/tillsynsmail/A 36803-2019.docx", "A 36803-2019")</f>
        <v/>
      </c>
    </row>
    <row r="240" ht="15" customHeight="1">
      <c r="A240" t="inlineStr">
        <is>
          <t>A 37778-2019</t>
        </is>
      </c>
      <c r="B240" s="1" t="n">
        <v>43682</v>
      </c>
      <c r="C240" s="1" t="n">
        <v>45205</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HYPERLINK("https://klasma.github.io/Logging_HULTSFRED/artfynd/A 37778-2019.xlsx", "A 37778-2019")</f>
        <v/>
      </c>
      <c r="T240">
        <f>HYPERLINK("https://klasma.github.io/Logging_HULTSFRED/kartor/A 37778-2019.png", "A 37778-2019")</f>
        <v/>
      </c>
      <c r="V240">
        <f>HYPERLINK("https://klasma.github.io/Logging_HULTSFRED/klagomål/A 37778-2019.docx", "A 37778-2019")</f>
        <v/>
      </c>
      <c r="W240">
        <f>HYPERLINK("https://klasma.github.io/Logging_HULTSFRED/klagomålsmail/A 37778-2019.docx", "A 37778-2019")</f>
        <v/>
      </c>
      <c r="X240">
        <f>HYPERLINK("https://klasma.github.io/Logging_HULTSFRED/tillsyn/A 37778-2019.docx", "A 37778-2019")</f>
        <v/>
      </c>
      <c r="Y240">
        <f>HYPERLINK("https://klasma.github.io/Logging_HULTSFRED/tillsynsmail/A 37778-2019.docx", "A 37778-2019")</f>
        <v/>
      </c>
    </row>
    <row r="241" ht="15" customHeight="1">
      <c r="A241" t="inlineStr">
        <is>
          <t>A 38441-2019</t>
        </is>
      </c>
      <c r="B241" s="1" t="n">
        <v>43685</v>
      </c>
      <c r="C241" s="1" t="n">
        <v>45205</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HYPERLINK("https://klasma.github.io/Logging_MONSTERAS/artfynd/A 38441-2019.xlsx", "A 38441-2019")</f>
        <v/>
      </c>
      <c r="T241">
        <f>HYPERLINK("https://klasma.github.io/Logging_MONSTERAS/kartor/A 38441-2019.png", "A 38441-2019")</f>
        <v/>
      </c>
      <c r="V241">
        <f>HYPERLINK("https://klasma.github.io/Logging_MONSTERAS/klagomål/A 38441-2019.docx", "A 38441-2019")</f>
        <v/>
      </c>
      <c r="W241">
        <f>HYPERLINK("https://klasma.github.io/Logging_MONSTERAS/klagomålsmail/A 38441-2019.docx", "A 38441-2019")</f>
        <v/>
      </c>
      <c r="X241">
        <f>HYPERLINK("https://klasma.github.io/Logging_MONSTERAS/tillsyn/A 38441-2019.docx", "A 38441-2019")</f>
        <v/>
      </c>
      <c r="Y241">
        <f>HYPERLINK("https://klasma.github.io/Logging_MONSTERAS/tillsynsmail/A 38441-2019.docx", "A 38441-2019")</f>
        <v/>
      </c>
    </row>
    <row r="242" ht="15" customHeight="1">
      <c r="A242" t="inlineStr">
        <is>
          <t>A 38921-2019</t>
        </is>
      </c>
      <c r="B242" s="1" t="n">
        <v>43689</v>
      </c>
      <c r="C242" s="1" t="n">
        <v>45205</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HYPERLINK("https://klasma.github.io/Logging_VIMMERBY/artfynd/A 38921-2019.xlsx", "A 38921-2019")</f>
        <v/>
      </c>
      <c r="T242">
        <f>HYPERLINK("https://klasma.github.io/Logging_VIMMERBY/kartor/A 38921-2019.png", "A 38921-2019")</f>
        <v/>
      </c>
      <c r="V242">
        <f>HYPERLINK("https://klasma.github.io/Logging_VIMMERBY/klagomål/A 38921-2019.docx", "A 38921-2019")</f>
        <v/>
      </c>
      <c r="W242">
        <f>HYPERLINK("https://klasma.github.io/Logging_VIMMERBY/klagomålsmail/A 38921-2019.docx", "A 38921-2019")</f>
        <v/>
      </c>
      <c r="X242">
        <f>HYPERLINK("https://klasma.github.io/Logging_VIMMERBY/tillsyn/A 38921-2019.docx", "A 38921-2019")</f>
        <v/>
      </c>
      <c r="Y242">
        <f>HYPERLINK("https://klasma.github.io/Logging_VIMMERBY/tillsynsmail/A 38921-2019.docx", "A 38921-2019")</f>
        <v/>
      </c>
    </row>
    <row r="243" ht="15" customHeight="1">
      <c r="A243" t="inlineStr">
        <is>
          <t>A 39871-2019</t>
        </is>
      </c>
      <c r="B243" s="1" t="n">
        <v>43692</v>
      </c>
      <c r="C243" s="1" t="n">
        <v>45205</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HYPERLINK("https://klasma.github.io/Logging_EMMABODA/artfynd/A 39871-2019.xlsx", "A 39871-2019")</f>
        <v/>
      </c>
      <c r="T243">
        <f>HYPERLINK("https://klasma.github.io/Logging_EMMABODA/kartor/A 39871-2019.png", "A 39871-2019")</f>
        <v/>
      </c>
      <c r="V243">
        <f>HYPERLINK("https://klasma.github.io/Logging_EMMABODA/klagomål/A 39871-2019.docx", "A 39871-2019")</f>
        <v/>
      </c>
      <c r="W243">
        <f>HYPERLINK("https://klasma.github.io/Logging_EMMABODA/klagomålsmail/A 39871-2019.docx", "A 39871-2019")</f>
        <v/>
      </c>
      <c r="X243">
        <f>HYPERLINK("https://klasma.github.io/Logging_EMMABODA/tillsyn/A 39871-2019.docx", "A 39871-2019")</f>
        <v/>
      </c>
      <c r="Y243">
        <f>HYPERLINK("https://klasma.github.io/Logging_EMMABODA/tillsynsmail/A 39871-2019.docx", "A 39871-2019")</f>
        <v/>
      </c>
    </row>
    <row r="244" ht="15" customHeight="1">
      <c r="A244" t="inlineStr">
        <is>
          <t>A 42206-2019</t>
        </is>
      </c>
      <c r="B244" s="1" t="n">
        <v>43703</v>
      </c>
      <c r="C244" s="1" t="n">
        <v>45205</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HYPERLINK("https://klasma.github.io/Logging_TORSAS/artfynd/A 42206-2019.xlsx", "A 42206-2019")</f>
        <v/>
      </c>
      <c r="T244">
        <f>HYPERLINK("https://klasma.github.io/Logging_TORSAS/kartor/A 42206-2019.png", "A 42206-2019")</f>
        <v/>
      </c>
      <c r="V244">
        <f>HYPERLINK("https://klasma.github.io/Logging_TORSAS/klagomål/A 42206-2019.docx", "A 42206-2019")</f>
        <v/>
      </c>
      <c r="W244">
        <f>HYPERLINK("https://klasma.github.io/Logging_TORSAS/klagomålsmail/A 42206-2019.docx", "A 42206-2019")</f>
        <v/>
      </c>
      <c r="X244">
        <f>HYPERLINK("https://klasma.github.io/Logging_TORSAS/tillsyn/A 42206-2019.docx", "A 42206-2019")</f>
        <v/>
      </c>
      <c r="Y244">
        <f>HYPERLINK("https://klasma.github.io/Logging_TORSAS/tillsynsmail/A 42206-2019.docx", "A 42206-2019")</f>
        <v/>
      </c>
    </row>
    <row r="245" ht="15" customHeight="1">
      <c r="A245" t="inlineStr">
        <is>
          <t>A 43150-2019</t>
        </is>
      </c>
      <c r="B245" s="1" t="n">
        <v>43705</v>
      </c>
      <c r="C245" s="1" t="n">
        <v>45205</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HYPERLINK("https://klasma.github.io/Logging_TORSAS/artfynd/A 43150-2019.xlsx", "A 43150-2019")</f>
        <v/>
      </c>
      <c r="T245">
        <f>HYPERLINK("https://klasma.github.io/Logging_TORSAS/kartor/A 43150-2019.png", "A 43150-2019")</f>
        <v/>
      </c>
      <c r="V245">
        <f>HYPERLINK("https://klasma.github.io/Logging_TORSAS/klagomål/A 43150-2019.docx", "A 43150-2019")</f>
        <v/>
      </c>
      <c r="W245">
        <f>HYPERLINK("https://klasma.github.io/Logging_TORSAS/klagomålsmail/A 43150-2019.docx", "A 43150-2019")</f>
        <v/>
      </c>
      <c r="X245">
        <f>HYPERLINK("https://klasma.github.io/Logging_TORSAS/tillsyn/A 43150-2019.docx", "A 43150-2019")</f>
        <v/>
      </c>
      <c r="Y245">
        <f>HYPERLINK("https://klasma.github.io/Logging_TORSAS/tillsynsmail/A 43150-2019.docx", "A 43150-2019")</f>
        <v/>
      </c>
    </row>
    <row r="246" ht="15" customHeight="1">
      <c r="A246" t="inlineStr">
        <is>
          <t>A 43490-2019</t>
        </is>
      </c>
      <c r="B246" s="1" t="n">
        <v>43706</v>
      </c>
      <c r="C246" s="1" t="n">
        <v>45205</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HYPERLINK("https://klasma.github.io/Logging_MONSTERAS/artfynd/A 43490-2019.xlsx", "A 43490-2019")</f>
        <v/>
      </c>
      <c r="T246">
        <f>HYPERLINK("https://klasma.github.io/Logging_MONSTERAS/kartor/A 43490-2019.png", "A 43490-2019")</f>
        <v/>
      </c>
      <c r="V246">
        <f>HYPERLINK("https://klasma.github.io/Logging_MONSTERAS/klagomål/A 43490-2019.docx", "A 43490-2019")</f>
        <v/>
      </c>
      <c r="W246">
        <f>HYPERLINK("https://klasma.github.io/Logging_MONSTERAS/klagomålsmail/A 43490-2019.docx", "A 43490-2019")</f>
        <v/>
      </c>
      <c r="X246">
        <f>HYPERLINK("https://klasma.github.io/Logging_MONSTERAS/tillsyn/A 43490-2019.docx", "A 43490-2019")</f>
        <v/>
      </c>
      <c r="Y246">
        <f>HYPERLINK("https://klasma.github.io/Logging_MONSTERAS/tillsynsmail/A 43490-2019.docx", "A 43490-2019")</f>
        <v/>
      </c>
    </row>
    <row r="247" ht="15" customHeight="1">
      <c r="A247" t="inlineStr">
        <is>
          <t>A 44711-2019</t>
        </is>
      </c>
      <c r="B247" s="1" t="n">
        <v>43712</v>
      </c>
      <c r="C247" s="1" t="n">
        <v>45205</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HYPERLINK("https://klasma.github.io/Logging_TORSAS/artfynd/A 44711-2019.xlsx", "A 44711-2019")</f>
        <v/>
      </c>
      <c r="T247">
        <f>HYPERLINK("https://klasma.github.io/Logging_TORSAS/kartor/A 44711-2019.png", "A 44711-2019")</f>
        <v/>
      </c>
      <c r="V247">
        <f>HYPERLINK("https://klasma.github.io/Logging_TORSAS/klagomål/A 44711-2019.docx", "A 44711-2019")</f>
        <v/>
      </c>
      <c r="W247">
        <f>HYPERLINK("https://klasma.github.io/Logging_TORSAS/klagomålsmail/A 44711-2019.docx", "A 44711-2019")</f>
        <v/>
      </c>
      <c r="X247">
        <f>HYPERLINK("https://klasma.github.io/Logging_TORSAS/tillsyn/A 44711-2019.docx", "A 44711-2019")</f>
        <v/>
      </c>
      <c r="Y247">
        <f>HYPERLINK("https://klasma.github.io/Logging_TORSAS/tillsynsmail/A 44711-2019.docx", "A 44711-2019")</f>
        <v/>
      </c>
    </row>
    <row r="248" ht="15" customHeight="1">
      <c r="A248" t="inlineStr">
        <is>
          <t>A 46727-2019</t>
        </is>
      </c>
      <c r="B248" s="1" t="n">
        <v>43719</v>
      </c>
      <c r="C248" s="1" t="n">
        <v>45205</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HYPERLINK("https://klasma.github.io/Logging_KALMAR/artfynd/A 46727-2019.xlsx", "A 46727-2019")</f>
        <v/>
      </c>
      <c r="T248">
        <f>HYPERLINK("https://klasma.github.io/Logging_KALMAR/kartor/A 46727-2019.png", "A 46727-2019")</f>
        <v/>
      </c>
      <c r="V248">
        <f>HYPERLINK("https://klasma.github.io/Logging_KALMAR/klagomål/A 46727-2019.docx", "A 46727-2019")</f>
        <v/>
      </c>
      <c r="W248">
        <f>HYPERLINK("https://klasma.github.io/Logging_KALMAR/klagomålsmail/A 46727-2019.docx", "A 46727-2019")</f>
        <v/>
      </c>
      <c r="X248">
        <f>HYPERLINK("https://klasma.github.io/Logging_KALMAR/tillsyn/A 46727-2019.docx", "A 46727-2019")</f>
        <v/>
      </c>
      <c r="Y248">
        <f>HYPERLINK("https://klasma.github.io/Logging_KALMAR/tillsynsmail/A 46727-2019.docx", "A 46727-2019")</f>
        <v/>
      </c>
    </row>
    <row r="249" ht="15" customHeight="1">
      <c r="A249" t="inlineStr">
        <is>
          <t>A 53578-2019</t>
        </is>
      </c>
      <c r="B249" s="1" t="n">
        <v>43748</v>
      </c>
      <c r="C249" s="1" t="n">
        <v>45205</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HYPERLINK("https://klasma.github.io/Logging_HOGSBY/artfynd/A 53578-2019.xlsx", "A 53578-2019")</f>
        <v/>
      </c>
      <c r="T249">
        <f>HYPERLINK("https://klasma.github.io/Logging_HOGSBY/kartor/A 53578-2019.png", "A 53578-2019")</f>
        <v/>
      </c>
      <c r="V249">
        <f>HYPERLINK("https://klasma.github.io/Logging_HOGSBY/klagomål/A 53578-2019.docx", "A 53578-2019")</f>
        <v/>
      </c>
      <c r="W249">
        <f>HYPERLINK("https://klasma.github.io/Logging_HOGSBY/klagomålsmail/A 53578-2019.docx", "A 53578-2019")</f>
        <v/>
      </c>
      <c r="X249">
        <f>HYPERLINK("https://klasma.github.io/Logging_HOGSBY/tillsyn/A 53578-2019.docx", "A 53578-2019")</f>
        <v/>
      </c>
      <c r="Y249">
        <f>HYPERLINK("https://klasma.github.io/Logging_HOGSBY/tillsynsmail/A 53578-2019.docx", "A 53578-2019")</f>
        <v/>
      </c>
    </row>
    <row r="250" ht="15" customHeight="1">
      <c r="A250" t="inlineStr">
        <is>
          <t>A 58914-2019</t>
        </is>
      </c>
      <c r="B250" s="1" t="n">
        <v>43774</v>
      </c>
      <c r="C250" s="1" t="n">
        <v>45205</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HYPERLINK("https://klasma.github.io/Logging_NYBRO/artfynd/A 58914-2019.xlsx", "A 58914-2019")</f>
        <v/>
      </c>
      <c r="T250">
        <f>HYPERLINK("https://klasma.github.io/Logging_NYBRO/kartor/A 58914-2019.png", "A 58914-2019")</f>
        <v/>
      </c>
      <c r="V250">
        <f>HYPERLINK("https://klasma.github.io/Logging_NYBRO/klagomål/A 58914-2019.docx", "A 58914-2019")</f>
        <v/>
      </c>
      <c r="W250">
        <f>HYPERLINK("https://klasma.github.io/Logging_NYBRO/klagomålsmail/A 58914-2019.docx", "A 58914-2019")</f>
        <v/>
      </c>
      <c r="X250">
        <f>HYPERLINK("https://klasma.github.io/Logging_NYBRO/tillsyn/A 58914-2019.docx", "A 58914-2019")</f>
        <v/>
      </c>
      <c r="Y250">
        <f>HYPERLINK("https://klasma.github.io/Logging_NYBRO/tillsynsmail/A 58914-2019.docx", "A 58914-2019")</f>
        <v/>
      </c>
    </row>
    <row r="251" ht="15" customHeight="1">
      <c r="A251" t="inlineStr">
        <is>
          <t>A 62128-2019</t>
        </is>
      </c>
      <c r="B251" s="1" t="n">
        <v>43782</v>
      </c>
      <c r="C251" s="1" t="n">
        <v>45205</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HYPERLINK("https://klasma.github.io/Logging_VASTERVIK/artfynd/A 62128-2019.xlsx", "A 62128-2019")</f>
        <v/>
      </c>
      <c r="T251">
        <f>HYPERLINK("https://klasma.github.io/Logging_VASTERVIK/kartor/A 62128-2019.png", "A 62128-2019")</f>
        <v/>
      </c>
      <c r="V251">
        <f>HYPERLINK("https://klasma.github.io/Logging_VASTERVIK/klagomål/A 62128-2019.docx", "A 62128-2019")</f>
        <v/>
      </c>
      <c r="W251">
        <f>HYPERLINK("https://klasma.github.io/Logging_VASTERVIK/klagomålsmail/A 62128-2019.docx", "A 62128-2019")</f>
        <v/>
      </c>
      <c r="X251">
        <f>HYPERLINK("https://klasma.github.io/Logging_VASTERVIK/tillsyn/A 62128-2019.docx", "A 62128-2019")</f>
        <v/>
      </c>
      <c r="Y251">
        <f>HYPERLINK("https://klasma.github.io/Logging_VASTERVIK/tillsynsmail/A 62128-2019.docx", "A 62128-2019")</f>
        <v/>
      </c>
    </row>
    <row r="252" ht="15" customHeight="1">
      <c r="A252" t="inlineStr">
        <is>
          <t>A 63949-2019</t>
        </is>
      </c>
      <c r="B252" s="1" t="n">
        <v>43796</v>
      </c>
      <c r="C252" s="1" t="n">
        <v>45205</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HYPERLINK("https://klasma.github.io/Logging_KALMAR/artfynd/A 63949-2019.xlsx", "A 63949-2019")</f>
        <v/>
      </c>
      <c r="T252">
        <f>HYPERLINK("https://klasma.github.io/Logging_KALMAR/kartor/A 63949-2019.png", "A 63949-2019")</f>
        <v/>
      </c>
      <c r="V252">
        <f>HYPERLINK("https://klasma.github.io/Logging_KALMAR/klagomål/A 63949-2019.docx", "A 63949-2019")</f>
        <v/>
      </c>
      <c r="W252">
        <f>HYPERLINK("https://klasma.github.io/Logging_KALMAR/klagomålsmail/A 63949-2019.docx", "A 63949-2019")</f>
        <v/>
      </c>
      <c r="X252">
        <f>HYPERLINK("https://klasma.github.io/Logging_KALMAR/tillsyn/A 63949-2019.docx", "A 63949-2019")</f>
        <v/>
      </c>
      <c r="Y252">
        <f>HYPERLINK("https://klasma.github.io/Logging_KALMAR/tillsynsmail/A 63949-2019.docx", "A 63949-2019")</f>
        <v/>
      </c>
    </row>
    <row r="253" ht="15" customHeight="1">
      <c r="A253" t="inlineStr">
        <is>
          <t>A 8898-2020</t>
        </is>
      </c>
      <c r="B253" s="1" t="n">
        <v>43878</v>
      </c>
      <c r="C253" s="1" t="n">
        <v>45205</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HYPERLINK("https://klasma.github.io/Logging_MONSTERAS/artfynd/A 8898-2020.xlsx", "A 8898-2020")</f>
        <v/>
      </c>
      <c r="T253">
        <f>HYPERLINK("https://klasma.github.io/Logging_MONSTERAS/kartor/A 8898-2020.png", "A 8898-2020")</f>
        <v/>
      </c>
      <c r="V253">
        <f>HYPERLINK("https://klasma.github.io/Logging_MONSTERAS/klagomål/A 8898-2020.docx", "A 8898-2020")</f>
        <v/>
      </c>
      <c r="W253">
        <f>HYPERLINK("https://klasma.github.io/Logging_MONSTERAS/klagomålsmail/A 8898-2020.docx", "A 8898-2020")</f>
        <v/>
      </c>
      <c r="X253">
        <f>HYPERLINK("https://klasma.github.io/Logging_MONSTERAS/tillsyn/A 8898-2020.docx", "A 8898-2020")</f>
        <v/>
      </c>
      <c r="Y253">
        <f>HYPERLINK("https://klasma.github.io/Logging_MONSTERAS/tillsynsmail/A 8898-2020.docx", "A 8898-2020")</f>
        <v/>
      </c>
    </row>
    <row r="254" ht="15" customHeight="1">
      <c r="A254" t="inlineStr">
        <is>
          <t>A 12722-2020</t>
        </is>
      </c>
      <c r="B254" s="1" t="n">
        <v>43899</v>
      </c>
      <c r="C254" s="1" t="n">
        <v>45205</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HYPERLINK("https://klasma.github.io/Logging_EMMABODA/artfynd/A 12722-2020.xlsx", "A 12722-2020")</f>
        <v/>
      </c>
      <c r="T254">
        <f>HYPERLINK("https://klasma.github.io/Logging_EMMABODA/kartor/A 12722-2020.png", "A 12722-2020")</f>
        <v/>
      </c>
      <c r="V254">
        <f>HYPERLINK("https://klasma.github.io/Logging_EMMABODA/klagomål/A 12722-2020.docx", "A 12722-2020")</f>
        <v/>
      </c>
      <c r="W254">
        <f>HYPERLINK("https://klasma.github.io/Logging_EMMABODA/klagomålsmail/A 12722-2020.docx", "A 12722-2020")</f>
        <v/>
      </c>
      <c r="X254">
        <f>HYPERLINK("https://klasma.github.io/Logging_EMMABODA/tillsyn/A 12722-2020.docx", "A 12722-2020")</f>
        <v/>
      </c>
      <c r="Y254">
        <f>HYPERLINK("https://klasma.github.io/Logging_EMMABODA/tillsynsmail/A 12722-2020.docx", "A 12722-2020")</f>
        <v/>
      </c>
    </row>
    <row r="255" ht="15" customHeight="1">
      <c r="A255" t="inlineStr">
        <is>
          <t>A 33362-2020</t>
        </is>
      </c>
      <c r="B255" s="1" t="n">
        <v>44021</v>
      </c>
      <c r="C255" s="1" t="n">
        <v>45205</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HYPERLINK("https://klasma.github.io/Logging_MONSTERAS/artfynd/A 33362-2020.xlsx", "A 33362-2020")</f>
        <v/>
      </c>
      <c r="T255">
        <f>HYPERLINK("https://klasma.github.io/Logging_MONSTERAS/kartor/A 33362-2020.png", "A 33362-2020")</f>
        <v/>
      </c>
      <c r="V255">
        <f>HYPERLINK("https://klasma.github.io/Logging_MONSTERAS/klagomål/A 33362-2020.docx", "A 33362-2020")</f>
        <v/>
      </c>
      <c r="W255">
        <f>HYPERLINK("https://klasma.github.io/Logging_MONSTERAS/klagomålsmail/A 33362-2020.docx", "A 33362-2020")</f>
        <v/>
      </c>
      <c r="X255">
        <f>HYPERLINK("https://klasma.github.io/Logging_MONSTERAS/tillsyn/A 33362-2020.docx", "A 33362-2020")</f>
        <v/>
      </c>
      <c r="Y255">
        <f>HYPERLINK("https://klasma.github.io/Logging_MONSTERAS/tillsynsmail/A 33362-2020.docx", "A 33362-2020")</f>
        <v/>
      </c>
    </row>
    <row r="256" ht="15" customHeight="1">
      <c r="A256" t="inlineStr">
        <is>
          <t>A 38434-2020</t>
        </is>
      </c>
      <c r="B256" s="1" t="n">
        <v>44060</v>
      </c>
      <c r="C256" s="1" t="n">
        <v>45205</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HYPERLINK("https://klasma.github.io/Logging_HULTSFRED/artfynd/A 38434-2020.xlsx", "A 38434-2020")</f>
        <v/>
      </c>
      <c r="T256">
        <f>HYPERLINK("https://klasma.github.io/Logging_HULTSFRED/kartor/A 38434-2020.png", "A 38434-2020")</f>
        <v/>
      </c>
      <c r="V256">
        <f>HYPERLINK("https://klasma.github.io/Logging_HULTSFRED/klagomål/A 38434-2020.docx", "A 38434-2020")</f>
        <v/>
      </c>
      <c r="W256">
        <f>HYPERLINK("https://klasma.github.io/Logging_HULTSFRED/klagomålsmail/A 38434-2020.docx", "A 38434-2020")</f>
        <v/>
      </c>
      <c r="X256">
        <f>HYPERLINK("https://klasma.github.io/Logging_HULTSFRED/tillsyn/A 38434-2020.docx", "A 38434-2020")</f>
        <v/>
      </c>
      <c r="Y256">
        <f>HYPERLINK("https://klasma.github.io/Logging_HULTSFRED/tillsynsmail/A 38434-2020.docx", "A 38434-2020")</f>
        <v/>
      </c>
    </row>
    <row r="257" ht="15" customHeight="1">
      <c r="A257" t="inlineStr">
        <is>
          <t>A 43921-2020</t>
        </is>
      </c>
      <c r="B257" s="1" t="n">
        <v>44083</v>
      </c>
      <c r="C257" s="1" t="n">
        <v>45205</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HYPERLINK("https://klasma.github.io/Logging_HULTSFRED/artfynd/A 43921-2020.xlsx", "A 43921-2020")</f>
        <v/>
      </c>
      <c r="T257">
        <f>HYPERLINK("https://klasma.github.io/Logging_HULTSFRED/kartor/A 43921-2020.png", "A 43921-2020")</f>
        <v/>
      </c>
      <c r="V257">
        <f>HYPERLINK("https://klasma.github.io/Logging_HULTSFRED/klagomål/A 43921-2020.docx", "A 43921-2020")</f>
        <v/>
      </c>
      <c r="W257">
        <f>HYPERLINK("https://klasma.github.io/Logging_HULTSFRED/klagomålsmail/A 43921-2020.docx", "A 43921-2020")</f>
        <v/>
      </c>
      <c r="X257">
        <f>HYPERLINK("https://klasma.github.io/Logging_HULTSFRED/tillsyn/A 43921-2020.docx", "A 43921-2020")</f>
        <v/>
      </c>
      <c r="Y257">
        <f>HYPERLINK("https://klasma.github.io/Logging_HULTSFRED/tillsynsmail/A 43921-2020.docx", "A 43921-2020")</f>
        <v/>
      </c>
    </row>
    <row r="258" ht="15" customHeight="1">
      <c r="A258" t="inlineStr">
        <is>
          <t>A 47493-2020</t>
        </is>
      </c>
      <c r="B258" s="1" t="n">
        <v>44098</v>
      </c>
      <c r="C258" s="1" t="n">
        <v>45205</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HYPERLINK("https://klasma.github.io/Logging_HULTSFRED/artfynd/A 47493-2020.xlsx", "A 47493-2020")</f>
        <v/>
      </c>
      <c r="T258">
        <f>HYPERLINK("https://klasma.github.io/Logging_HULTSFRED/kartor/A 47493-2020.png", "A 47493-2020")</f>
        <v/>
      </c>
      <c r="U258">
        <f>HYPERLINK("https://klasma.github.io/Logging_HULTSFRED/knärot/A 47493-2020.png", "A 47493-2020")</f>
        <v/>
      </c>
      <c r="V258">
        <f>HYPERLINK("https://klasma.github.io/Logging_HULTSFRED/klagomål/A 47493-2020.docx", "A 47493-2020")</f>
        <v/>
      </c>
      <c r="W258">
        <f>HYPERLINK("https://klasma.github.io/Logging_HULTSFRED/klagomålsmail/A 47493-2020.docx", "A 47493-2020")</f>
        <v/>
      </c>
      <c r="X258">
        <f>HYPERLINK("https://klasma.github.io/Logging_HULTSFRED/tillsyn/A 47493-2020.docx", "A 47493-2020")</f>
        <v/>
      </c>
      <c r="Y258">
        <f>HYPERLINK("https://klasma.github.io/Logging_HULTSFRED/tillsynsmail/A 47493-2020.docx", "A 47493-2020")</f>
        <v/>
      </c>
    </row>
    <row r="259" ht="15" customHeight="1">
      <c r="A259" t="inlineStr">
        <is>
          <t>A 51270-2020</t>
        </is>
      </c>
      <c r="B259" s="1" t="n">
        <v>44112</v>
      </c>
      <c r="C259" s="1" t="n">
        <v>45205</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HYPERLINK("https://klasma.github.io/Logging_NYBRO/artfynd/A 51270-2020.xlsx", "A 51270-2020")</f>
        <v/>
      </c>
      <c r="T259">
        <f>HYPERLINK("https://klasma.github.io/Logging_NYBRO/kartor/A 51270-2020.png", "A 51270-2020")</f>
        <v/>
      </c>
      <c r="U259">
        <f>HYPERLINK("https://klasma.github.io/Logging_NYBRO/knärot/A 51270-2020.png", "A 51270-2020")</f>
        <v/>
      </c>
      <c r="V259">
        <f>HYPERLINK("https://klasma.github.io/Logging_NYBRO/klagomål/A 51270-2020.docx", "A 51270-2020")</f>
        <v/>
      </c>
      <c r="W259">
        <f>HYPERLINK("https://klasma.github.io/Logging_NYBRO/klagomålsmail/A 51270-2020.docx", "A 51270-2020")</f>
        <v/>
      </c>
      <c r="X259">
        <f>HYPERLINK("https://klasma.github.io/Logging_NYBRO/tillsyn/A 51270-2020.docx", "A 51270-2020")</f>
        <v/>
      </c>
      <c r="Y259">
        <f>HYPERLINK("https://klasma.github.io/Logging_NYBRO/tillsynsmail/A 51270-2020.docx", "A 51270-2020")</f>
        <v/>
      </c>
    </row>
    <row r="260" ht="15" customHeight="1">
      <c r="A260" t="inlineStr">
        <is>
          <t>A 53115-2020</t>
        </is>
      </c>
      <c r="B260" s="1" t="n">
        <v>44120</v>
      </c>
      <c r="C260" s="1" t="n">
        <v>45205</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HYPERLINK("https://klasma.github.io/Logging_NYBRO/artfynd/A 53115-2020.xlsx", "A 53115-2020")</f>
        <v/>
      </c>
      <c r="T260">
        <f>HYPERLINK("https://klasma.github.io/Logging_NYBRO/kartor/A 53115-2020.png", "A 53115-2020")</f>
        <v/>
      </c>
      <c r="V260">
        <f>HYPERLINK("https://klasma.github.io/Logging_NYBRO/klagomål/A 53115-2020.docx", "A 53115-2020")</f>
        <v/>
      </c>
      <c r="W260">
        <f>HYPERLINK("https://klasma.github.io/Logging_NYBRO/klagomålsmail/A 53115-2020.docx", "A 53115-2020")</f>
        <v/>
      </c>
      <c r="X260">
        <f>HYPERLINK("https://klasma.github.io/Logging_NYBRO/tillsyn/A 53115-2020.docx", "A 53115-2020")</f>
        <v/>
      </c>
      <c r="Y260">
        <f>HYPERLINK("https://klasma.github.io/Logging_NYBRO/tillsynsmail/A 53115-2020.docx", "A 53115-2020")</f>
        <v/>
      </c>
    </row>
    <row r="261" ht="15" customHeight="1">
      <c r="A261" t="inlineStr">
        <is>
          <t>A 56180-2020</t>
        </is>
      </c>
      <c r="B261" s="1" t="n">
        <v>44133</v>
      </c>
      <c r="C261" s="1" t="n">
        <v>45205</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HYPERLINK("https://klasma.github.io/Logging_VASTERVIK/artfynd/A 56180-2020.xlsx", "A 56180-2020")</f>
        <v/>
      </c>
      <c r="T261">
        <f>HYPERLINK("https://klasma.github.io/Logging_VASTERVIK/kartor/A 56180-2020.png", "A 56180-2020")</f>
        <v/>
      </c>
      <c r="V261">
        <f>HYPERLINK("https://klasma.github.io/Logging_VASTERVIK/klagomål/A 56180-2020.docx", "A 56180-2020")</f>
        <v/>
      </c>
      <c r="W261">
        <f>HYPERLINK("https://klasma.github.io/Logging_VASTERVIK/klagomålsmail/A 56180-2020.docx", "A 56180-2020")</f>
        <v/>
      </c>
      <c r="X261">
        <f>HYPERLINK("https://klasma.github.io/Logging_VASTERVIK/tillsyn/A 56180-2020.docx", "A 56180-2020")</f>
        <v/>
      </c>
      <c r="Y261">
        <f>HYPERLINK("https://klasma.github.io/Logging_VASTERVIK/tillsynsmail/A 56180-2020.docx", "A 56180-2020")</f>
        <v/>
      </c>
    </row>
    <row r="262" ht="15" customHeight="1">
      <c r="A262" t="inlineStr">
        <is>
          <t>A 58410-2020</t>
        </is>
      </c>
      <c r="B262" s="1" t="n">
        <v>44145</v>
      </c>
      <c r="C262" s="1" t="n">
        <v>45205</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HYPERLINK("https://klasma.github.io/Logging_NYBRO/artfynd/A 58410-2020.xlsx", "A 58410-2020")</f>
        <v/>
      </c>
      <c r="T262">
        <f>HYPERLINK("https://klasma.github.io/Logging_NYBRO/kartor/A 58410-2020.png", "A 58410-2020")</f>
        <v/>
      </c>
      <c r="V262">
        <f>HYPERLINK("https://klasma.github.io/Logging_NYBRO/klagomål/A 58410-2020.docx", "A 58410-2020")</f>
        <v/>
      </c>
      <c r="W262">
        <f>HYPERLINK("https://klasma.github.io/Logging_NYBRO/klagomålsmail/A 58410-2020.docx", "A 58410-2020")</f>
        <v/>
      </c>
      <c r="X262">
        <f>HYPERLINK("https://klasma.github.io/Logging_NYBRO/tillsyn/A 58410-2020.docx", "A 58410-2020")</f>
        <v/>
      </c>
      <c r="Y262">
        <f>HYPERLINK("https://klasma.github.io/Logging_NYBRO/tillsynsmail/A 58410-2020.docx", "A 58410-2020")</f>
        <v/>
      </c>
    </row>
    <row r="263" ht="15" customHeight="1">
      <c r="A263" t="inlineStr">
        <is>
          <t>A 62745-2020</t>
        </is>
      </c>
      <c r="B263" s="1" t="n">
        <v>44161</v>
      </c>
      <c r="C263" s="1" t="n">
        <v>45205</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HYPERLINK("https://klasma.github.io/Logging_OSKARSHAMN/artfynd/A 62745-2020.xlsx", "A 62745-2020")</f>
        <v/>
      </c>
      <c r="T263">
        <f>HYPERLINK("https://klasma.github.io/Logging_OSKARSHAMN/kartor/A 62745-2020.png", "A 62745-2020")</f>
        <v/>
      </c>
      <c r="V263">
        <f>HYPERLINK("https://klasma.github.io/Logging_OSKARSHAMN/klagomål/A 62745-2020.docx", "A 62745-2020")</f>
        <v/>
      </c>
      <c r="W263">
        <f>HYPERLINK("https://klasma.github.io/Logging_OSKARSHAMN/klagomålsmail/A 62745-2020.docx", "A 62745-2020")</f>
        <v/>
      </c>
      <c r="X263">
        <f>HYPERLINK("https://klasma.github.io/Logging_OSKARSHAMN/tillsyn/A 62745-2020.docx", "A 62745-2020")</f>
        <v/>
      </c>
      <c r="Y263">
        <f>HYPERLINK("https://klasma.github.io/Logging_OSKARSHAMN/tillsynsmail/A 62745-2020.docx", "A 62745-2020")</f>
        <v/>
      </c>
    </row>
    <row r="264" ht="15" customHeight="1">
      <c r="A264" t="inlineStr">
        <is>
          <t>A 1955-2021</t>
        </is>
      </c>
      <c r="B264" s="1" t="n">
        <v>44210</v>
      </c>
      <c r="C264" s="1" t="n">
        <v>45205</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HYPERLINK("https://klasma.github.io/Logging_VASTERVIK/artfynd/A 1955-2021.xlsx", "A 1955-2021")</f>
        <v/>
      </c>
      <c r="T264">
        <f>HYPERLINK("https://klasma.github.io/Logging_VASTERVIK/kartor/A 1955-2021.png", "A 1955-2021")</f>
        <v/>
      </c>
      <c r="V264">
        <f>HYPERLINK("https://klasma.github.io/Logging_VASTERVIK/klagomål/A 1955-2021.docx", "A 1955-2021")</f>
        <v/>
      </c>
      <c r="W264">
        <f>HYPERLINK("https://klasma.github.io/Logging_VASTERVIK/klagomålsmail/A 1955-2021.docx", "A 1955-2021")</f>
        <v/>
      </c>
      <c r="X264">
        <f>HYPERLINK("https://klasma.github.io/Logging_VASTERVIK/tillsyn/A 1955-2021.docx", "A 1955-2021")</f>
        <v/>
      </c>
      <c r="Y264">
        <f>HYPERLINK("https://klasma.github.io/Logging_VASTERVIK/tillsynsmail/A 1955-2021.docx", "A 1955-2021")</f>
        <v/>
      </c>
    </row>
    <row r="265" ht="15" customHeight="1">
      <c r="A265" t="inlineStr">
        <is>
          <t>A 3238-2021</t>
        </is>
      </c>
      <c r="B265" s="1" t="n">
        <v>44215</v>
      </c>
      <c r="C265" s="1" t="n">
        <v>45205</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HYPERLINK("https://klasma.github.io/Logging_MONSTERAS/artfynd/A 3238-2021.xlsx", "A 3238-2021")</f>
        <v/>
      </c>
      <c r="T265">
        <f>HYPERLINK("https://klasma.github.io/Logging_MONSTERAS/kartor/A 3238-2021.png", "A 3238-2021")</f>
        <v/>
      </c>
      <c r="V265">
        <f>HYPERLINK("https://klasma.github.io/Logging_MONSTERAS/klagomål/A 3238-2021.docx", "A 3238-2021")</f>
        <v/>
      </c>
      <c r="W265">
        <f>HYPERLINK("https://klasma.github.io/Logging_MONSTERAS/klagomålsmail/A 3238-2021.docx", "A 3238-2021")</f>
        <v/>
      </c>
      <c r="X265">
        <f>HYPERLINK("https://klasma.github.io/Logging_MONSTERAS/tillsyn/A 3238-2021.docx", "A 3238-2021")</f>
        <v/>
      </c>
      <c r="Y265">
        <f>HYPERLINK("https://klasma.github.io/Logging_MONSTERAS/tillsynsmail/A 3238-2021.docx", "A 3238-2021")</f>
        <v/>
      </c>
    </row>
    <row r="266" ht="15" customHeight="1">
      <c r="A266" t="inlineStr">
        <is>
          <t>A 2921-2021</t>
        </is>
      </c>
      <c r="B266" s="1" t="n">
        <v>44216</v>
      </c>
      <c r="C266" s="1" t="n">
        <v>45205</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HYPERLINK("https://klasma.github.io/Logging_TORSAS/artfynd/A 2921-2021.xlsx", "A 2921-2021")</f>
        <v/>
      </c>
      <c r="T266">
        <f>HYPERLINK("https://klasma.github.io/Logging_TORSAS/kartor/A 2921-2021.png", "A 2921-2021")</f>
        <v/>
      </c>
      <c r="V266">
        <f>HYPERLINK("https://klasma.github.io/Logging_TORSAS/klagomål/A 2921-2021.docx", "A 2921-2021")</f>
        <v/>
      </c>
      <c r="W266">
        <f>HYPERLINK("https://klasma.github.io/Logging_TORSAS/klagomålsmail/A 2921-2021.docx", "A 2921-2021")</f>
        <v/>
      </c>
      <c r="X266">
        <f>HYPERLINK("https://klasma.github.io/Logging_TORSAS/tillsyn/A 2921-2021.docx", "A 2921-2021")</f>
        <v/>
      </c>
      <c r="Y266">
        <f>HYPERLINK("https://klasma.github.io/Logging_TORSAS/tillsynsmail/A 2921-2021.docx", "A 2921-2021")</f>
        <v/>
      </c>
    </row>
    <row r="267" ht="15" customHeight="1">
      <c r="A267" t="inlineStr">
        <is>
          <t>A 3975-2021</t>
        </is>
      </c>
      <c r="B267" s="1" t="n">
        <v>44222</v>
      </c>
      <c r="C267" s="1" t="n">
        <v>45205</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HYPERLINK("https://klasma.github.io/Logging_MORBYLANGA/artfynd/A 3975-2021.xlsx", "A 3975-2021")</f>
        <v/>
      </c>
      <c r="T267">
        <f>HYPERLINK("https://klasma.github.io/Logging_MORBYLANGA/kartor/A 3975-2021.png", "A 3975-2021")</f>
        <v/>
      </c>
      <c r="V267">
        <f>HYPERLINK("https://klasma.github.io/Logging_MORBYLANGA/klagomål/A 3975-2021.docx", "A 3975-2021")</f>
        <v/>
      </c>
      <c r="W267">
        <f>HYPERLINK("https://klasma.github.io/Logging_MORBYLANGA/klagomålsmail/A 3975-2021.docx", "A 3975-2021")</f>
        <v/>
      </c>
      <c r="X267">
        <f>HYPERLINK("https://klasma.github.io/Logging_MORBYLANGA/tillsyn/A 3975-2021.docx", "A 3975-2021")</f>
        <v/>
      </c>
      <c r="Y267">
        <f>HYPERLINK("https://klasma.github.io/Logging_MORBYLANGA/tillsynsmail/A 3975-2021.docx", "A 3975-2021")</f>
        <v/>
      </c>
    </row>
    <row r="268" ht="15" customHeight="1">
      <c r="A268" t="inlineStr">
        <is>
          <t>A 6384-2021</t>
        </is>
      </c>
      <c r="B268" s="1" t="n">
        <v>44235</v>
      </c>
      <c r="C268" s="1" t="n">
        <v>45205</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HYPERLINK("https://klasma.github.io/Logging_HULTSFRED/artfynd/A 6384-2021.xlsx", "A 6384-2021")</f>
        <v/>
      </c>
      <c r="T268">
        <f>HYPERLINK("https://klasma.github.io/Logging_HULTSFRED/kartor/A 6384-2021.png", "A 6384-2021")</f>
        <v/>
      </c>
      <c r="V268">
        <f>HYPERLINK("https://klasma.github.io/Logging_HULTSFRED/klagomål/A 6384-2021.docx", "A 6384-2021")</f>
        <v/>
      </c>
      <c r="W268">
        <f>HYPERLINK("https://klasma.github.io/Logging_HULTSFRED/klagomålsmail/A 6384-2021.docx", "A 6384-2021")</f>
        <v/>
      </c>
      <c r="X268">
        <f>HYPERLINK("https://klasma.github.io/Logging_HULTSFRED/tillsyn/A 6384-2021.docx", "A 6384-2021")</f>
        <v/>
      </c>
      <c r="Y268">
        <f>HYPERLINK("https://klasma.github.io/Logging_HULTSFRED/tillsynsmail/A 6384-2021.docx", "A 6384-2021")</f>
        <v/>
      </c>
    </row>
    <row r="269" ht="15" customHeight="1">
      <c r="A269" t="inlineStr">
        <is>
          <t>A 6396-2021</t>
        </is>
      </c>
      <c r="B269" s="1" t="n">
        <v>44235</v>
      </c>
      <c r="C269" s="1" t="n">
        <v>45205</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HYPERLINK("https://klasma.github.io/Logging_HULTSFRED/artfynd/A 6396-2021.xlsx", "A 6396-2021")</f>
        <v/>
      </c>
      <c r="T269">
        <f>HYPERLINK("https://klasma.github.io/Logging_HULTSFRED/kartor/A 6396-2021.png", "A 6396-2021")</f>
        <v/>
      </c>
      <c r="V269">
        <f>HYPERLINK("https://klasma.github.io/Logging_HULTSFRED/klagomål/A 6396-2021.docx", "A 6396-2021")</f>
        <v/>
      </c>
      <c r="W269">
        <f>HYPERLINK("https://klasma.github.io/Logging_HULTSFRED/klagomålsmail/A 6396-2021.docx", "A 6396-2021")</f>
        <v/>
      </c>
      <c r="X269">
        <f>HYPERLINK("https://klasma.github.io/Logging_HULTSFRED/tillsyn/A 6396-2021.docx", "A 6396-2021")</f>
        <v/>
      </c>
      <c r="Y269">
        <f>HYPERLINK("https://klasma.github.io/Logging_HULTSFRED/tillsynsmail/A 6396-2021.docx", "A 6396-2021")</f>
        <v/>
      </c>
    </row>
    <row r="270" ht="15" customHeight="1">
      <c r="A270" t="inlineStr">
        <is>
          <t>A 12093-2021</t>
        </is>
      </c>
      <c r="B270" s="1" t="n">
        <v>44266</v>
      </c>
      <c r="C270" s="1" t="n">
        <v>45205</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HYPERLINK("https://klasma.github.io/Logging_NYBRO/artfynd/A 12093-2021.xlsx", "A 12093-2021")</f>
        <v/>
      </c>
      <c r="T270">
        <f>HYPERLINK("https://klasma.github.io/Logging_NYBRO/kartor/A 12093-2021.png", "A 12093-2021")</f>
        <v/>
      </c>
      <c r="V270">
        <f>HYPERLINK("https://klasma.github.io/Logging_NYBRO/klagomål/A 12093-2021.docx", "A 12093-2021")</f>
        <v/>
      </c>
      <c r="W270">
        <f>HYPERLINK("https://klasma.github.io/Logging_NYBRO/klagomålsmail/A 12093-2021.docx", "A 12093-2021")</f>
        <v/>
      </c>
      <c r="X270">
        <f>HYPERLINK("https://klasma.github.io/Logging_NYBRO/tillsyn/A 12093-2021.docx", "A 12093-2021")</f>
        <v/>
      </c>
      <c r="Y270">
        <f>HYPERLINK("https://klasma.github.io/Logging_NYBRO/tillsynsmail/A 12093-2021.docx", "A 12093-2021")</f>
        <v/>
      </c>
    </row>
    <row r="271" ht="15" customHeight="1">
      <c r="A271" t="inlineStr">
        <is>
          <t>A 14246-2021</t>
        </is>
      </c>
      <c r="B271" s="1" t="n">
        <v>44278</v>
      </c>
      <c r="C271" s="1" t="n">
        <v>45205</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HYPERLINK("https://klasma.github.io/Logging_HULTSFRED/artfynd/A 14246-2021.xlsx", "A 14246-2021")</f>
        <v/>
      </c>
      <c r="T271">
        <f>HYPERLINK("https://klasma.github.io/Logging_HULTSFRED/kartor/A 14246-2021.png", "A 14246-2021")</f>
        <v/>
      </c>
      <c r="V271">
        <f>HYPERLINK("https://klasma.github.io/Logging_HULTSFRED/klagomål/A 14246-2021.docx", "A 14246-2021")</f>
        <v/>
      </c>
      <c r="W271">
        <f>HYPERLINK("https://klasma.github.io/Logging_HULTSFRED/klagomålsmail/A 14246-2021.docx", "A 14246-2021")</f>
        <v/>
      </c>
      <c r="X271">
        <f>HYPERLINK("https://klasma.github.io/Logging_HULTSFRED/tillsyn/A 14246-2021.docx", "A 14246-2021")</f>
        <v/>
      </c>
      <c r="Y271">
        <f>HYPERLINK("https://klasma.github.io/Logging_HULTSFRED/tillsynsmail/A 14246-2021.docx", "A 14246-2021")</f>
        <v/>
      </c>
    </row>
    <row r="272" ht="15" customHeight="1">
      <c r="A272" t="inlineStr">
        <is>
          <t>A 14626-2021</t>
        </is>
      </c>
      <c r="B272" s="1" t="n">
        <v>44280</v>
      </c>
      <c r="C272" s="1" t="n">
        <v>45205</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HYPERLINK("https://klasma.github.io/Logging_HULTSFRED/artfynd/A 14626-2021.xlsx", "A 14626-2021")</f>
        <v/>
      </c>
      <c r="T272">
        <f>HYPERLINK("https://klasma.github.io/Logging_HULTSFRED/kartor/A 14626-2021.png", "A 14626-2021")</f>
        <v/>
      </c>
      <c r="V272">
        <f>HYPERLINK("https://klasma.github.io/Logging_HULTSFRED/klagomål/A 14626-2021.docx", "A 14626-2021")</f>
        <v/>
      </c>
      <c r="W272">
        <f>HYPERLINK("https://klasma.github.io/Logging_HULTSFRED/klagomålsmail/A 14626-2021.docx", "A 14626-2021")</f>
        <v/>
      </c>
      <c r="X272">
        <f>HYPERLINK("https://klasma.github.io/Logging_HULTSFRED/tillsyn/A 14626-2021.docx", "A 14626-2021")</f>
        <v/>
      </c>
      <c r="Y272">
        <f>HYPERLINK("https://klasma.github.io/Logging_HULTSFRED/tillsynsmail/A 14626-2021.docx", "A 14626-2021")</f>
        <v/>
      </c>
    </row>
    <row r="273" ht="15" customHeight="1">
      <c r="A273" t="inlineStr">
        <is>
          <t>A 21665-2021</t>
        </is>
      </c>
      <c r="B273" s="1" t="n">
        <v>44322</v>
      </c>
      <c r="C273" s="1" t="n">
        <v>45205</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HYPERLINK("https://klasma.github.io/Logging_VASTERVIK/artfynd/A 21665-2021.xlsx", "A 21665-2021")</f>
        <v/>
      </c>
      <c r="T273">
        <f>HYPERLINK("https://klasma.github.io/Logging_VASTERVIK/kartor/A 21665-2021.png", "A 21665-2021")</f>
        <v/>
      </c>
      <c r="V273">
        <f>HYPERLINK("https://klasma.github.io/Logging_VASTERVIK/klagomål/A 21665-2021.docx", "A 21665-2021")</f>
        <v/>
      </c>
      <c r="W273">
        <f>HYPERLINK("https://klasma.github.io/Logging_VASTERVIK/klagomålsmail/A 21665-2021.docx", "A 21665-2021")</f>
        <v/>
      </c>
      <c r="X273">
        <f>HYPERLINK("https://klasma.github.io/Logging_VASTERVIK/tillsyn/A 21665-2021.docx", "A 21665-2021")</f>
        <v/>
      </c>
      <c r="Y273">
        <f>HYPERLINK("https://klasma.github.io/Logging_VASTERVIK/tillsynsmail/A 21665-2021.docx", "A 21665-2021")</f>
        <v/>
      </c>
    </row>
    <row r="274" ht="15" customHeight="1">
      <c r="A274" t="inlineStr">
        <is>
          <t>A 24774-2021</t>
        </is>
      </c>
      <c r="B274" s="1" t="n">
        <v>44340</v>
      </c>
      <c r="C274" s="1" t="n">
        <v>45205</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HYPERLINK("https://klasma.github.io/Logging_OSKARSHAMN/artfynd/A 24774-2021.xlsx", "A 24774-2021")</f>
        <v/>
      </c>
      <c r="T274">
        <f>HYPERLINK("https://klasma.github.io/Logging_OSKARSHAMN/kartor/A 24774-2021.png", "A 24774-2021")</f>
        <v/>
      </c>
      <c r="V274">
        <f>HYPERLINK("https://klasma.github.io/Logging_OSKARSHAMN/klagomål/A 24774-2021.docx", "A 24774-2021")</f>
        <v/>
      </c>
      <c r="W274">
        <f>HYPERLINK("https://klasma.github.io/Logging_OSKARSHAMN/klagomålsmail/A 24774-2021.docx", "A 24774-2021")</f>
        <v/>
      </c>
      <c r="X274">
        <f>HYPERLINK("https://klasma.github.io/Logging_OSKARSHAMN/tillsyn/A 24774-2021.docx", "A 24774-2021")</f>
        <v/>
      </c>
      <c r="Y274">
        <f>HYPERLINK("https://klasma.github.io/Logging_OSKARSHAMN/tillsynsmail/A 24774-2021.docx", "A 24774-2021")</f>
        <v/>
      </c>
    </row>
    <row r="275" ht="15" customHeight="1">
      <c r="A275" t="inlineStr">
        <is>
          <t>A 26367-2021</t>
        </is>
      </c>
      <c r="B275" s="1" t="n">
        <v>44347</v>
      </c>
      <c r="C275" s="1" t="n">
        <v>45205</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HYPERLINK("https://klasma.github.io/Logging_NYBRO/artfynd/A 26367-2021.xlsx", "A 26367-2021")</f>
        <v/>
      </c>
      <c r="T275">
        <f>HYPERLINK("https://klasma.github.io/Logging_NYBRO/kartor/A 26367-2021.png", "A 26367-2021")</f>
        <v/>
      </c>
      <c r="V275">
        <f>HYPERLINK("https://klasma.github.io/Logging_NYBRO/klagomål/A 26367-2021.docx", "A 26367-2021")</f>
        <v/>
      </c>
      <c r="W275">
        <f>HYPERLINK("https://klasma.github.io/Logging_NYBRO/klagomålsmail/A 26367-2021.docx", "A 26367-2021")</f>
        <v/>
      </c>
      <c r="X275">
        <f>HYPERLINK("https://klasma.github.io/Logging_NYBRO/tillsyn/A 26367-2021.docx", "A 26367-2021")</f>
        <v/>
      </c>
      <c r="Y275">
        <f>HYPERLINK("https://klasma.github.io/Logging_NYBRO/tillsynsmail/A 26367-2021.docx", "A 26367-2021")</f>
        <v/>
      </c>
    </row>
    <row r="276" ht="15" customHeight="1">
      <c r="A276" t="inlineStr">
        <is>
          <t>A 38695-2021</t>
        </is>
      </c>
      <c r="B276" s="1" t="n">
        <v>44410</v>
      </c>
      <c r="C276" s="1" t="n">
        <v>45205</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HYPERLINK("https://klasma.github.io/Logging_TORSAS/artfynd/A 38695-2021.xlsx", "A 38695-2021")</f>
        <v/>
      </c>
      <c r="T276">
        <f>HYPERLINK("https://klasma.github.io/Logging_TORSAS/kartor/A 38695-2021.png", "A 38695-2021")</f>
        <v/>
      </c>
      <c r="V276">
        <f>HYPERLINK("https://klasma.github.io/Logging_TORSAS/klagomål/A 38695-2021.docx", "A 38695-2021")</f>
        <v/>
      </c>
      <c r="W276">
        <f>HYPERLINK("https://klasma.github.io/Logging_TORSAS/klagomålsmail/A 38695-2021.docx", "A 38695-2021")</f>
        <v/>
      </c>
      <c r="X276">
        <f>HYPERLINK("https://klasma.github.io/Logging_TORSAS/tillsyn/A 38695-2021.docx", "A 38695-2021")</f>
        <v/>
      </c>
      <c r="Y276">
        <f>HYPERLINK("https://klasma.github.io/Logging_TORSAS/tillsynsmail/A 38695-2021.docx", "A 38695-2021")</f>
        <v/>
      </c>
    </row>
    <row r="277" ht="15" customHeight="1">
      <c r="A277" t="inlineStr">
        <is>
          <t>A 41398-2021</t>
        </is>
      </c>
      <c r="B277" s="1" t="n">
        <v>44424</v>
      </c>
      <c r="C277" s="1" t="n">
        <v>45205</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HYPERLINK("https://klasma.github.io/Logging_VIMMERBY/artfynd/A 41398-2021.xlsx", "A 41398-2021")</f>
        <v/>
      </c>
      <c r="T277">
        <f>HYPERLINK("https://klasma.github.io/Logging_VIMMERBY/kartor/A 41398-2021.png", "A 41398-2021")</f>
        <v/>
      </c>
      <c r="V277">
        <f>HYPERLINK("https://klasma.github.io/Logging_VIMMERBY/klagomål/A 41398-2021.docx", "A 41398-2021")</f>
        <v/>
      </c>
      <c r="W277">
        <f>HYPERLINK("https://klasma.github.io/Logging_VIMMERBY/klagomålsmail/A 41398-2021.docx", "A 41398-2021")</f>
        <v/>
      </c>
      <c r="X277">
        <f>HYPERLINK("https://klasma.github.io/Logging_VIMMERBY/tillsyn/A 41398-2021.docx", "A 41398-2021")</f>
        <v/>
      </c>
      <c r="Y277">
        <f>HYPERLINK("https://klasma.github.io/Logging_VIMMERBY/tillsynsmail/A 41398-2021.docx", "A 41398-2021")</f>
        <v/>
      </c>
    </row>
    <row r="278" ht="15" customHeight="1">
      <c r="A278" t="inlineStr">
        <is>
          <t>A 44667-2021</t>
        </is>
      </c>
      <c r="B278" s="1" t="n">
        <v>44438</v>
      </c>
      <c r="C278" s="1" t="n">
        <v>45205</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HYPERLINK("https://klasma.github.io/Logging_VASTERVIK/artfynd/A 44667-2021.xlsx", "A 44667-2021")</f>
        <v/>
      </c>
      <c r="T278">
        <f>HYPERLINK("https://klasma.github.io/Logging_VASTERVIK/kartor/A 44667-2021.png", "A 44667-2021")</f>
        <v/>
      </c>
      <c r="V278">
        <f>HYPERLINK("https://klasma.github.io/Logging_VASTERVIK/klagomål/A 44667-2021.docx", "A 44667-2021")</f>
        <v/>
      </c>
      <c r="W278">
        <f>HYPERLINK("https://klasma.github.io/Logging_VASTERVIK/klagomålsmail/A 44667-2021.docx", "A 44667-2021")</f>
        <v/>
      </c>
      <c r="X278">
        <f>HYPERLINK("https://klasma.github.io/Logging_VASTERVIK/tillsyn/A 44667-2021.docx", "A 44667-2021")</f>
        <v/>
      </c>
      <c r="Y278">
        <f>HYPERLINK("https://klasma.github.io/Logging_VASTERVIK/tillsynsmail/A 44667-2021.docx", "A 44667-2021")</f>
        <v/>
      </c>
    </row>
    <row r="279" ht="15" customHeight="1">
      <c r="A279" t="inlineStr">
        <is>
          <t>A 51833-2021</t>
        </is>
      </c>
      <c r="B279" s="1" t="n">
        <v>44462</v>
      </c>
      <c r="C279" s="1" t="n">
        <v>45205</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HYPERLINK("https://klasma.github.io/Logging_VASTERVIK/artfynd/A 51833-2021.xlsx", "A 51833-2021")</f>
        <v/>
      </c>
      <c r="T279">
        <f>HYPERLINK("https://klasma.github.io/Logging_VASTERVIK/kartor/A 51833-2021.png", "A 51833-2021")</f>
        <v/>
      </c>
      <c r="V279">
        <f>HYPERLINK("https://klasma.github.io/Logging_VASTERVIK/klagomål/A 51833-2021.docx", "A 51833-2021")</f>
        <v/>
      </c>
      <c r="W279">
        <f>HYPERLINK("https://klasma.github.io/Logging_VASTERVIK/klagomålsmail/A 51833-2021.docx", "A 51833-2021")</f>
        <v/>
      </c>
      <c r="X279">
        <f>HYPERLINK("https://klasma.github.io/Logging_VASTERVIK/tillsyn/A 51833-2021.docx", "A 51833-2021")</f>
        <v/>
      </c>
      <c r="Y279">
        <f>HYPERLINK("https://klasma.github.io/Logging_VASTERVIK/tillsynsmail/A 51833-2021.docx", "A 51833-2021")</f>
        <v/>
      </c>
    </row>
    <row r="280" ht="15" customHeight="1">
      <c r="A280" t="inlineStr">
        <is>
          <t>A 53769-2021</t>
        </is>
      </c>
      <c r="B280" s="1" t="n">
        <v>44467</v>
      </c>
      <c r="C280" s="1" t="n">
        <v>45205</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HYPERLINK("https://klasma.github.io/Logging_VASTERVIK/artfynd/A 53769-2021.xlsx", "A 53769-2021")</f>
        <v/>
      </c>
      <c r="T280">
        <f>HYPERLINK("https://klasma.github.io/Logging_VASTERVIK/kartor/A 53769-2021.png", "A 53769-2021")</f>
        <v/>
      </c>
      <c r="V280">
        <f>HYPERLINK("https://klasma.github.io/Logging_VASTERVIK/klagomål/A 53769-2021.docx", "A 53769-2021")</f>
        <v/>
      </c>
      <c r="W280">
        <f>HYPERLINK("https://klasma.github.io/Logging_VASTERVIK/klagomålsmail/A 53769-2021.docx", "A 53769-2021")</f>
        <v/>
      </c>
      <c r="X280">
        <f>HYPERLINK("https://klasma.github.io/Logging_VASTERVIK/tillsyn/A 53769-2021.docx", "A 53769-2021")</f>
        <v/>
      </c>
      <c r="Y280">
        <f>HYPERLINK("https://klasma.github.io/Logging_VASTERVIK/tillsynsmail/A 53769-2021.docx", "A 53769-2021")</f>
        <v/>
      </c>
    </row>
    <row r="281" ht="15" customHeight="1">
      <c r="A281" t="inlineStr">
        <is>
          <t>A 52906-2021</t>
        </is>
      </c>
      <c r="B281" s="1" t="n">
        <v>44467</v>
      </c>
      <c r="C281" s="1" t="n">
        <v>45205</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HYPERLINK("https://klasma.github.io/Logging_MORBYLANGA/artfynd/A 52906-2021.xlsx", "A 52906-2021")</f>
        <v/>
      </c>
      <c r="T281">
        <f>HYPERLINK("https://klasma.github.io/Logging_MORBYLANGA/kartor/A 52906-2021.png", "A 52906-2021")</f>
        <v/>
      </c>
      <c r="V281">
        <f>HYPERLINK("https://klasma.github.io/Logging_MORBYLANGA/klagomål/A 52906-2021.docx", "A 52906-2021")</f>
        <v/>
      </c>
      <c r="W281">
        <f>HYPERLINK("https://klasma.github.io/Logging_MORBYLANGA/klagomålsmail/A 52906-2021.docx", "A 52906-2021")</f>
        <v/>
      </c>
      <c r="X281">
        <f>HYPERLINK("https://klasma.github.io/Logging_MORBYLANGA/tillsyn/A 52906-2021.docx", "A 52906-2021")</f>
        <v/>
      </c>
      <c r="Y281">
        <f>HYPERLINK("https://klasma.github.io/Logging_MORBYLANGA/tillsynsmail/A 52906-2021.docx", "A 52906-2021")</f>
        <v/>
      </c>
    </row>
    <row r="282" ht="15" customHeight="1">
      <c r="A282" t="inlineStr">
        <is>
          <t>A 53295-2021</t>
        </is>
      </c>
      <c r="B282" s="1" t="n">
        <v>44468</v>
      </c>
      <c r="C282" s="1" t="n">
        <v>45205</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HYPERLINK("https://klasma.github.io/Logging_HULTSFRED/artfynd/A 53295-2021.xlsx", "A 53295-2021")</f>
        <v/>
      </c>
      <c r="T282">
        <f>HYPERLINK("https://klasma.github.io/Logging_HULTSFRED/kartor/A 53295-2021.png", "A 53295-2021")</f>
        <v/>
      </c>
      <c r="V282">
        <f>HYPERLINK("https://klasma.github.io/Logging_HULTSFRED/klagomål/A 53295-2021.docx", "A 53295-2021")</f>
        <v/>
      </c>
      <c r="W282">
        <f>HYPERLINK("https://klasma.github.io/Logging_HULTSFRED/klagomålsmail/A 53295-2021.docx", "A 53295-2021")</f>
        <v/>
      </c>
      <c r="X282">
        <f>HYPERLINK("https://klasma.github.io/Logging_HULTSFRED/tillsyn/A 53295-2021.docx", "A 53295-2021")</f>
        <v/>
      </c>
      <c r="Y282">
        <f>HYPERLINK("https://klasma.github.io/Logging_HULTSFRED/tillsynsmail/A 53295-2021.docx", "A 53295-2021")</f>
        <v/>
      </c>
    </row>
    <row r="283" ht="15" customHeight="1">
      <c r="A283" t="inlineStr">
        <is>
          <t>A 56616-2021</t>
        </is>
      </c>
      <c r="B283" s="1" t="n">
        <v>44480</v>
      </c>
      <c r="C283" s="1" t="n">
        <v>45205</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HYPERLINK("https://klasma.github.io/Logging_VASTERVIK/artfynd/A 56616-2021.xlsx", "A 56616-2021")</f>
        <v/>
      </c>
      <c r="T283">
        <f>HYPERLINK("https://klasma.github.io/Logging_VASTERVIK/kartor/A 56616-2021.png", "A 56616-2021")</f>
        <v/>
      </c>
      <c r="V283">
        <f>HYPERLINK("https://klasma.github.io/Logging_VASTERVIK/klagomål/A 56616-2021.docx", "A 56616-2021")</f>
        <v/>
      </c>
      <c r="W283">
        <f>HYPERLINK("https://klasma.github.io/Logging_VASTERVIK/klagomålsmail/A 56616-2021.docx", "A 56616-2021")</f>
        <v/>
      </c>
      <c r="X283">
        <f>HYPERLINK("https://klasma.github.io/Logging_VASTERVIK/tillsyn/A 56616-2021.docx", "A 56616-2021")</f>
        <v/>
      </c>
      <c r="Y283">
        <f>HYPERLINK("https://klasma.github.io/Logging_VASTERVIK/tillsynsmail/A 56616-2021.docx", "A 56616-2021")</f>
        <v/>
      </c>
    </row>
    <row r="284" ht="15" customHeight="1">
      <c r="A284" t="inlineStr">
        <is>
          <t>A 59940-2021</t>
        </is>
      </c>
      <c r="B284" s="1" t="n">
        <v>44494</v>
      </c>
      <c r="C284" s="1" t="n">
        <v>45205</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HYPERLINK("https://klasma.github.io/Logging_VASTERVIK/artfynd/A 59940-2021.xlsx", "A 59940-2021")</f>
        <v/>
      </c>
      <c r="T284">
        <f>HYPERLINK("https://klasma.github.io/Logging_VASTERVIK/kartor/A 59940-2021.png", "A 59940-2021")</f>
        <v/>
      </c>
      <c r="U284">
        <f>HYPERLINK("https://klasma.github.io/Logging_VASTERVIK/knärot/A 59940-2021.png", "A 59940-2021")</f>
        <v/>
      </c>
      <c r="V284">
        <f>HYPERLINK("https://klasma.github.io/Logging_VASTERVIK/klagomål/A 59940-2021.docx", "A 59940-2021")</f>
        <v/>
      </c>
      <c r="W284">
        <f>HYPERLINK("https://klasma.github.io/Logging_VASTERVIK/klagomålsmail/A 59940-2021.docx", "A 59940-2021")</f>
        <v/>
      </c>
      <c r="X284">
        <f>HYPERLINK("https://klasma.github.io/Logging_VASTERVIK/tillsyn/A 59940-2021.docx", "A 59940-2021")</f>
        <v/>
      </c>
      <c r="Y284">
        <f>HYPERLINK("https://klasma.github.io/Logging_VASTERVIK/tillsynsmail/A 59940-2021.docx", "A 59940-2021")</f>
        <v/>
      </c>
    </row>
    <row r="285" ht="15" customHeight="1">
      <c r="A285" t="inlineStr">
        <is>
          <t>A 65169-2021</t>
        </is>
      </c>
      <c r="B285" s="1" t="n">
        <v>44515</v>
      </c>
      <c r="C285" s="1" t="n">
        <v>45205</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HYPERLINK("https://klasma.github.io/Logging_OSKARSHAMN/artfynd/A 65169-2021.xlsx", "A 65169-2021")</f>
        <v/>
      </c>
      <c r="T285">
        <f>HYPERLINK("https://klasma.github.io/Logging_OSKARSHAMN/kartor/A 65169-2021.png", "A 65169-2021")</f>
        <v/>
      </c>
      <c r="V285">
        <f>HYPERLINK("https://klasma.github.io/Logging_OSKARSHAMN/klagomål/A 65169-2021.docx", "A 65169-2021")</f>
        <v/>
      </c>
      <c r="W285">
        <f>HYPERLINK("https://klasma.github.io/Logging_OSKARSHAMN/klagomålsmail/A 65169-2021.docx", "A 65169-2021")</f>
        <v/>
      </c>
      <c r="X285">
        <f>HYPERLINK("https://klasma.github.io/Logging_OSKARSHAMN/tillsyn/A 65169-2021.docx", "A 65169-2021")</f>
        <v/>
      </c>
      <c r="Y285">
        <f>HYPERLINK("https://klasma.github.io/Logging_OSKARSHAMN/tillsynsmail/A 65169-2021.docx", "A 65169-2021")</f>
        <v/>
      </c>
    </row>
    <row r="286" ht="15" customHeight="1">
      <c r="A286" t="inlineStr">
        <is>
          <t>A 73602-2021</t>
        </is>
      </c>
      <c r="B286" s="1" t="n">
        <v>44552</v>
      </c>
      <c r="C286" s="1" t="n">
        <v>45205</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HYPERLINK("https://klasma.github.io/Logging_OSKARSHAMN/artfynd/A 73602-2021.xlsx", "A 73602-2021")</f>
        <v/>
      </c>
      <c r="T286">
        <f>HYPERLINK("https://klasma.github.io/Logging_OSKARSHAMN/kartor/A 73602-2021.png", "A 73602-2021")</f>
        <v/>
      </c>
      <c r="V286">
        <f>HYPERLINK("https://klasma.github.io/Logging_OSKARSHAMN/klagomål/A 73602-2021.docx", "A 73602-2021")</f>
        <v/>
      </c>
      <c r="W286">
        <f>HYPERLINK("https://klasma.github.io/Logging_OSKARSHAMN/klagomålsmail/A 73602-2021.docx", "A 73602-2021")</f>
        <v/>
      </c>
      <c r="X286">
        <f>HYPERLINK("https://klasma.github.io/Logging_OSKARSHAMN/tillsyn/A 73602-2021.docx", "A 73602-2021")</f>
        <v/>
      </c>
      <c r="Y286">
        <f>HYPERLINK("https://klasma.github.io/Logging_OSKARSHAMN/tillsynsmail/A 73602-2021.docx", "A 73602-2021")</f>
        <v/>
      </c>
    </row>
    <row r="287" ht="15" customHeight="1">
      <c r="A287" t="inlineStr">
        <is>
          <t>A 74390-2021</t>
        </is>
      </c>
      <c r="B287" s="1" t="n">
        <v>44559</v>
      </c>
      <c r="C287" s="1" t="n">
        <v>45205</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HYPERLINK("https://klasma.github.io/Logging_HULTSFRED/artfynd/A 74390-2021.xlsx", "A 74390-2021")</f>
        <v/>
      </c>
      <c r="T287">
        <f>HYPERLINK("https://klasma.github.io/Logging_HULTSFRED/kartor/A 74390-2021.png", "A 74390-2021")</f>
        <v/>
      </c>
      <c r="V287">
        <f>HYPERLINK("https://klasma.github.io/Logging_HULTSFRED/klagomål/A 74390-2021.docx", "A 74390-2021")</f>
        <v/>
      </c>
      <c r="W287">
        <f>HYPERLINK("https://klasma.github.io/Logging_HULTSFRED/klagomålsmail/A 74390-2021.docx", "A 74390-2021")</f>
        <v/>
      </c>
      <c r="X287">
        <f>HYPERLINK("https://klasma.github.io/Logging_HULTSFRED/tillsyn/A 74390-2021.docx", "A 74390-2021")</f>
        <v/>
      </c>
      <c r="Y287">
        <f>HYPERLINK("https://klasma.github.io/Logging_HULTSFRED/tillsynsmail/A 74390-2021.docx", "A 74390-2021")</f>
        <v/>
      </c>
    </row>
    <row r="288" ht="15" customHeight="1">
      <c r="A288" t="inlineStr">
        <is>
          <t>A 251-2022</t>
        </is>
      </c>
      <c r="B288" s="1" t="n">
        <v>44565</v>
      </c>
      <c r="C288" s="1" t="n">
        <v>45205</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HYPERLINK("https://klasma.github.io/Logging_HULTSFRED/artfynd/A 251-2022.xlsx", "A 251-2022")</f>
        <v/>
      </c>
      <c r="T288">
        <f>HYPERLINK("https://klasma.github.io/Logging_HULTSFRED/kartor/A 251-2022.png", "A 251-2022")</f>
        <v/>
      </c>
      <c r="V288">
        <f>HYPERLINK("https://klasma.github.io/Logging_HULTSFRED/klagomål/A 251-2022.docx", "A 251-2022")</f>
        <v/>
      </c>
      <c r="W288">
        <f>HYPERLINK("https://klasma.github.io/Logging_HULTSFRED/klagomålsmail/A 251-2022.docx", "A 251-2022")</f>
        <v/>
      </c>
      <c r="X288">
        <f>HYPERLINK("https://klasma.github.io/Logging_HULTSFRED/tillsyn/A 251-2022.docx", "A 251-2022")</f>
        <v/>
      </c>
      <c r="Y288">
        <f>HYPERLINK("https://klasma.github.io/Logging_HULTSFRED/tillsynsmail/A 251-2022.docx", "A 251-2022")</f>
        <v/>
      </c>
    </row>
    <row r="289" ht="15" customHeight="1">
      <c r="A289" t="inlineStr">
        <is>
          <t>A 942-2022</t>
        </is>
      </c>
      <c r="B289" s="1" t="n">
        <v>44568</v>
      </c>
      <c r="C289" s="1" t="n">
        <v>45205</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HYPERLINK("https://klasma.github.io/Logging_TORSAS/artfynd/A 942-2022.xlsx", "A 942-2022")</f>
        <v/>
      </c>
      <c r="T289">
        <f>HYPERLINK("https://klasma.github.io/Logging_TORSAS/kartor/A 942-2022.png", "A 942-2022")</f>
        <v/>
      </c>
      <c r="V289">
        <f>HYPERLINK("https://klasma.github.io/Logging_TORSAS/klagomål/A 942-2022.docx", "A 942-2022")</f>
        <v/>
      </c>
      <c r="W289">
        <f>HYPERLINK("https://klasma.github.io/Logging_TORSAS/klagomålsmail/A 942-2022.docx", "A 942-2022")</f>
        <v/>
      </c>
      <c r="X289">
        <f>HYPERLINK("https://klasma.github.io/Logging_TORSAS/tillsyn/A 942-2022.docx", "A 942-2022")</f>
        <v/>
      </c>
      <c r="Y289">
        <f>HYPERLINK("https://klasma.github.io/Logging_TORSAS/tillsynsmail/A 942-2022.docx", "A 942-2022")</f>
        <v/>
      </c>
    </row>
    <row r="290" ht="15" customHeight="1">
      <c r="A290" t="inlineStr">
        <is>
          <t>A 14927-2022</t>
        </is>
      </c>
      <c r="B290" s="1" t="n">
        <v>44657</v>
      </c>
      <c r="C290" s="1" t="n">
        <v>45205</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HYPERLINK("https://klasma.github.io/Logging_VASTERVIK/artfynd/A 14927-2022.xlsx", "A 14927-2022")</f>
        <v/>
      </c>
      <c r="T290">
        <f>HYPERLINK("https://klasma.github.io/Logging_VASTERVIK/kartor/A 14927-2022.png", "A 14927-2022")</f>
        <v/>
      </c>
      <c r="V290">
        <f>HYPERLINK("https://klasma.github.io/Logging_VASTERVIK/klagomål/A 14927-2022.docx", "A 14927-2022")</f>
        <v/>
      </c>
      <c r="W290">
        <f>HYPERLINK("https://klasma.github.io/Logging_VASTERVIK/klagomålsmail/A 14927-2022.docx", "A 14927-2022")</f>
        <v/>
      </c>
      <c r="X290">
        <f>HYPERLINK("https://klasma.github.io/Logging_VASTERVIK/tillsyn/A 14927-2022.docx", "A 14927-2022")</f>
        <v/>
      </c>
      <c r="Y290">
        <f>HYPERLINK("https://klasma.github.io/Logging_VASTERVIK/tillsynsmail/A 14927-2022.docx", "A 14927-2022")</f>
        <v/>
      </c>
    </row>
    <row r="291" ht="15" customHeight="1">
      <c r="A291" t="inlineStr">
        <is>
          <t>A 25145-2022</t>
        </is>
      </c>
      <c r="B291" s="1" t="n">
        <v>44729</v>
      </c>
      <c r="C291" s="1" t="n">
        <v>45205</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HYPERLINK("https://klasma.github.io/Logging_VASTERVIK/artfynd/A 25145-2022.xlsx", "A 25145-2022")</f>
        <v/>
      </c>
      <c r="T291">
        <f>HYPERLINK("https://klasma.github.io/Logging_VASTERVIK/kartor/A 25145-2022.png", "A 25145-2022")</f>
        <v/>
      </c>
      <c r="U291">
        <f>HYPERLINK("https://klasma.github.io/Logging_VASTERVIK/knärot/A 25145-2022.png", "A 25145-2022")</f>
        <v/>
      </c>
      <c r="V291">
        <f>HYPERLINK("https://klasma.github.io/Logging_VASTERVIK/klagomål/A 25145-2022.docx", "A 25145-2022")</f>
        <v/>
      </c>
      <c r="W291">
        <f>HYPERLINK("https://klasma.github.io/Logging_VASTERVIK/klagomålsmail/A 25145-2022.docx", "A 25145-2022")</f>
        <v/>
      </c>
      <c r="X291">
        <f>HYPERLINK("https://klasma.github.io/Logging_VASTERVIK/tillsyn/A 25145-2022.docx", "A 25145-2022")</f>
        <v/>
      </c>
      <c r="Y291">
        <f>HYPERLINK("https://klasma.github.io/Logging_VASTERVIK/tillsynsmail/A 25145-2022.docx", "A 25145-2022")</f>
        <v/>
      </c>
    </row>
    <row r="292" ht="15" customHeight="1">
      <c r="A292" t="inlineStr">
        <is>
          <t>A 31733-2022</t>
        </is>
      </c>
      <c r="B292" s="1" t="n">
        <v>44776</v>
      </c>
      <c r="C292" s="1" t="n">
        <v>45205</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HYPERLINK("https://klasma.github.io/Logging_BORGHOLM/artfynd/A 31733-2022.xlsx", "A 31733-2022")</f>
        <v/>
      </c>
      <c r="T292">
        <f>HYPERLINK("https://klasma.github.io/Logging_BORGHOLM/kartor/A 31733-2022.png", "A 31733-2022")</f>
        <v/>
      </c>
      <c r="V292">
        <f>HYPERLINK("https://klasma.github.io/Logging_BORGHOLM/klagomål/A 31733-2022.docx", "A 31733-2022")</f>
        <v/>
      </c>
      <c r="W292">
        <f>HYPERLINK("https://klasma.github.io/Logging_BORGHOLM/klagomålsmail/A 31733-2022.docx", "A 31733-2022")</f>
        <v/>
      </c>
      <c r="X292">
        <f>HYPERLINK("https://klasma.github.io/Logging_BORGHOLM/tillsyn/A 31733-2022.docx", "A 31733-2022")</f>
        <v/>
      </c>
      <c r="Y292">
        <f>HYPERLINK("https://klasma.github.io/Logging_BORGHOLM/tillsynsmail/A 31733-2022.docx", "A 31733-2022")</f>
        <v/>
      </c>
    </row>
    <row r="293" ht="15" customHeight="1">
      <c r="A293" t="inlineStr">
        <is>
          <t>A 32174-2022</t>
        </is>
      </c>
      <c r="B293" s="1" t="n">
        <v>44781</v>
      </c>
      <c r="C293" s="1" t="n">
        <v>45205</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HYPERLINK("https://klasma.github.io/Logging_BORGHOLM/artfynd/A 32174-2022.xlsx", "A 32174-2022")</f>
        <v/>
      </c>
      <c r="T293">
        <f>HYPERLINK("https://klasma.github.io/Logging_BORGHOLM/kartor/A 32174-2022.png", "A 32174-2022")</f>
        <v/>
      </c>
      <c r="V293">
        <f>HYPERLINK("https://klasma.github.io/Logging_BORGHOLM/klagomål/A 32174-2022.docx", "A 32174-2022")</f>
        <v/>
      </c>
      <c r="W293">
        <f>HYPERLINK("https://klasma.github.io/Logging_BORGHOLM/klagomålsmail/A 32174-2022.docx", "A 32174-2022")</f>
        <v/>
      </c>
      <c r="X293">
        <f>HYPERLINK("https://klasma.github.io/Logging_BORGHOLM/tillsyn/A 32174-2022.docx", "A 32174-2022")</f>
        <v/>
      </c>
      <c r="Y293">
        <f>HYPERLINK("https://klasma.github.io/Logging_BORGHOLM/tillsynsmail/A 32174-2022.docx", "A 32174-2022")</f>
        <v/>
      </c>
    </row>
    <row r="294" ht="15" customHeight="1">
      <c r="A294" t="inlineStr">
        <is>
          <t>A 33043-2022</t>
        </is>
      </c>
      <c r="B294" s="1" t="n">
        <v>44785</v>
      </c>
      <c r="C294" s="1" t="n">
        <v>45205</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HYPERLINK("https://klasma.github.io/Logging_KALMAR/artfynd/A 33043-2022.xlsx", "A 33043-2022")</f>
        <v/>
      </c>
      <c r="T294">
        <f>HYPERLINK("https://klasma.github.io/Logging_KALMAR/kartor/A 33043-2022.png", "A 33043-2022")</f>
        <v/>
      </c>
      <c r="U294">
        <f>HYPERLINK("https://klasma.github.io/Logging_KALMAR/knärot/A 33043-2022.png", "A 33043-2022")</f>
        <v/>
      </c>
      <c r="V294">
        <f>HYPERLINK("https://klasma.github.io/Logging_KALMAR/klagomål/A 33043-2022.docx", "A 33043-2022")</f>
        <v/>
      </c>
      <c r="W294">
        <f>HYPERLINK("https://klasma.github.io/Logging_KALMAR/klagomålsmail/A 33043-2022.docx", "A 33043-2022")</f>
        <v/>
      </c>
      <c r="X294">
        <f>HYPERLINK("https://klasma.github.io/Logging_KALMAR/tillsyn/A 33043-2022.docx", "A 33043-2022")</f>
        <v/>
      </c>
      <c r="Y294">
        <f>HYPERLINK("https://klasma.github.io/Logging_KALMAR/tillsynsmail/A 33043-2022.docx", "A 33043-2022")</f>
        <v/>
      </c>
    </row>
    <row r="295" ht="15" customHeight="1">
      <c r="A295" t="inlineStr">
        <is>
          <t>A 34944-2022</t>
        </is>
      </c>
      <c r="B295" s="1" t="n">
        <v>44796</v>
      </c>
      <c r="C295" s="1" t="n">
        <v>45205</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HYPERLINK("https://klasma.github.io/Logging_BORGHOLM/artfynd/A 34944-2022.xlsx", "A 34944-2022")</f>
        <v/>
      </c>
      <c r="T295">
        <f>HYPERLINK("https://klasma.github.io/Logging_BORGHOLM/kartor/A 34944-2022.png", "A 34944-2022")</f>
        <v/>
      </c>
      <c r="V295">
        <f>HYPERLINK("https://klasma.github.io/Logging_BORGHOLM/klagomål/A 34944-2022.docx", "A 34944-2022")</f>
        <v/>
      </c>
      <c r="W295">
        <f>HYPERLINK("https://klasma.github.io/Logging_BORGHOLM/klagomålsmail/A 34944-2022.docx", "A 34944-2022")</f>
        <v/>
      </c>
      <c r="X295">
        <f>HYPERLINK("https://klasma.github.io/Logging_BORGHOLM/tillsyn/A 34944-2022.docx", "A 34944-2022")</f>
        <v/>
      </c>
      <c r="Y295">
        <f>HYPERLINK("https://klasma.github.io/Logging_BORGHOLM/tillsynsmail/A 34944-2022.docx", "A 34944-2022")</f>
        <v/>
      </c>
    </row>
    <row r="296" ht="15" customHeight="1">
      <c r="A296" t="inlineStr">
        <is>
          <t>A 35871-2022</t>
        </is>
      </c>
      <c r="B296" s="1" t="n">
        <v>44802</v>
      </c>
      <c r="C296" s="1" t="n">
        <v>45205</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HYPERLINK("https://klasma.github.io/Logging_KALMAR/artfynd/A 35871-2022.xlsx", "A 35871-2022")</f>
        <v/>
      </c>
      <c r="T296">
        <f>HYPERLINK("https://klasma.github.io/Logging_KALMAR/kartor/A 35871-2022.png", "A 35871-2022")</f>
        <v/>
      </c>
      <c r="V296">
        <f>HYPERLINK("https://klasma.github.io/Logging_KALMAR/klagomål/A 35871-2022.docx", "A 35871-2022")</f>
        <v/>
      </c>
      <c r="W296">
        <f>HYPERLINK("https://klasma.github.io/Logging_KALMAR/klagomålsmail/A 35871-2022.docx", "A 35871-2022")</f>
        <v/>
      </c>
      <c r="X296">
        <f>HYPERLINK("https://klasma.github.io/Logging_KALMAR/tillsyn/A 35871-2022.docx", "A 35871-2022")</f>
        <v/>
      </c>
      <c r="Y296">
        <f>HYPERLINK("https://klasma.github.io/Logging_KALMAR/tillsynsmail/A 35871-2022.docx", "A 35871-2022")</f>
        <v/>
      </c>
    </row>
    <row r="297" ht="15" customHeight="1">
      <c r="A297" t="inlineStr">
        <is>
          <t>A 38373-2022</t>
        </is>
      </c>
      <c r="B297" s="1" t="n">
        <v>44812</v>
      </c>
      <c r="C297" s="1" t="n">
        <v>45205</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HYPERLINK("https://klasma.github.io/Logging_VASTERVIK/artfynd/A 38373-2022.xlsx", "A 38373-2022")</f>
        <v/>
      </c>
      <c r="T297">
        <f>HYPERLINK("https://klasma.github.io/Logging_VASTERVIK/kartor/A 38373-2022.png", "A 38373-2022")</f>
        <v/>
      </c>
      <c r="U297">
        <f>HYPERLINK("https://klasma.github.io/Logging_VASTERVIK/knärot/A 38373-2022.png", "A 38373-2022")</f>
        <v/>
      </c>
      <c r="V297">
        <f>HYPERLINK("https://klasma.github.io/Logging_VASTERVIK/klagomål/A 38373-2022.docx", "A 38373-2022")</f>
        <v/>
      </c>
      <c r="W297">
        <f>HYPERLINK("https://klasma.github.io/Logging_VASTERVIK/klagomålsmail/A 38373-2022.docx", "A 38373-2022")</f>
        <v/>
      </c>
      <c r="X297">
        <f>HYPERLINK("https://klasma.github.io/Logging_VASTERVIK/tillsyn/A 38373-2022.docx", "A 38373-2022")</f>
        <v/>
      </c>
      <c r="Y297">
        <f>HYPERLINK("https://klasma.github.io/Logging_VASTERVIK/tillsynsmail/A 38373-2022.docx", "A 38373-2022")</f>
        <v/>
      </c>
    </row>
    <row r="298" ht="15" customHeight="1">
      <c r="A298" t="inlineStr">
        <is>
          <t>A 40785-2022</t>
        </is>
      </c>
      <c r="B298" s="1" t="n">
        <v>44824</v>
      </c>
      <c r="C298" s="1" t="n">
        <v>45205</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HYPERLINK("https://klasma.github.io/Logging_MONSTERAS/artfynd/A 40785-2022.xlsx", "A 40785-2022")</f>
        <v/>
      </c>
      <c r="T298">
        <f>HYPERLINK("https://klasma.github.io/Logging_MONSTERAS/kartor/A 40785-2022.png", "A 40785-2022")</f>
        <v/>
      </c>
      <c r="U298">
        <f>HYPERLINK("https://klasma.github.io/Logging_MONSTERAS/knärot/A 40785-2022.png", "A 40785-2022")</f>
        <v/>
      </c>
      <c r="V298">
        <f>HYPERLINK("https://klasma.github.io/Logging_MONSTERAS/klagomål/A 40785-2022.docx", "A 40785-2022")</f>
        <v/>
      </c>
      <c r="W298">
        <f>HYPERLINK("https://klasma.github.io/Logging_MONSTERAS/klagomålsmail/A 40785-2022.docx", "A 40785-2022")</f>
        <v/>
      </c>
      <c r="X298">
        <f>HYPERLINK("https://klasma.github.io/Logging_MONSTERAS/tillsyn/A 40785-2022.docx", "A 40785-2022")</f>
        <v/>
      </c>
      <c r="Y298">
        <f>HYPERLINK("https://klasma.github.io/Logging_MONSTERAS/tillsynsmail/A 40785-2022.docx", "A 40785-2022")</f>
        <v/>
      </c>
    </row>
    <row r="299" ht="15" customHeight="1">
      <c r="A299" t="inlineStr">
        <is>
          <t>A 41881-2022</t>
        </is>
      </c>
      <c r="B299" s="1" t="n">
        <v>44827</v>
      </c>
      <c r="C299" s="1" t="n">
        <v>45205</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HYPERLINK("https://klasma.github.io/Logging_MONSTERAS/artfynd/A 41881-2022.xlsx", "A 41881-2022")</f>
        <v/>
      </c>
      <c r="T299">
        <f>HYPERLINK("https://klasma.github.io/Logging_MONSTERAS/kartor/A 41881-2022.png", "A 41881-2022")</f>
        <v/>
      </c>
      <c r="V299">
        <f>HYPERLINK("https://klasma.github.io/Logging_MONSTERAS/klagomål/A 41881-2022.docx", "A 41881-2022")</f>
        <v/>
      </c>
      <c r="W299">
        <f>HYPERLINK("https://klasma.github.io/Logging_MONSTERAS/klagomålsmail/A 41881-2022.docx", "A 41881-2022")</f>
        <v/>
      </c>
      <c r="X299">
        <f>HYPERLINK("https://klasma.github.io/Logging_MONSTERAS/tillsyn/A 41881-2022.docx", "A 41881-2022")</f>
        <v/>
      </c>
      <c r="Y299">
        <f>HYPERLINK("https://klasma.github.io/Logging_MONSTERAS/tillsynsmail/A 41881-2022.docx", "A 41881-2022")</f>
        <v/>
      </c>
    </row>
    <row r="300" ht="15" customHeight="1">
      <c r="A300" t="inlineStr">
        <is>
          <t>A 43756-2022</t>
        </is>
      </c>
      <c r="B300" s="1" t="n">
        <v>44837</v>
      </c>
      <c r="C300" s="1" t="n">
        <v>45205</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HYPERLINK("https://klasma.github.io/Logging_BORGHOLM/artfynd/A 43756-2022.xlsx", "A 43756-2022")</f>
        <v/>
      </c>
      <c r="T300">
        <f>HYPERLINK("https://klasma.github.io/Logging_BORGHOLM/kartor/A 43756-2022.png", "A 43756-2022")</f>
        <v/>
      </c>
      <c r="V300">
        <f>HYPERLINK("https://klasma.github.io/Logging_BORGHOLM/klagomål/A 43756-2022.docx", "A 43756-2022")</f>
        <v/>
      </c>
      <c r="W300">
        <f>HYPERLINK("https://klasma.github.io/Logging_BORGHOLM/klagomålsmail/A 43756-2022.docx", "A 43756-2022")</f>
        <v/>
      </c>
      <c r="X300">
        <f>HYPERLINK("https://klasma.github.io/Logging_BORGHOLM/tillsyn/A 43756-2022.docx", "A 43756-2022")</f>
        <v/>
      </c>
      <c r="Y300">
        <f>HYPERLINK("https://klasma.github.io/Logging_BORGHOLM/tillsynsmail/A 43756-2022.docx", "A 43756-2022")</f>
        <v/>
      </c>
    </row>
    <row r="301" ht="15" customHeight="1">
      <c r="A301" t="inlineStr">
        <is>
          <t>A 44008-2022</t>
        </is>
      </c>
      <c r="B301" s="1" t="n">
        <v>44838</v>
      </c>
      <c r="C301" s="1" t="n">
        <v>45205</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HYPERLINK("https://klasma.github.io/Logging_BORGHOLM/artfynd/A 44008-2022.xlsx", "A 44008-2022")</f>
        <v/>
      </c>
      <c r="T301">
        <f>HYPERLINK("https://klasma.github.io/Logging_BORGHOLM/kartor/A 44008-2022.png", "A 44008-2022")</f>
        <v/>
      </c>
      <c r="V301">
        <f>HYPERLINK("https://klasma.github.io/Logging_BORGHOLM/klagomål/A 44008-2022.docx", "A 44008-2022")</f>
        <v/>
      </c>
      <c r="W301">
        <f>HYPERLINK("https://klasma.github.io/Logging_BORGHOLM/klagomålsmail/A 44008-2022.docx", "A 44008-2022")</f>
        <v/>
      </c>
      <c r="X301">
        <f>HYPERLINK("https://klasma.github.io/Logging_BORGHOLM/tillsyn/A 44008-2022.docx", "A 44008-2022")</f>
        <v/>
      </c>
      <c r="Y301">
        <f>HYPERLINK("https://klasma.github.io/Logging_BORGHOLM/tillsynsmail/A 44008-2022.docx", "A 44008-2022")</f>
        <v/>
      </c>
    </row>
    <row r="302" ht="15" customHeight="1">
      <c r="A302" t="inlineStr">
        <is>
          <t>A 46552-2022</t>
        </is>
      </c>
      <c r="B302" s="1" t="n">
        <v>44848</v>
      </c>
      <c r="C302" s="1" t="n">
        <v>45205</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HYPERLINK("https://klasma.github.io/Logging_VASTERVIK/artfynd/A 46552-2022.xlsx", "A 46552-2022")</f>
        <v/>
      </c>
      <c r="T302">
        <f>HYPERLINK("https://klasma.github.io/Logging_VASTERVIK/kartor/A 46552-2022.png", "A 46552-2022")</f>
        <v/>
      </c>
      <c r="V302">
        <f>HYPERLINK("https://klasma.github.io/Logging_VASTERVIK/klagomål/A 46552-2022.docx", "A 46552-2022")</f>
        <v/>
      </c>
      <c r="W302">
        <f>HYPERLINK("https://klasma.github.io/Logging_VASTERVIK/klagomålsmail/A 46552-2022.docx", "A 46552-2022")</f>
        <v/>
      </c>
      <c r="X302">
        <f>HYPERLINK("https://klasma.github.io/Logging_VASTERVIK/tillsyn/A 46552-2022.docx", "A 46552-2022")</f>
        <v/>
      </c>
      <c r="Y302">
        <f>HYPERLINK("https://klasma.github.io/Logging_VASTERVIK/tillsynsmail/A 46552-2022.docx", "A 46552-2022")</f>
        <v/>
      </c>
    </row>
    <row r="303" ht="15" customHeight="1">
      <c r="A303" t="inlineStr">
        <is>
          <t>A 46787-2022</t>
        </is>
      </c>
      <c r="B303" s="1" t="n">
        <v>44851</v>
      </c>
      <c r="C303" s="1" t="n">
        <v>45205</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HYPERLINK("https://klasma.github.io/Logging_VASTERVIK/artfynd/A 46787-2022.xlsx", "A 46787-2022")</f>
        <v/>
      </c>
      <c r="T303">
        <f>HYPERLINK("https://klasma.github.io/Logging_VASTERVIK/kartor/A 46787-2022.png", "A 46787-2022")</f>
        <v/>
      </c>
      <c r="V303">
        <f>HYPERLINK("https://klasma.github.io/Logging_VASTERVIK/klagomål/A 46787-2022.docx", "A 46787-2022")</f>
        <v/>
      </c>
      <c r="W303">
        <f>HYPERLINK("https://klasma.github.io/Logging_VASTERVIK/klagomålsmail/A 46787-2022.docx", "A 46787-2022")</f>
        <v/>
      </c>
      <c r="X303">
        <f>HYPERLINK("https://klasma.github.io/Logging_VASTERVIK/tillsyn/A 46787-2022.docx", "A 46787-2022")</f>
        <v/>
      </c>
      <c r="Y303">
        <f>HYPERLINK("https://klasma.github.io/Logging_VASTERVIK/tillsynsmail/A 46787-2022.docx", "A 46787-2022")</f>
        <v/>
      </c>
    </row>
    <row r="304" ht="15" customHeight="1">
      <c r="A304" t="inlineStr">
        <is>
          <t>A 50989-2022</t>
        </is>
      </c>
      <c r="B304" s="1" t="n">
        <v>44867</v>
      </c>
      <c r="C304" s="1" t="n">
        <v>45205</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HYPERLINK("https://klasma.github.io/Logging_VASTERVIK/artfynd/A 50989-2022.xlsx", "A 50989-2022")</f>
        <v/>
      </c>
      <c r="T304">
        <f>HYPERLINK("https://klasma.github.io/Logging_VASTERVIK/kartor/A 50989-2022.png", "A 50989-2022")</f>
        <v/>
      </c>
      <c r="V304">
        <f>HYPERLINK("https://klasma.github.io/Logging_VASTERVIK/klagomål/A 50989-2022.docx", "A 50989-2022")</f>
        <v/>
      </c>
      <c r="W304">
        <f>HYPERLINK("https://klasma.github.io/Logging_VASTERVIK/klagomålsmail/A 50989-2022.docx", "A 50989-2022")</f>
        <v/>
      </c>
      <c r="X304">
        <f>HYPERLINK("https://klasma.github.io/Logging_VASTERVIK/tillsyn/A 50989-2022.docx", "A 50989-2022")</f>
        <v/>
      </c>
      <c r="Y304">
        <f>HYPERLINK("https://klasma.github.io/Logging_VASTERVIK/tillsynsmail/A 50989-2022.docx", "A 50989-2022")</f>
        <v/>
      </c>
    </row>
    <row r="305" ht="15" customHeight="1">
      <c r="A305" t="inlineStr">
        <is>
          <t>A 57330-2022</t>
        </is>
      </c>
      <c r="B305" s="1" t="n">
        <v>44896</v>
      </c>
      <c r="C305" s="1" t="n">
        <v>45205</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HYPERLINK("https://klasma.github.io/Logging_KALMAR/artfynd/A 57330-2022.xlsx", "A 57330-2022")</f>
        <v/>
      </c>
      <c r="T305">
        <f>HYPERLINK("https://klasma.github.io/Logging_KALMAR/kartor/A 57330-2022.png", "A 57330-2022")</f>
        <v/>
      </c>
      <c r="V305">
        <f>HYPERLINK("https://klasma.github.io/Logging_KALMAR/klagomål/A 57330-2022.docx", "A 57330-2022")</f>
        <v/>
      </c>
      <c r="W305">
        <f>HYPERLINK("https://klasma.github.io/Logging_KALMAR/klagomålsmail/A 57330-2022.docx", "A 57330-2022")</f>
        <v/>
      </c>
      <c r="X305">
        <f>HYPERLINK("https://klasma.github.io/Logging_KALMAR/tillsyn/A 57330-2022.docx", "A 57330-2022")</f>
        <v/>
      </c>
      <c r="Y305">
        <f>HYPERLINK("https://klasma.github.io/Logging_KALMAR/tillsynsmail/A 57330-2022.docx", "A 57330-2022")</f>
        <v/>
      </c>
    </row>
    <row r="306" ht="15" customHeight="1">
      <c r="A306" t="inlineStr">
        <is>
          <t>A 59145-2022</t>
        </is>
      </c>
      <c r="B306" s="1" t="n">
        <v>44904</v>
      </c>
      <c r="C306" s="1" t="n">
        <v>45205</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HYPERLINK("https://klasma.github.io/Logging_NYBRO/artfynd/A 59145-2022.xlsx", "A 59145-2022")</f>
        <v/>
      </c>
      <c r="T306">
        <f>HYPERLINK("https://klasma.github.io/Logging_NYBRO/kartor/A 59145-2022.png", "A 59145-2022")</f>
        <v/>
      </c>
      <c r="V306">
        <f>HYPERLINK("https://klasma.github.io/Logging_NYBRO/klagomål/A 59145-2022.docx", "A 59145-2022")</f>
        <v/>
      </c>
      <c r="W306">
        <f>HYPERLINK("https://klasma.github.io/Logging_NYBRO/klagomålsmail/A 59145-2022.docx", "A 59145-2022")</f>
        <v/>
      </c>
      <c r="X306">
        <f>HYPERLINK("https://klasma.github.io/Logging_NYBRO/tillsyn/A 59145-2022.docx", "A 59145-2022")</f>
        <v/>
      </c>
      <c r="Y306">
        <f>HYPERLINK("https://klasma.github.io/Logging_NYBRO/tillsynsmail/A 59145-2022.docx", "A 59145-2022")</f>
        <v/>
      </c>
    </row>
    <row r="307" ht="15" customHeight="1">
      <c r="A307" t="inlineStr">
        <is>
          <t>A 61121-2022</t>
        </is>
      </c>
      <c r="B307" s="1" t="n">
        <v>44908</v>
      </c>
      <c r="C307" s="1" t="n">
        <v>45205</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HYPERLINK("https://klasma.github.io/Logging_MONSTERAS/artfynd/A 61121-2022.xlsx", "A 61121-2022")</f>
        <v/>
      </c>
      <c r="T307">
        <f>HYPERLINK("https://klasma.github.io/Logging_MONSTERAS/kartor/A 61121-2022.png", "A 61121-2022")</f>
        <v/>
      </c>
      <c r="V307">
        <f>HYPERLINK("https://klasma.github.io/Logging_MONSTERAS/klagomål/A 61121-2022.docx", "A 61121-2022")</f>
        <v/>
      </c>
      <c r="W307">
        <f>HYPERLINK("https://klasma.github.io/Logging_MONSTERAS/klagomålsmail/A 61121-2022.docx", "A 61121-2022")</f>
        <v/>
      </c>
      <c r="X307">
        <f>HYPERLINK("https://klasma.github.io/Logging_MONSTERAS/tillsyn/A 61121-2022.docx", "A 61121-2022")</f>
        <v/>
      </c>
      <c r="Y307">
        <f>HYPERLINK("https://klasma.github.io/Logging_MONSTERAS/tillsynsmail/A 61121-2022.docx", "A 61121-2022")</f>
        <v/>
      </c>
    </row>
    <row r="308" ht="15" customHeight="1">
      <c r="A308" t="inlineStr">
        <is>
          <t>A 61429-2022</t>
        </is>
      </c>
      <c r="B308" s="1" t="n">
        <v>44909</v>
      </c>
      <c r="C308" s="1" t="n">
        <v>45205</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HYPERLINK("https://klasma.github.io/Logging_HULTSFRED/artfynd/A 61429-2022.xlsx", "A 61429-2022")</f>
        <v/>
      </c>
      <c r="T308">
        <f>HYPERLINK("https://klasma.github.io/Logging_HULTSFRED/kartor/A 61429-2022.png", "A 61429-2022")</f>
        <v/>
      </c>
      <c r="V308">
        <f>HYPERLINK("https://klasma.github.io/Logging_HULTSFRED/klagomål/A 61429-2022.docx", "A 61429-2022")</f>
        <v/>
      </c>
      <c r="W308">
        <f>HYPERLINK("https://klasma.github.io/Logging_HULTSFRED/klagomålsmail/A 61429-2022.docx", "A 61429-2022")</f>
        <v/>
      </c>
      <c r="X308">
        <f>HYPERLINK("https://klasma.github.io/Logging_HULTSFRED/tillsyn/A 61429-2022.docx", "A 61429-2022")</f>
        <v/>
      </c>
      <c r="Y308">
        <f>HYPERLINK("https://klasma.github.io/Logging_HULTSFRED/tillsynsmail/A 61429-2022.docx", "A 61429-2022")</f>
        <v/>
      </c>
    </row>
    <row r="309" ht="15" customHeight="1">
      <c r="A309" t="inlineStr">
        <is>
          <t>A 62003-2022</t>
        </is>
      </c>
      <c r="B309" s="1" t="n">
        <v>44918</v>
      </c>
      <c r="C309" s="1" t="n">
        <v>45205</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HYPERLINK("https://klasma.github.io/Logging_VASTERVIK/artfynd/A 62003-2022.xlsx", "A 62003-2022")</f>
        <v/>
      </c>
      <c r="T309">
        <f>HYPERLINK("https://klasma.github.io/Logging_VASTERVIK/kartor/A 62003-2022.png", "A 62003-2022")</f>
        <v/>
      </c>
      <c r="U309">
        <f>HYPERLINK("https://klasma.github.io/Logging_VASTERVIK/knärot/A 62003-2022.png", "A 62003-2022")</f>
        <v/>
      </c>
      <c r="V309">
        <f>HYPERLINK("https://klasma.github.io/Logging_VASTERVIK/klagomål/A 62003-2022.docx", "A 62003-2022")</f>
        <v/>
      </c>
      <c r="W309">
        <f>HYPERLINK("https://klasma.github.io/Logging_VASTERVIK/klagomålsmail/A 62003-2022.docx", "A 62003-2022")</f>
        <v/>
      </c>
      <c r="X309">
        <f>HYPERLINK("https://klasma.github.io/Logging_VASTERVIK/tillsyn/A 62003-2022.docx", "A 62003-2022")</f>
        <v/>
      </c>
      <c r="Y309">
        <f>HYPERLINK("https://klasma.github.io/Logging_VASTERVIK/tillsynsmail/A 62003-2022.docx", "A 62003-2022")</f>
        <v/>
      </c>
    </row>
    <row r="310" ht="15" customHeight="1">
      <c r="A310" t="inlineStr">
        <is>
          <t>A 1991-2023</t>
        </is>
      </c>
      <c r="B310" s="1" t="n">
        <v>44939</v>
      </c>
      <c r="C310" s="1" t="n">
        <v>45205</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HYPERLINK("https://klasma.github.io/Logging_MONSTERAS/artfynd/A 1991-2023.xlsx", "A 1991-2023")</f>
        <v/>
      </c>
      <c r="T310">
        <f>HYPERLINK("https://klasma.github.io/Logging_MONSTERAS/kartor/A 1991-2023.png", "A 1991-2023")</f>
        <v/>
      </c>
      <c r="V310">
        <f>HYPERLINK("https://klasma.github.io/Logging_MONSTERAS/klagomål/A 1991-2023.docx", "A 1991-2023")</f>
        <v/>
      </c>
      <c r="W310">
        <f>HYPERLINK("https://klasma.github.io/Logging_MONSTERAS/klagomålsmail/A 1991-2023.docx", "A 1991-2023")</f>
        <v/>
      </c>
      <c r="X310">
        <f>HYPERLINK("https://klasma.github.io/Logging_MONSTERAS/tillsyn/A 1991-2023.docx", "A 1991-2023")</f>
        <v/>
      </c>
      <c r="Y310">
        <f>HYPERLINK("https://klasma.github.io/Logging_MONSTERAS/tillsynsmail/A 1991-2023.docx", "A 1991-2023")</f>
        <v/>
      </c>
    </row>
    <row r="311" ht="15" customHeight="1">
      <c r="A311" t="inlineStr">
        <is>
          <t>A 2063-2023</t>
        </is>
      </c>
      <c r="B311" s="1" t="n">
        <v>44939</v>
      </c>
      <c r="C311" s="1" t="n">
        <v>45205</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HYPERLINK("https://klasma.github.io/Logging_TORSAS/artfynd/A 2063-2023.xlsx", "A 2063-2023")</f>
        <v/>
      </c>
      <c r="T311">
        <f>HYPERLINK("https://klasma.github.io/Logging_TORSAS/kartor/A 2063-2023.png", "A 2063-2023")</f>
        <v/>
      </c>
      <c r="V311">
        <f>HYPERLINK("https://klasma.github.io/Logging_TORSAS/klagomål/A 2063-2023.docx", "A 2063-2023")</f>
        <v/>
      </c>
      <c r="W311">
        <f>HYPERLINK("https://klasma.github.io/Logging_TORSAS/klagomålsmail/A 2063-2023.docx", "A 2063-2023")</f>
        <v/>
      </c>
      <c r="X311">
        <f>HYPERLINK("https://klasma.github.io/Logging_TORSAS/tillsyn/A 2063-2023.docx", "A 2063-2023")</f>
        <v/>
      </c>
      <c r="Y311">
        <f>HYPERLINK("https://klasma.github.io/Logging_TORSAS/tillsynsmail/A 2063-2023.docx", "A 2063-2023")</f>
        <v/>
      </c>
    </row>
    <row r="312" ht="15" customHeight="1">
      <c r="A312" t="inlineStr">
        <is>
          <t>A 2097-2023</t>
        </is>
      </c>
      <c r="B312" s="1" t="n">
        <v>44939</v>
      </c>
      <c r="C312" s="1" t="n">
        <v>45205</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HYPERLINK("https://klasma.github.io/Logging_VASTERVIK/artfynd/A 2097-2023.xlsx", "A 2097-2023")</f>
        <v/>
      </c>
      <c r="T312">
        <f>HYPERLINK("https://klasma.github.io/Logging_VASTERVIK/kartor/A 2097-2023.png", "A 2097-2023")</f>
        <v/>
      </c>
      <c r="U312">
        <f>HYPERLINK("https://klasma.github.io/Logging_VASTERVIK/knärot/A 2097-2023.png", "A 2097-2023")</f>
        <v/>
      </c>
      <c r="V312">
        <f>HYPERLINK("https://klasma.github.io/Logging_VASTERVIK/klagomål/A 2097-2023.docx", "A 2097-2023")</f>
        <v/>
      </c>
      <c r="W312">
        <f>HYPERLINK("https://klasma.github.io/Logging_VASTERVIK/klagomålsmail/A 2097-2023.docx", "A 2097-2023")</f>
        <v/>
      </c>
      <c r="X312">
        <f>HYPERLINK("https://klasma.github.io/Logging_VASTERVIK/tillsyn/A 2097-2023.docx", "A 2097-2023")</f>
        <v/>
      </c>
      <c r="Y312">
        <f>HYPERLINK("https://klasma.github.io/Logging_VASTERVIK/tillsynsmail/A 2097-2023.docx", "A 2097-2023")</f>
        <v/>
      </c>
    </row>
    <row r="313" ht="15" customHeight="1">
      <c r="A313" t="inlineStr">
        <is>
          <t>A 2515-2023</t>
        </is>
      </c>
      <c r="B313" s="1" t="n">
        <v>44943</v>
      </c>
      <c r="C313" s="1" t="n">
        <v>45205</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HYPERLINK("https://klasma.github.io/Logging_VASTERVIK/artfynd/A 2515-2023.xlsx", "A 2515-2023")</f>
        <v/>
      </c>
      <c r="T313">
        <f>HYPERLINK("https://klasma.github.io/Logging_VASTERVIK/kartor/A 2515-2023.png", "A 2515-2023")</f>
        <v/>
      </c>
      <c r="U313">
        <f>HYPERLINK("https://klasma.github.io/Logging_VASTERVIK/knärot/A 2515-2023.png", "A 2515-2023")</f>
        <v/>
      </c>
      <c r="V313">
        <f>HYPERLINK("https://klasma.github.io/Logging_VASTERVIK/klagomål/A 2515-2023.docx", "A 2515-2023")</f>
        <v/>
      </c>
      <c r="W313">
        <f>HYPERLINK("https://klasma.github.io/Logging_VASTERVIK/klagomålsmail/A 2515-2023.docx", "A 2515-2023")</f>
        <v/>
      </c>
      <c r="X313">
        <f>HYPERLINK("https://klasma.github.io/Logging_VASTERVIK/tillsyn/A 2515-2023.docx", "A 2515-2023")</f>
        <v/>
      </c>
      <c r="Y313">
        <f>HYPERLINK("https://klasma.github.io/Logging_VASTERVIK/tillsynsmail/A 2515-2023.docx", "A 2515-2023")</f>
        <v/>
      </c>
    </row>
    <row r="314" ht="15" customHeight="1">
      <c r="A314" t="inlineStr">
        <is>
          <t>A 2518-2023</t>
        </is>
      </c>
      <c r="B314" s="1" t="n">
        <v>44943</v>
      </c>
      <c r="C314" s="1" t="n">
        <v>45205</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HYPERLINK("https://klasma.github.io/Logging_VIMMERBY/artfynd/A 2518-2023.xlsx", "A 2518-2023")</f>
        <v/>
      </c>
      <c r="T314">
        <f>HYPERLINK("https://klasma.github.io/Logging_VIMMERBY/kartor/A 2518-2023.png", "A 2518-2023")</f>
        <v/>
      </c>
      <c r="U314">
        <f>HYPERLINK("https://klasma.github.io/Logging_VIMMERBY/knärot/A 2518-2023.png", "A 2518-2023")</f>
        <v/>
      </c>
      <c r="V314">
        <f>HYPERLINK("https://klasma.github.io/Logging_VIMMERBY/klagomål/A 2518-2023.docx", "A 2518-2023")</f>
        <v/>
      </c>
      <c r="W314">
        <f>HYPERLINK("https://klasma.github.io/Logging_VIMMERBY/klagomålsmail/A 2518-2023.docx", "A 2518-2023")</f>
        <v/>
      </c>
      <c r="X314">
        <f>HYPERLINK("https://klasma.github.io/Logging_VIMMERBY/tillsyn/A 2518-2023.docx", "A 2518-2023")</f>
        <v/>
      </c>
      <c r="Y314">
        <f>HYPERLINK("https://klasma.github.io/Logging_VIMMERBY/tillsynsmail/A 2518-2023.docx", "A 2518-2023")</f>
        <v/>
      </c>
    </row>
    <row r="315" ht="15" customHeight="1">
      <c r="A315" t="inlineStr">
        <is>
          <t>A 3173-2023</t>
        </is>
      </c>
      <c r="B315" s="1" t="n">
        <v>44946</v>
      </c>
      <c r="C315" s="1" t="n">
        <v>45205</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HYPERLINK("https://klasma.github.io/Logging_VASTERVIK/artfynd/A 3173-2023.xlsx", "A 3173-2023")</f>
        <v/>
      </c>
      <c r="T315">
        <f>HYPERLINK("https://klasma.github.io/Logging_VASTERVIK/kartor/A 3173-2023.png", "A 3173-2023")</f>
        <v/>
      </c>
      <c r="U315">
        <f>HYPERLINK("https://klasma.github.io/Logging_VASTERVIK/knärot/A 3173-2023.png", "A 3173-2023")</f>
        <v/>
      </c>
      <c r="V315">
        <f>HYPERLINK("https://klasma.github.io/Logging_VASTERVIK/klagomål/A 3173-2023.docx", "A 3173-2023")</f>
        <v/>
      </c>
      <c r="W315">
        <f>HYPERLINK("https://klasma.github.io/Logging_VASTERVIK/klagomålsmail/A 3173-2023.docx", "A 3173-2023")</f>
        <v/>
      </c>
      <c r="X315">
        <f>HYPERLINK("https://klasma.github.io/Logging_VASTERVIK/tillsyn/A 3173-2023.docx", "A 3173-2023")</f>
        <v/>
      </c>
      <c r="Y315">
        <f>HYPERLINK("https://klasma.github.io/Logging_VASTERVIK/tillsynsmail/A 3173-2023.docx", "A 3173-2023")</f>
        <v/>
      </c>
    </row>
    <row r="316" ht="15" customHeight="1">
      <c r="A316" t="inlineStr">
        <is>
          <t>A 4538-2023</t>
        </is>
      </c>
      <c r="B316" s="1" t="n">
        <v>44951</v>
      </c>
      <c r="C316" s="1" t="n">
        <v>45205</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HYPERLINK("https://klasma.github.io/Logging_KALMAR/artfynd/A 4538-2023.xlsx", "A 4538-2023")</f>
        <v/>
      </c>
      <c r="T316">
        <f>HYPERLINK("https://klasma.github.io/Logging_KALMAR/kartor/A 4538-2023.png", "A 4538-2023")</f>
        <v/>
      </c>
      <c r="V316">
        <f>HYPERLINK("https://klasma.github.io/Logging_KALMAR/klagomål/A 4538-2023.docx", "A 4538-2023")</f>
        <v/>
      </c>
      <c r="W316">
        <f>HYPERLINK("https://klasma.github.io/Logging_KALMAR/klagomålsmail/A 4538-2023.docx", "A 4538-2023")</f>
        <v/>
      </c>
      <c r="X316">
        <f>HYPERLINK("https://klasma.github.io/Logging_KALMAR/tillsyn/A 4538-2023.docx", "A 4538-2023")</f>
        <v/>
      </c>
      <c r="Y316">
        <f>HYPERLINK("https://klasma.github.io/Logging_KALMAR/tillsynsmail/A 4538-2023.docx", "A 4538-2023")</f>
        <v/>
      </c>
    </row>
    <row r="317" ht="15" customHeight="1">
      <c r="A317" t="inlineStr">
        <is>
          <t>A 4164-2023</t>
        </is>
      </c>
      <c r="B317" s="1" t="n">
        <v>44953</v>
      </c>
      <c r="C317" s="1" t="n">
        <v>45205</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HYPERLINK("https://klasma.github.io/Logging_BORGHOLM/artfynd/A 4164-2023.xlsx", "A 4164-2023")</f>
        <v/>
      </c>
      <c r="T317">
        <f>HYPERLINK("https://klasma.github.io/Logging_BORGHOLM/kartor/A 4164-2023.png", "A 4164-2023")</f>
        <v/>
      </c>
      <c r="V317">
        <f>HYPERLINK("https://klasma.github.io/Logging_BORGHOLM/klagomål/A 4164-2023.docx", "A 4164-2023")</f>
        <v/>
      </c>
      <c r="W317">
        <f>HYPERLINK("https://klasma.github.io/Logging_BORGHOLM/klagomålsmail/A 4164-2023.docx", "A 4164-2023")</f>
        <v/>
      </c>
      <c r="X317">
        <f>HYPERLINK("https://klasma.github.io/Logging_BORGHOLM/tillsyn/A 4164-2023.docx", "A 4164-2023")</f>
        <v/>
      </c>
      <c r="Y317">
        <f>HYPERLINK("https://klasma.github.io/Logging_BORGHOLM/tillsynsmail/A 4164-2023.docx", "A 4164-2023")</f>
        <v/>
      </c>
    </row>
    <row r="318" ht="15" customHeight="1">
      <c r="A318" t="inlineStr">
        <is>
          <t>A 8742-2023</t>
        </is>
      </c>
      <c r="B318" s="1" t="n">
        <v>44978</v>
      </c>
      <c r="C318" s="1" t="n">
        <v>45205</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HYPERLINK("https://klasma.github.io/Logging_NYBRO/artfynd/A 8742-2023.xlsx", "A 8742-2023")</f>
        <v/>
      </c>
      <c r="T318">
        <f>HYPERLINK("https://klasma.github.io/Logging_NYBRO/kartor/A 8742-2023.png", "A 8742-2023")</f>
        <v/>
      </c>
      <c r="V318">
        <f>HYPERLINK("https://klasma.github.io/Logging_NYBRO/klagomål/A 8742-2023.docx", "A 8742-2023")</f>
        <v/>
      </c>
      <c r="W318">
        <f>HYPERLINK("https://klasma.github.io/Logging_NYBRO/klagomålsmail/A 8742-2023.docx", "A 8742-2023")</f>
        <v/>
      </c>
      <c r="X318">
        <f>HYPERLINK("https://klasma.github.io/Logging_NYBRO/tillsyn/A 8742-2023.docx", "A 8742-2023")</f>
        <v/>
      </c>
      <c r="Y318">
        <f>HYPERLINK("https://klasma.github.io/Logging_NYBRO/tillsynsmail/A 8742-2023.docx", "A 8742-2023")</f>
        <v/>
      </c>
    </row>
    <row r="319" ht="15" customHeight="1">
      <c r="A319" t="inlineStr">
        <is>
          <t>A 9040-2023</t>
        </is>
      </c>
      <c r="B319" s="1" t="n">
        <v>44979</v>
      </c>
      <c r="C319" s="1" t="n">
        <v>45205</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HYPERLINK("https://klasma.github.io/Logging_VASTERVIK/artfynd/A 9040-2023.xlsx", "A 9040-2023")</f>
        <v/>
      </c>
      <c r="T319">
        <f>HYPERLINK("https://klasma.github.io/Logging_VASTERVIK/kartor/A 9040-2023.png", "A 9040-2023")</f>
        <v/>
      </c>
      <c r="U319">
        <f>HYPERLINK("https://klasma.github.io/Logging_VASTERVIK/knärot/A 9040-2023.png", "A 9040-2023")</f>
        <v/>
      </c>
      <c r="V319">
        <f>HYPERLINK("https://klasma.github.io/Logging_VASTERVIK/klagomål/A 9040-2023.docx", "A 9040-2023")</f>
        <v/>
      </c>
      <c r="W319">
        <f>HYPERLINK("https://klasma.github.io/Logging_VASTERVIK/klagomålsmail/A 9040-2023.docx", "A 9040-2023")</f>
        <v/>
      </c>
      <c r="X319">
        <f>HYPERLINK("https://klasma.github.io/Logging_VASTERVIK/tillsyn/A 9040-2023.docx", "A 9040-2023")</f>
        <v/>
      </c>
      <c r="Y319">
        <f>HYPERLINK("https://klasma.github.io/Logging_VASTERVIK/tillsynsmail/A 9040-2023.docx", "A 9040-2023")</f>
        <v/>
      </c>
    </row>
    <row r="320" ht="15" customHeight="1">
      <c r="A320" t="inlineStr">
        <is>
          <t>A 10806-2023</t>
        </is>
      </c>
      <c r="B320" s="1" t="n">
        <v>44989</v>
      </c>
      <c r="C320" s="1" t="n">
        <v>45205</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HYPERLINK("https://klasma.github.io/Logging_VASTERVIK/artfynd/A 10806-2023.xlsx", "A 10806-2023")</f>
        <v/>
      </c>
      <c r="T320">
        <f>HYPERLINK("https://klasma.github.io/Logging_VASTERVIK/kartor/A 10806-2023.png", "A 10806-2023")</f>
        <v/>
      </c>
      <c r="U320">
        <f>HYPERLINK("https://klasma.github.io/Logging_VASTERVIK/knärot/A 10806-2023.png", "A 10806-2023")</f>
        <v/>
      </c>
      <c r="V320">
        <f>HYPERLINK("https://klasma.github.io/Logging_VASTERVIK/klagomål/A 10806-2023.docx", "A 10806-2023")</f>
        <v/>
      </c>
      <c r="W320">
        <f>HYPERLINK("https://klasma.github.io/Logging_VASTERVIK/klagomålsmail/A 10806-2023.docx", "A 10806-2023")</f>
        <v/>
      </c>
      <c r="X320">
        <f>HYPERLINK("https://klasma.github.io/Logging_VASTERVIK/tillsyn/A 10806-2023.docx", "A 10806-2023")</f>
        <v/>
      </c>
      <c r="Y320">
        <f>HYPERLINK("https://klasma.github.io/Logging_VASTERVIK/tillsynsmail/A 10806-2023.docx", "A 10806-2023")</f>
        <v/>
      </c>
    </row>
    <row r="321" ht="15" customHeight="1">
      <c r="A321" t="inlineStr">
        <is>
          <t>A 14301-2023</t>
        </is>
      </c>
      <c r="B321" s="1" t="n">
        <v>45011</v>
      </c>
      <c r="C321" s="1" t="n">
        <v>45205</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HYPERLINK("https://klasma.github.io/Logging_VASTERVIK/artfynd/A 14301-2023.xlsx", "A 14301-2023")</f>
        <v/>
      </c>
      <c r="T321">
        <f>HYPERLINK("https://klasma.github.io/Logging_VASTERVIK/kartor/A 14301-2023.png", "A 14301-2023")</f>
        <v/>
      </c>
      <c r="U321">
        <f>HYPERLINK("https://klasma.github.io/Logging_VASTERVIK/knärot/A 14301-2023.png", "A 14301-2023")</f>
        <v/>
      </c>
      <c r="V321">
        <f>HYPERLINK("https://klasma.github.io/Logging_VASTERVIK/klagomål/A 14301-2023.docx", "A 14301-2023")</f>
        <v/>
      </c>
      <c r="W321">
        <f>HYPERLINK("https://klasma.github.io/Logging_VASTERVIK/klagomålsmail/A 14301-2023.docx", "A 14301-2023")</f>
        <v/>
      </c>
      <c r="X321">
        <f>HYPERLINK("https://klasma.github.io/Logging_VASTERVIK/tillsyn/A 14301-2023.docx", "A 14301-2023")</f>
        <v/>
      </c>
      <c r="Y321">
        <f>HYPERLINK("https://klasma.github.io/Logging_VASTERVIK/tillsynsmail/A 14301-2023.docx", "A 14301-2023")</f>
        <v/>
      </c>
    </row>
    <row r="322" ht="15" customHeight="1">
      <c r="A322" t="inlineStr">
        <is>
          <t>A 16431-2023</t>
        </is>
      </c>
      <c r="B322" s="1" t="n">
        <v>45022</v>
      </c>
      <c r="C322" s="1" t="n">
        <v>45205</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HYPERLINK("https://klasma.github.io/Logging_MONSTERAS/artfynd/A 16431-2023.xlsx", "A 16431-2023")</f>
        <v/>
      </c>
      <c r="T322">
        <f>HYPERLINK("https://klasma.github.io/Logging_MONSTERAS/kartor/A 16431-2023.png", "A 16431-2023")</f>
        <v/>
      </c>
      <c r="V322">
        <f>HYPERLINK("https://klasma.github.io/Logging_MONSTERAS/klagomål/A 16431-2023.docx", "A 16431-2023")</f>
        <v/>
      </c>
      <c r="W322">
        <f>HYPERLINK("https://klasma.github.io/Logging_MONSTERAS/klagomålsmail/A 16431-2023.docx", "A 16431-2023")</f>
        <v/>
      </c>
      <c r="X322">
        <f>HYPERLINK("https://klasma.github.io/Logging_MONSTERAS/tillsyn/A 16431-2023.docx", "A 16431-2023")</f>
        <v/>
      </c>
      <c r="Y322">
        <f>HYPERLINK("https://klasma.github.io/Logging_MONSTERAS/tillsynsmail/A 16431-2023.docx", "A 16431-2023")</f>
        <v/>
      </c>
    </row>
    <row r="323" ht="15" customHeight="1">
      <c r="A323" t="inlineStr">
        <is>
          <t>A 19845-2023</t>
        </is>
      </c>
      <c r="B323" s="1" t="n">
        <v>45053</v>
      </c>
      <c r="C323" s="1" t="n">
        <v>45205</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HYPERLINK("https://klasma.github.io/Logging_HULTSFRED/artfynd/A 19845-2023.xlsx", "A 19845-2023")</f>
        <v/>
      </c>
      <c r="T323">
        <f>HYPERLINK("https://klasma.github.io/Logging_HULTSFRED/kartor/A 19845-2023.png", "A 19845-2023")</f>
        <v/>
      </c>
      <c r="U323">
        <f>HYPERLINK("https://klasma.github.io/Logging_HULTSFRED/knärot/A 19845-2023.png", "A 19845-2023")</f>
        <v/>
      </c>
      <c r="V323">
        <f>HYPERLINK("https://klasma.github.io/Logging_HULTSFRED/klagomål/A 19845-2023.docx", "A 19845-2023")</f>
        <v/>
      </c>
      <c r="W323">
        <f>HYPERLINK("https://klasma.github.io/Logging_HULTSFRED/klagomålsmail/A 19845-2023.docx", "A 19845-2023")</f>
        <v/>
      </c>
      <c r="X323">
        <f>HYPERLINK("https://klasma.github.io/Logging_HULTSFRED/tillsyn/A 19845-2023.docx", "A 19845-2023")</f>
        <v/>
      </c>
      <c r="Y323">
        <f>HYPERLINK("https://klasma.github.io/Logging_HULTSFRED/tillsynsmail/A 19845-2023.docx", "A 19845-2023")</f>
        <v/>
      </c>
    </row>
    <row r="324" ht="15" customHeight="1">
      <c r="A324" t="inlineStr">
        <is>
          <t>A 21219-2023</t>
        </is>
      </c>
      <c r="B324" s="1" t="n">
        <v>45062</v>
      </c>
      <c r="C324" s="1" t="n">
        <v>45205</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HYPERLINK("https://klasma.github.io/Logging_MORBYLANGA/artfynd/A 21219-2023.xlsx", "A 21219-2023")</f>
        <v/>
      </c>
      <c r="T324">
        <f>HYPERLINK("https://klasma.github.io/Logging_MORBYLANGA/kartor/A 21219-2023.png", "A 21219-2023")</f>
        <v/>
      </c>
      <c r="V324">
        <f>HYPERLINK("https://klasma.github.io/Logging_MORBYLANGA/klagomål/A 21219-2023.docx", "A 21219-2023")</f>
        <v/>
      </c>
      <c r="W324">
        <f>HYPERLINK("https://klasma.github.io/Logging_MORBYLANGA/klagomålsmail/A 21219-2023.docx", "A 21219-2023")</f>
        <v/>
      </c>
      <c r="X324">
        <f>HYPERLINK("https://klasma.github.io/Logging_MORBYLANGA/tillsyn/A 21219-2023.docx", "A 21219-2023")</f>
        <v/>
      </c>
      <c r="Y324">
        <f>HYPERLINK("https://klasma.github.io/Logging_MORBYLANGA/tillsynsmail/A 21219-2023.docx", "A 21219-2023")</f>
        <v/>
      </c>
    </row>
    <row r="325" ht="15" customHeight="1">
      <c r="A325" t="inlineStr">
        <is>
          <t>A 22825-2023</t>
        </is>
      </c>
      <c r="B325" s="1" t="n">
        <v>45072</v>
      </c>
      <c r="C325" s="1" t="n">
        <v>45205</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HYPERLINK("https://klasma.github.io/Logging_VIMMERBY/artfynd/A 22825-2023.xlsx", "A 22825-2023")</f>
        <v/>
      </c>
      <c r="T325">
        <f>HYPERLINK("https://klasma.github.io/Logging_VIMMERBY/kartor/A 22825-2023.png", "A 22825-2023")</f>
        <v/>
      </c>
      <c r="V325">
        <f>HYPERLINK("https://klasma.github.io/Logging_VIMMERBY/klagomål/A 22825-2023.docx", "A 22825-2023")</f>
        <v/>
      </c>
      <c r="W325">
        <f>HYPERLINK("https://klasma.github.io/Logging_VIMMERBY/klagomålsmail/A 22825-2023.docx", "A 22825-2023")</f>
        <v/>
      </c>
      <c r="X325">
        <f>HYPERLINK("https://klasma.github.io/Logging_VIMMERBY/tillsyn/A 22825-2023.docx", "A 22825-2023")</f>
        <v/>
      </c>
      <c r="Y325">
        <f>HYPERLINK("https://klasma.github.io/Logging_VIMMERBY/tillsynsmail/A 22825-2023.docx", "A 22825-2023")</f>
        <v/>
      </c>
    </row>
    <row r="326" ht="15" customHeight="1">
      <c r="A326" t="inlineStr">
        <is>
          <t>A 23106-2023</t>
        </is>
      </c>
      <c r="B326" s="1" t="n">
        <v>45075</v>
      </c>
      <c r="C326" s="1" t="n">
        <v>45205</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HYPERLINK("https://klasma.github.io/Logging_NYBRO/artfynd/A 23106-2023.xlsx", "A 23106-2023")</f>
        <v/>
      </c>
      <c r="T326">
        <f>HYPERLINK("https://klasma.github.io/Logging_NYBRO/kartor/A 23106-2023.png", "A 23106-2023")</f>
        <v/>
      </c>
      <c r="V326">
        <f>HYPERLINK("https://klasma.github.io/Logging_NYBRO/klagomål/A 23106-2023.docx", "A 23106-2023")</f>
        <v/>
      </c>
      <c r="W326">
        <f>HYPERLINK("https://klasma.github.io/Logging_NYBRO/klagomålsmail/A 23106-2023.docx", "A 23106-2023")</f>
        <v/>
      </c>
      <c r="X326">
        <f>HYPERLINK("https://klasma.github.io/Logging_NYBRO/tillsyn/A 23106-2023.docx", "A 23106-2023")</f>
        <v/>
      </c>
      <c r="Y326">
        <f>HYPERLINK("https://klasma.github.io/Logging_NYBRO/tillsynsmail/A 23106-2023.docx", "A 23106-2023")</f>
        <v/>
      </c>
    </row>
    <row r="327" ht="15" customHeight="1">
      <c r="A327" t="inlineStr">
        <is>
          <t>A 27719-2023</t>
        </is>
      </c>
      <c r="B327" s="1" t="n">
        <v>45093</v>
      </c>
      <c r="C327" s="1" t="n">
        <v>45205</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HYPERLINK("https://klasma.github.io/Logging_NYBRO/artfynd/A 27719-2023.xlsx", "A 27719-2023")</f>
        <v/>
      </c>
      <c r="T327">
        <f>HYPERLINK("https://klasma.github.io/Logging_NYBRO/kartor/A 27719-2023.png", "A 27719-2023")</f>
        <v/>
      </c>
      <c r="V327">
        <f>HYPERLINK("https://klasma.github.io/Logging_NYBRO/klagomål/A 27719-2023.docx", "A 27719-2023")</f>
        <v/>
      </c>
      <c r="W327">
        <f>HYPERLINK("https://klasma.github.io/Logging_NYBRO/klagomålsmail/A 27719-2023.docx", "A 27719-2023")</f>
        <v/>
      </c>
      <c r="X327">
        <f>HYPERLINK("https://klasma.github.io/Logging_NYBRO/tillsyn/A 27719-2023.docx", "A 27719-2023")</f>
        <v/>
      </c>
      <c r="Y327">
        <f>HYPERLINK("https://klasma.github.io/Logging_NYBRO/tillsynsmail/A 27719-2023.docx", "A 27719-2023")</f>
        <v/>
      </c>
    </row>
    <row r="328" ht="15" customHeight="1">
      <c r="A328" t="inlineStr">
        <is>
          <t>A 31692-2023</t>
        </is>
      </c>
      <c r="B328" s="1" t="n">
        <v>45105</v>
      </c>
      <c r="C328" s="1" t="n">
        <v>45205</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HYPERLINK("https://klasma.github.io/Logging_KALMAR/artfynd/A 31692-2023.xlsx", "A 31692-2023")</f>
        <v/>
      </c>
      <c r="T328">
        <f>HYPERLINK("https://klasma.github.io/Logging_KALMAR/kartor/A 31692-2023.png", "A 31692-2023")</f>
        <v/>
      </c>
      <c r="V328">
        <f>HYPERLINK("https://klasma.github.io/Logging_KALMAR/klagomål/A 31692-2023.docx", "A 31692-2023")</f>
        <v/>
      </c>
      <c r="W328">
        <f>HYPERLINK("https://klasma.github.io/Logging_KALMAR/klagomålsmail/A 31692-2023.docx", "A 31692-2023")</f>
        <v/>
      </c>
      <c r="X328">
        <f>HYPERLINK("https://klasma.github.io/Logging_KALMAR/tillsyn/A 31692-2023.docx", "A 31692-2023")</f>
        <v/>
      </c>
      <c r="Y328">
        <f>HYPERLINK("https://klasma.github.io/Logging_KALMAR/tillsynsmail/A 31692-2023.docx", "A 31692-2023")</f>
        <v/>
      </c>
    </row>
    <row r="329" ht="15" customHeight="1">
      <c r="A329" t="inlineStr">
        <is>
          <t>A 30203-2023</t>
        </is>
      </c>
      <c r="B329" s="1" t="n">
        <v>45110</v>
      </c>
      <c r="C329" s="1" t="n">
        <v>45205</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HYPERLINK("https://klasma.github.io/Logging_HOGSBY/artfynd/A 30203-2023.xlsx", "A 30203-2023")</f>
        <v/>
      </c>
      <c r="T329">
        <f>HYPERLINK("https://klasma.github.io/Logging_HOGSBY/kartor/A 30203-2023.png", "A 30203-2023")</f>
        <v/>
      </c>
      <c r="V329">
        <f>HYPERLINK("https://klasma.github.io/Logging_HOGSBY/klagomål/A 30203-2023.docx", "A 30203-2023")</f>
        <v/>
      </c>
      <c r="W329">
        <f>HYPERLINK("https://klasma.github.io/Logging_HOGSBY/klagomålsmail/A 30203-2023.docx", "A 30203-2023")</f>
        <v/>
      </c>
      <c r="X329">
        <f>HYPERLINK("https://klasma.github.io/Logging_HOGSBY/tillsyn/A 30203-2023.docx", "A 30203-2023")</f>
        <v/>
      </c>
      <c r="Y329">
        <f>HYPERLINK("https://klasma.github.io/Logging_HOGSBY/tillsynsmail/A 30203-2023.docx", "A 30203-2023")</f>
        <v/>
      </c>
    </row>
    <row r="330" ht="15" customHeight="1">
      <c r="A330" t="inlineStr">
        <is>
          <t>A 30933-2023</t>
        </is>
      </c>
      <c r="B330" s="1" t="n">
        <v>45113</v>
      </c>
      <c r="C330" s="1" t="n">
        <v>45205</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HYPERLINK("https://klasma.github.io/Logging_OSKARSHAMN/artfynd/A 30933-2023.xlsx", "A 30933-2023")</f>
        <v/>
      </c>
      <c r="T330">
        <f>HYPERLINK("https://klasma.github.io/Logging_OSKARSHAMN/kartor/A 30933-2023.png", "A 30933-2023")</f>
        <v/>
      </c>
      <c r="V330">
        <f>HYPERLINK("https://klasma.github.io/Logging_OSKARSHAMN/klagomål/A 30933-2023.docx", "A 30933-2023")</f>
        <v/>
      </c>
      <c r="W330">
        <f>HYPERLINK("https://klasma.github.io/Logging_OSKARSHAMN/klagomålsmail/A 30933-2023.docx", "A 30933-2023")</f>
        <v/>
      </c>
      <c r="X330">
        <f>HYPERLINK("https://klasma.github.io/Logging_OSKARSHAMN/tillsyn/A 30933-2023.docx", "A 30933-2023")</f>
        <v/>
      </c>
      <c r="Y330">
        <f>HYPERLINK("https://klasma.github.io/Logging_OSKARSHAMN/tillsynsmail/A 30933-2023.docx", "A 30933-2023")</f>
        <v/>
      </c>
    </row>
    <row r="331" ht="15" customHeight="1">
      <c r="A331" t="inlineStr">
        <is>
          <t>A 32298-2023</t>
        </is>
      </c>
      <c r="B331" s="1" t="n">
        <v>45120</v>
      </c>
      <c r="C331" s="1" t="n">
        <v>45205</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HYPERLINK("https://klasma.github.io/Logging_MONSTERAS/artfynd/A 32298-2023.xlsx", "A 32298-2023")</f>
        <v/>
      </c>
      <c r="T331">
        <f>HYPERLINK("https://klasma.github.io/Logging_MONSTERAS/kartor/A 32298-2023.png", "A 32298-2023")</f>
        <v/>
      </c>
      <c r="U331">
        <f>HYPERLINK("https://klasma.github.io/Logging_MONSTERAS/knärot/A 32298-2023.png", "A 32298-2023")</f>
        <v/>
      </c>
      <c r="V331">
        <f>HYPERLINK("https://klasma.github.io/Logging_MONSTERAS/klagomål/A 32298-2023.docx", "A 32298-2023")</f>
        <v/>
      </c>
      <c r="W331">
        <f>HYPERLINK("https://klasma.github.io/Logging_MONSTERAS/klagomålsmail/A 32298-2023.docx", "A 32298-2023")</f>
        <v/>
      </c>
      <c r="X331">
        <f>HYPERLINK("https://klasma.github.io/Logging_MONSTERAS/tillsyn/A 32298-2023.docx", "A 32298-2023")</f>
        <v/>
      </c>
      <c r="Y331">
        <f>HYPERLINK("https://klasma.github.io/Logging_MONSTERAS/tillsynsmail/A 32298-2023.docx", "A 32298-2023")</f>
        <v/>
      </c>
    </row>
    <row r="332" ht="15" customHeight="1">
      <c r="A332" t="inlineStr">
        <is>
          <t>A 32649-2023</t>
        </is>
      </c>
      <c r="B332" s="1" t="n">
        <v>45121</v>
      </c>
      <c r="C332" s="1" t="n">
        <v>45205</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HYPERLINK("https://klasma.github.io/Logging_VASTERVIK/artfynd/A 32649-2023.xlsx", "A 32649-2023")</f>
        <v/>
      </c>
      <c r="T332">
        <f>HYPERLINK("https://klasma.github.io/Logging_VASTERVIK/kartor/A 32649-2023.png", "A 32649-2023")</f>
        <v/>
      </c>
      <c r="U332">
        <f>HYPERLINK("https://klasma.github.io/Logging_VASTERVIK/knärot/A 32649-2023.png", "A 32649-2023")</f>
        <v/>
      </c>
      <c r="V332">
        <f>HYPERLINK("https://klasma.github.io/Logging_VASTERVIK/klagomål/A 32649-2023.docx", "A 32649-2023")</f>
        <v/>
      </c>
      <c r="W332">
        <f>HYPERLINK("https://klasma.github.io/Logging_VASTERVIK/klagomålsmail/A 32649-2023.docx", "A 32649-2023")</f>
        <v/>
      </c>
      <c r="X332">
        <f>HYPERLINK("https://klasma.github.io/Logging_VASTERVIK/tillsyn/A 32649-2023.docx", "A 32649-2023")</f>
        <v/>
      </c>
      <c r="Y332">
        <f>HYPERLINK("https://klasma.github.io/Logging_VASTERVIK/tillsynsmail/A 32649-2023.docx", "A 32649-2023")</f>
        <v/>
      </c>
    </row>
    <row r="333" ht="15" customHeight="1">
      <c r="A333" t="inlineStr">
        <is>
          <t>A 43712-2023</t>
        </is>
      </c>
      <c r="B333" s="1" t="n">
        <v>45187</v>
      </c>
      <c r="C333" s="1" t="n">
        <v>45205</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HYPERLINK("https://klasma.github.io/Logging_NYBRO/artfynd/A 43712-2023.xlsx", "A 43712-2023")</f>
        <v/>
      </c>
      <c r="T333">
        <f>HYPERLINK("https://klasma.github.io/Logging_NYBRO/kartor/A 43712-2023.png", "A 43712-2023")</f>
        <v/>
      </c>
      <c r="V333">
        <f>HYPERLINK("https://klasma.github.io/Logging_NYBRO/klagomål/A 43712-2023.docx", "A 43712-2023")</f>
        <v/>
      </c>
      <c r="W333">
        <f>HYPERLINK("https://klasma.github.io/Logging_NYBRO/klagomålsmail/A 43712-2023.docx", "A 43712-2023")</f>
        <v/>
      </c>
      <c r="X333">
        <f>HYPERLINK("https://klasma.github.io/Logging_NYBRO/tillsyn/A 43712-2023.docx", "A 43712-2023")</f>
        <v/>
      </c>
      <c r="Y333">
        <f>HYPERLINK("https://klasma.github.io/Logging_NYBRO/tillsynsmail/A 43712-2023.docx", "A 43712-2023")</f>
        <v/>
      </c>
    </row>
    <row r="334" ht="15" customHeight="1">
      <c r="A334" t="inlineStr">
        <is>
          <t>A 37269-2018</t>
        </is>
      </c>
      <c r="B334" s="1" t="n">
        <v>43332</v>
      </c>
      <c r="C334" s="1" t="n">
        <v>45205</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HYPERLINK("https://klasma.github.io/Logging_HOGSBY/artfynd/A 37269-2018.xlsx", "A 37269-2018")</f>
        <v/>
      </c>
      <c r="T334">
        <f>HYPERLINK("https://klasma.github.io/Logging_HOGSBY/kartor/A 37269-2018.png", "A 37269-2018")</f>
        <v/>
      </c>
      <c r="V334">
        <f>HYPERLINK("https://klasma.github.io/Logging_HOGSBY/klagomål/A 37269-2018.docx", "A 37269-2018")</f>
        <v/>
      </c>
      <c r="W334">
        <f>HYPERLINK("https://klasma.github.io/Logging_HOGSBY/klagomålsmail/A 37269-2018.docx", "A 37269-2018")</f>
        <v/>
      </c>
      <c r="X334">
        <f>HYPERLINK("https://klasma.github.io/Logging_HOGSBY/tillsyn/A 37269-2018.docx", "A 37269-2018")</f>
        <v/>
      </c>
      <c r="Y334">
        <f>HYPERLINK("https://klasma.github.io/Logging_HOGSBY/tillsynsmail/A 37269-2018.docx", "A 37269-2018")</f>
        <v/>
      </c>
    </row>
    <row r="335" ht="15" customHeight="1">
      <c r="A335" t="inlineStr">
        <is>
          <t>A 41586-2018</t>
        </is>
      </c>
      <c r="B335" s="1" t="n">
        <v>43349</v>
      </c>
      <c r="C335" s="1" t="n">
        <v>45205</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HYPERLINK("https://klasma.github.io/Logging_TORSAS/artfynd/A 41586-2018.xlsx", "A 41586-2018")</f>
        <v/>
      </c>
      <c r="T335">
        <f>HYPERLINK("https://klasma.github.io/Logging_TORSAS/kartor/A 41586-2018.png", "A 41586-2018")</f>
        <v/>
      </c>
      <c r="V335">
        <f>HYPERLINK("https://klasma.github.io/Logging_TORSAS/klagomål/A 41586-2018.docx", "A 41586-2018")</f>
        <v/>
      </c>
      <c r="W335">
        <f>HYPERLINK("https://klasma.github.io/Logging_TORSAS/klagomålsmail/A 41586-2018.docx", "A 41586-2018")</f>
        <v/>
      </c>
      <c r="X335">
        <f>HYPERLINK("https://klasma.github.io/Logging_TORSAS/tillsyn/A 41586-2018.docx", "A 41586-2018")</f>
        <v/>
      </c>
      <c r="Y335">
        <f>HYPERLINK("https://klasma.github.io/Logging_TORSAS/tillsynsmail/A 41586-2018.docx", "A 41586-2018")</f>
        <v/>
      </c>
    </row>
    <row r="336" ht="15" customHeight="1">
      <c r="A336" t="inlineStr">
        <is>
          <t>A 41755-2018</t>
        </is>
      </c>
      <c r="B336" s="1" t="n">
        <v>43350</v>
      </c>
      <c r="C336" s="1" t="n">
        <v>45205</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HYPERLINK("https://klasma.github.io/Logging_EMMABODA/artfynd/A 41755-2018.xlsx", "A 41755-2018")</f>
        <v/>
      </c>
      <c r="T336">
        <f>HYPERLINK("https://klasma.github.io/Logging_EMMABODA/kartor/A 41755-2018.png", "A 41755-2018")</f>
        <v/>
      </c>
      <c r="V336">
        <f>HYPERLINK("https://klasma.github.io/Logging_EMMABODA/klagomål/A 41755-2018.docx", "A 41755-2018")</f>
        <v/>
      </c>
      <c r="W336">
        <f>HYPERLINK("https://klasma.github.io/Logging_EMMABODA/klagomålsmail/A 41755-2018.docx", "A 41755-2018")</f>
        <v/>
      </c>
      <c r="X336">
        <f>HYPERLINK("https://klasma.github.io/Logging_EMMABODA/tillsyn/A 41755-2018.docx", "A 41755-2018")</f>
        <v/>
      </c>
      <c r="Y336">
        <f>HYPERLINK("https://klasma.github.io/Logging_EMMABODA/tillsynsmail/A 41755-2018.docx", "A 41755-2018")</f>
        <v/>
      </c>
    </row>
    <row r="337" ht="15" customHeight="1">
      <c r="A337" t="inlineStr">
        <is>
          <t>A 45366-2018</t>
        </is>
      </c>
      <c r="B337" s="1" t="n">
        <v>43363</v>
      </c>
      <c r="C337" s="1" t="n">
        <v>45205</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HYPERLINK("https://klasma.github.io/Logging_TORSAS/artfynd/A 45366-2018.xlsx", "A 45366-2018")</f>
        <v/>
      </c>
      <c r="T337">
        <f>HYPERLINK("https://klasma.github.io/Logging_TORSAS/kartor/A 45366-2018.png", "A 45366-2018")</f>
        <v/>
      </c>
      <c r="V337">
        <f>HYPERLINK("https://klasma.github.io/Logging_TORSAS/klagomål/A 45366-2018.docx", "A 45366-2018")</f>
        <v/>
      </c>
      <c r="W337">
        <f>HYPERLINK("https://klasma.github.io/Logging_TORSAS/klagomålsmail/A 45366-2018.docx", "A 45366-2018")</f>
        <v/>
      </c>
      <c r="X337">
        <f>HYPERLINK("https://klasma.github.io/Logging_TORSAS/tillsyn/A 45366-2018.docx", "A 45366-2018")</f>
        <v/>
      </c>
      <c r="Y337">
        <f>HYPERLINK("https://klasma.github.io/Logging_TORSAS/tillsynsmail/A 45366-2018.docx", "A 45366-2018")</f>
        <v/>
      </c>
    </row>
    <row r="338" ht="15" customHeight="1">
      <c r="A338" t="inlineStr">
        <is>
          <t>A 46845-2018</t>
        </is>
      </c>
      <c r="B338" s="1" t="n">
        <v>43367</v>
      </c>
      <c r="C338" s="1" t="n">
        <v>45205</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HYPERLINK("https://klasma.github.io/Logging_MORBYLANGA/artfynd/A 46845-2018.xlsx", "A 46845-2018")</f>
        <v/>
      </c>
      <c r="T338">
        <f>HYPERLINK("https://klasma.github.io/Logging_MORBYLANGA/kartor/A 46845-2018.png", "A 46845-2018")</f>
        <v/>
      </c>
      <c r="V338">
        <f>HYPERLINK("https://klasma.github.io/Logging_MORBYLANGA/klagomål/A 46845-2018.docx", "A 46845-2018")</f>
        <v/>
      </c>
      <c r="W338">
        <f>HYPERLINK("https://klasma.github.io/Logging_MORBYLANGA/klagomålsmail/A 46845-2018.docx", "A 46845-2018")</f>
        <v/>
      </c>
      <c r="X338">
        <f>HYPERLINK("https://klasma.github.io/Logging_MORBYLANGA/tillsyn/A 46845-2018.docx", "A 46845-2018")</f>
        <v/>
      </c>
      <c r="Y338">
        <f>HYPERLINK("https://klasma.github.io/Logging_MORBYLANGA/tillsynsmail/A 46845-2018.docx", "A 46845-2018")</f>
        <v/>
      </c>
    </row>
    <row r="339" ht="15" customHeight="1">
      <c r="A339" t="inlineStr">
        <is>
          <t>A 46598-2018</t>
        </is>
      </c>
      <c r="B339" s="1" t="n">
        <v>43368</v>
      </c>
      <c r="C339" s="1" t="n">
        <v>45205</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HYPERLINK("https://klasma.github.io/Logging_VIMMERBY/artfynd/A 46598-2018.xlsx", "A 46598-2018")</f>
        <v/>
      </c>
      <c r="T339">
        <f>HYPERLINK("https://klasma.github.io/Logging_VIMMERBY/kartor/A 46598-2018.png", "A 46598-2018")</f>
        <v/>
      </c>
      <c r="V339">
        <f>HYPERLINK("https://klasma.github.io/Logging_VIMMERBY/klagomål/A 46598-2018.docx", "A 46598-2018")</f>
        <v/>
      </c>
      <c r="W339">
        <f>HYPERLINK("https://klasma.github.io/Logging_VIMMERBY/klagomålsmail/A 46598-2018.docx", "A 46598-2018")</f>
        <v/>
      </c>
      <c r="X339">
        <f>HYPERLINK("https://klasma.github.io/Logging_VIMMERBY/tillsyn/A 46598-2018.docx", "A 46598-2018")</f>
        <v/>
      </c>
      <c r="Y339">
        <f>HYPERLINK("https://klasma.github.io/Logging_VIMMERBY/tillsynsmail/A 46598-2018.docx", "A 46598-2018")</f>
        <v/>
      </c>
    </row>
    <row r="340" ht="15" customHeight="1">
      <c r="A340" t="inlineStr">
        <is>
          <t>A 48007-2018</t>
        </is>
      </c>
      <c r="B340" s="1" t="n">
        <v>43370</v>
      </c>
      <c r="C340" s="1" t="n">
        <v>45205</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HYPERLINK("https://klasma.github.io/Logging_KALMAR/artfynd/A 48007-2018.xlsx", "A 48007-2018")</f>
        <v/>
      </c>
      <c r="T340">
        <f>HYPERLINK("https://klasma.github.io/Logging_KALMAR/kartor/A 48007-2018.png", "A 48007-2018")</f>
        <v/>
      </c>
      <c r="V340">
        <f>HYPERLINK("https://klasma.github.io/Logging_KALMAR/klagomål/A 48007-2018.docx", "A 48007-2018")</f>
        <v/>
      </c>
      <c r="W340">
        <f>HYPERLINK("https://klasma.github.io/Logging_KALMAR/klagomålsmail/A 48007-2018.docx", "A 48007-2018")</f>
        <v/>
      </c>
      <c r="X340">
        <f>HYPERLINK("https://klasma.github.io/Logging_KALMAR/tillsyn/A 48007-2018.docx", "A 48007-2018")</f>
        <v/>
      </c>
      <c r="Y340">
        <f>HYPERLINK("https://klasma.github.io/Logging_KALMAR/tillsynsmail/A 48007-2018.docx", "A 48007-2018")</f>
        <v/>
      </c>
    </row>
    <row r="341" ht="15" customHeight="1">
      <c r="A341" t="inlineStr">
        <is>
          <t>A 51204-2018</t>
        </is>
      </c>
      <c r="B341" s="1" t="n">
        <v>43377</v>
      </c>
      <c r="C341" s="1" t="n">
        <v>45205</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HYPERLINK("https://klasma.github.io/Logging_VASTERVIK/artfynd/A 51204-2018.xlsx", "A 51204-2018")</f>
        <v/>
      </c>
      <c r="T341">
        <f>HYPERLINK("https://klasma.github.io/Logging_VASTERVIK/kartor/A 51204-2018.png", "A 51204-2018")</f>
        <v/>
      </c>
      <c r="V341">
        <f>HYPERLINK("https://klasma.github.io/Logging_VASTERVIK/klagomål/A 51204-2018.docx", "A 51204-2018")</f>
        <v/>
      </c>
      <c r="W341">
        <f>HYPERLINK("https://klasma.github.io/Logging_VASTERVIK/klagomålsmail/A 51204-2018.docx", "A 51204-2018")</f>
        <v/>
      </c>
      <c r="X341">
        <f>HYPERLINK("https://klasma.github.io/Logging_VASTERVIK/tillsyn/A 51204-2018.docx", "A 51204-2018")</f>
        <v/>
      </c>
      <c r="Y341">
        <f>HYPERLINK("https://klasma.github.io/Logging_VASTERVIK/tillsynsmail/A 51204-2018.docx", "A 51204-2018")</f>
        <v/>
      </c>
    </row>
    <row r="342" ht="15" customHeight="1">
      <c r="A342" t="inlineStr">
        <is>
          <t>A 52781-2018</t>
        </is>
      </c>
      <c r="B342" s="1" t="n">
        <v>43383</v>
      </c>
      <c r="C342" s="1" t="n">
        <v>45205</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HYPERLINK("https://klasma.github.io/Logging_KALMAR/artfynd/A 52781-2018.xlsx", "A 52781-2018")</f>
        <v/>
      </c>
      <c r="T342">
        <f>HYPERLINK("https://klasma.github.io/Logging_KALMAR/kartor/A 52781-2018.png", "A 52781-2018")</f>
        <v/>
      </c>
      <c r="U342">
        <f>HYPERLINK("https://klasma.github.io/Logging_KALMAR/knärot/A 52781-2018.png", "A 52781-2018")</f>
        <v/>
      </c>
      <c r="V342">
        <f>HYPERLINK("https://klasma.github.io/Logging_KALMAR/klagomål/A 52781-2018.docx", "A 52781-2018")</f>
        <v/>
      </c>
      <c r="W342">
        <f>HYPERLINK("https://klasma.github.io/Logging_KALMAR/klagomålsmail/A 52781-2018.docx", "A 52781-2018")</f>
        <v/>
      </c>
      <c r="X342">
        <f>HYPERLINK("https://klasma.github.io/Logging_KALMAR/tillsyn/A 52781-2018.docx", "A 52781-2018")</f>
        <v/>
      </c>
      <c r="Y342">
        <f>HYPERLINK("https://klasma.github.io/Logging_KALMAR/tillsynsmail/A 52781-2018.docx", "A 52781-2018")</f>
        <v/>
      </c>
    </row>
    <row r="343" ht="15" customHeight="1">
      <c r="A343" t="inlineStr">
        <is>
          <t>A 55105-2018</t>
        </is>
      </c>
      <c r="B343" s="1" t="n">
        <v>43396</v>
      </c>
      <c r="C343" s="1" t="n">
        <v>45205</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HYPERLINK("https://klasma.github.io/Logging_BORGHOLM/artfynd/A 55105-2018.xlsx", "A 55105-2018")</f>
        <v/>
      </c>
      <c r="T343">
        <f>HYPERLINK("https://klasma.github.io/Logging_BORGHOLM/kartor/A 55105-2018.png", "A 55105-2018")</f>
        <v/>
      </c>
      <c r="V343">
        <f>HYPERLINK("https://klasma.github.io/Logging_BORGHOLM/klagomål/A 55105-2018.docx", "A 55105-2018")</f>
        <v/>
      </c>
      <c r="W343">
        <f>HYPERLINK("https://klasma.github.io/Logging_BORGHOLM/klagomålsmail/A 55105-2018.docx", "A 55105-2018")</f>
        <v/>
      </c>
      <c r="X343">
        <f>HYPERLINK("https://klasma.github.io/Logging_BORGHOLM/tillsyn/A 55105-2018.docx", "A 55105-2018")</f>
        <v/>
      </c>
      <c r="Y343">
        <f>HYPERLINK("https://klasma.github.io/Logging_BORGHOLM/tillsynsmail/A 55105-2018.docx", "A 55105-2018")</f>
        <v/>
      </c>
    </row>
    <row r="344" ht="15" customHeight="1">
      <c r="A344" t="inlineStr">
        <is>
          <t>A 56760-2018</t>
        </is>
      </c>
      <c r="B344" s="1" t="n">
        <v>43402</v>
      </c>
      <c r="C344" s="1" t="n">
        <v>45205</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HYPERLINK("https://klasma.github.io/Logging_KALMAR/artfynd/A 56760-2018.xlsx", "A 56760-2018")</f>
        <v/>
      </c>
      <c r="T344">
        <f>HYPERLINK("https://klasma.github.io/Logging_KALMAR/kartor/A 56760-2018.png", "A 56760-2018")</f>
        <v/>
      </c>
      <c r="V344">
        <f>HYPERLINK("https://klasma.github.io/Logging_KALMAR/klagomål/A 56760-2018.docx", "A 56760-2018")</f>
        <v/>
      </c>
      <c r="W344">
        <f>HYPERLINK("https://klasma.github.io/Logging_KALMAR/klagomålsmail/A 56760-2018.docx", "A 56760-2018")</f>
        <v/>
      </c>
      <c r="X344">
        <f>HYPERLINK("https://klasma.github.io/Logging_KALMAR/tillsyn/A 56760-2018.docx", "A 56760-2018")</f>
        <v/>
      </c>
      <c r="Y344">
        <f>HYPERLINK("https://klasma.github.io/Logging_KALMAR/tillsynsmail/A 56760-2018.docx", "A 56760-2018")</f>
        <v/>
      </c>
    </row>
    <row r="345" ht="15" customHeight="1">
      <c r="A345" t="inlineStr">
        <is>
          <t>A 57216-2018</t>
        </is>
      </c>
      <c r="B345" s="1" t="n">
        <v>43403</v>
      </c>
      <c r="C345" s="1" t="n">
        <v>45205</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HYPERLINK("https://klasma.github.io/Logging_BORGHOLM/artfynd/A 57216-2018.xlsx", "A 57216-2018")</f>
        <v/>
      </c>
      <c r="T345">
        <f>HYPERLINK("https://klasma.github.io/Logging_BORGHOLM/kartor/A 57216-2018.png", "A 57216-2018")</f>
        <v/>
      </c>
      <c r="V345">
        <f>HYPERLINK("https://klasma.github.io/Logging_BORGHOLM/klagomål/A 57216-2018.docx", "A 57216-2018")</f>
        <v/>
      </c>
      <c r="W345">
        <f>HYPERLINK("https://klasma.github.io/Logging_BORGHOLM/klagomålsmail/A 57216-2018.docx", "A 57216-2018")</f>
        <v/>
      </c>
      <c r="X345">
        <f>HYPERLINK("https://klasma.github.io/Logging_BORGHOLM/tillsyn/A 57216-2018.docx", "A 57216-2018")</f>
        <v/>
      </c>
      <c r="Y345">
        <f>HYPERLINK("https://klasma.github.io/Logging_BORGHOLM/tillsynsmail/A 57216-2018.docx", "A 57216-2018")</f>
        <v/>
      </c>
    </row>
    <row r="346" ht="15" customHeight="1">
      <c r="A346" t="inlineStr">
        <is>
          <t>A 59892-2018</t>
        </is>
      </c>
      <c r="B346" s="1" t="n">
        <v>43419</v>
      </c>
      <c r="C346" s="1" t="n">
        <v>45205</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HYPERLINK("https://klasma.github.io/Logging_VIMMERBY/artfynd/A 59892-2018.xlsx", "A 59892-2018")</f>
        <v/>
      </c>
      <c r="T346">
        <f>HYPERLINK("https://klasma.github.io/Logging_VIMMERBY/kartor/A 59892-2018.png", "A 59892-2018")</f>
        <v/>
      </c>
      <c r="V346">
        <f>HYPERLINK("https://klasma.github.io/Logging_VIMMERBY/klagomål/A 59892-2018.docx", "A 59892-2018")</f>
        <v/>
      </c>
      <c r="W346">
        <f>HYPERLINK("https://klasma.github.io/Logging_VIMMERBY/klagomålsmail/A 59892-2018.docx", "A 59892-2018")</f>
        <v/>
      </c>
      <c r="X346">
        <f>HYPERLINK("https://klasma.github.io/Logging_VIMMERBY/tillsyn/A 59892-2018.docx", "A 59892-2018")</f>
        <v/>
      </c>
      <c r="Y346">
        <f>HYPERLINK("https://klasma.github.io/Logging_VIMMERBY/tillsynsmail/A 59892-2018.docx", "A 59892-2018")</f>
        <v/>
      </c>
    </row>
    <row r="347" ht="15" customHeight="1">
      <c r="A347" t="inlineStr">
        <is>
          <t>A 60463-2018</t>
        </is>
      </c>
      <c r="B347" s="1" t="n">
        <v>43420</v>
      </c>
      <c r="C347" s="1" t="n">
        <v>45205</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HYPERLINK("https://klasma.github.io/Logging_OSKARSHAMN/artfynd/A 60463-2018.xlsx", "A 60463-2018")</f>
        <v/>
      </c>
      <c r="T347">
        <f>HYPERLINK("https://klasma.github.io/Logging_OSKARSHAMN/kartor/A 60463-2018.png", "A 60463-2018")</f>
        <v/>
      </c>
      <c r="V347">
        <f>HYPERLINK("https://klasma.github.io/Logging_OSKARSHAMN/klagomål/A 60463-2018.docx", "A 60463-2018")</f>
        <v/>
      </c>
      <c r="W347">
        <f>HYPERLINK("https://klasma.github.io/Logging_OSKARSHAMN/klagomålsmail/A 60463-2018.docx", "A 60463-2018")</f>
        <v/>
      </c>
      <c r="X347">
        <f>HYPERLINK("https://klasma.github.io/Logging_OSKARSHAMN/tillsyn/A 60463-2018.docx", "A 60463-2018")</f>
        <v/>
      </c>
      <c r="Y347">
        <f>HYPERLINK("https://klasma.github.io/Logging_OSKARSHAMN/tillsynsmail/A 60463-2018.docx", "A 60463-2018")</f>
        <v/>
      </c>
    </row>
    <row r="348" ht="15" customHeight="1">
      <c r="A348" t="inlineStr">
        <is>
          <t>A 64017-2018</t>
        </is>
      </c>
      <c r="B348" s="1" t="n">
        <v>43430</v>
      </c>
      <c r="C348" s="1" t="n">
        <v>45205</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HYPERLINK("https://klasma.github.io/Logging_MONSTERAS/artfynd/A 64017-2018.xlsx", "A 64017-2018")</f>
        <v/>
      </c>
      <c r="T348">
        <f>HYPERLINK("https://klasma.github.io/Logging_MONSTERAS/kartor/A 64017-2018.png", "A 64017-2018")</f>
        <v/>
      </c>
      <c r="V348">
        <f>HYPERLINK("https://klasma.github.io/Logging_MONSTERAS/klagomål/A 64017-2018.docx", "A 64017-2018")</f>
        <v/>
      </c>
      <c r="W348">
        <f>HYPERLINK("https://klasma.github.io/Logging_MONSTERAS/klagomålsmail/A 64017-2018.docx", "A 64017-2018")</f>
        <v/>
      </c>
      <c r="X348">
        <f>HYPERLINK("https://klasma.github.io/Logging_MONSTERAS/tillsyn/A 64017-2018.docx", "A 64017-2018")</f>
        <v/>
      </c>
      <c r="Y348">
        <f>HYPERLINK("https://klasma.github.io/Logging_MONSTERAS/tillsynsmail/A 64017-2018.docx", "A 64017-2018")</f>
        <v/>
      </c>
    </row>
    <row r="349" ht="15" customHeight="1">
      <c r="A349" t="inlineStr">
        <is>
          <t>A 66856-2018</t>
        </is>
      </c>
      <c r="B349" s="1" t="n">
        <v>43438</v>
      </c>
      <c r="C349" s="1" t="n">
        <v>45205</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HYPERLINK("https://klasma.github.io/Logging_HULTSFRED/artfynd/A 66856-2018.xlsx", "A 66856-2018")</f>
        <v/>
      </c>
      <c r="T349">
        <f>HYPERLINK("https://klasma.github.io/Logging_HULTSFRED/kartor/A 66856-2018.png", "A 66856-2018")</f>
        <v/>
      </c>
      <c r="V349">
        <f>HYPERLINK("https://klasma.github.io/Logging_HULTSFRED/klagomål/A 66856-2018.docx", "A 66856-2018")</f>
        <v/>
      </c>
      <c r="W349">
        <f>HYPERLINK("https://klasma.github.io/Logging_HULTSFRED/klagomålsmail/A 66856-2018.docx", "A 66856-2018")</f>
        <v/>
      </c>
      <c r="X349">
        <f>HYPERLINK("https://klasma.github.io/Logging_HULTSFRED/tillsyn/A 66856-2018.docx", "A 66856-2018")</f>
        <v/>
      </c>
      <c r="Y349">
        <f>HYPERLINK("https://klasma.github.io/Logging_HULTSFRED/tillsynsmail/A 66856-2018.docx", "A 66856-2018")</f>
        <v/>
      </c>
    </row>
    <row r="350" ht="15" customHeight="1">
      <c r="A350" t="inlineStr">
        <is>
          <t>A 69586-2018</t>
        </is>
      </c>
      <c r="B350" s="1" t="n">
        <v>43446</v>
      </c>
      <c r="C350" s="1" t="n">
        <v>45205</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HYPERLINK("https://klasma.github.io/Logging_MORBYLANGA/artfynd/A 69586-2018.xlsx", "A 69586-2018")</f>
        <v/>
      </c>
      <c r="T350">
        <f>HYPERLINK("https://klasma.github.io/Logging_MORBYLANGA/kartor/A 69586-2018.png", "A 69586-2018")</f>
        <v/>
      </c>
      <c r="V350">
        <f>HYPERLINK("https://klasma.github.io/Logging_MORBYLANGA/klagomål/A 69586-2018.docx", "A 69586-2018")</f>
        <v/>
      </c>
      <c r="W350">
        <f>HYPERLINK("https://klasma.github.io/Logging_MORBYLANGA/klagomålsmail/A 69586-2018.docx", "A 69586-2018")</f>
        <v/>
      </c>
      <c r="X350">
        <f>HYPERLINK("https://klasma.github.io/Logging_MORBYLANGA/tillsyn/A 69586-2018.docx", "A 69586-2018")</f>
        <v/>
      </c>
      <c r="Y350">
        <f>HYPERLINK("https://klasma.github.io/Logging_MORBYLANGA/tillsynsmail/A 69586-2018.docx", "A 69586-2018")</f>
        <v/>
      </c>
    </row>
    <row r="351" ht="15" customHeight="1">
      <c r="A351" t="inlineStr">
        <is>
          <t>A 70266-2018</t>
        </is>
      </c>
      <c r="B351" s="1" t="n">
        <v>43449</v>
      </c>
      <c r="C351" s="1" t="n">
        <v>45205</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HYPERLINK("https://klasma.github.io/Logging_NYBRO/artfynd/A 70266-2018.xlsx", "A 70266-2018")</f>
        <v/>
      </c>
      <c r="T351">
        <f>HYPERLINK("https://klasma.github.io/Logging_NYBRO/kartor/A 70266-2018.png", "A 70266-2018")</f>
        <v/>
      </c>
      <c r="V351">
        <f>HYPERLINK("https://klasma.github.io/Logging_NYBRO/klagomål/A 70266-2018.docx", "A 70266-2018")</f>
        <v/>
      </c>
      <c r="W351">
        <f>HYPERLINK("https://klasma.github.io/Logging_NYBRO/klagomålsmail/A 70266-2018.docx", "A 70266-2018")</f>
        <v/>
      </c>
      <c r="X351">
        <f>HYPERLINK("https://klasma.github.io/Logging_NYBRO/tillsyn/A 70266-2018.docx", "A 70266-2018")</f>
        <v/>
      </c>
      <c r="Y351">
        <f>HYPERLINK("https://klasma.github.io/Logging_NYBRO/tillsynsmail/A 70266-2018.docx", "A 70266-2018")</f>
        <v/>
      </c>
    </row>
    <row r="352" ht="15" customHeight="1">
      <c r="A352" t="inlineStr">
        <is>
          <t>A 71541-2018</t>
        </is>
      </c>
      <c r="B352" s="1" t="n">
        <v>43452</v>
      </c>
      <c r="C352" s="1" t="n">
        <v>45205</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HYPERLINK("https://klasma.github.io/Logging_EMMABODA/artfynd/A 71541-2018.xlsx", "A 71541-2018")</f>
        <v/>
      </c>
      <c r="T352">
        <f>HYPERLINK("https://klasma.github.io/Logging_EMMABODA/kartor/A 71541-2018.png", "A 71541-2018")</f>
        <v/>
      </c>
      <c r="V352">
        <f>HYPERLINK("https://klasma.github.io/Logging_EMMABODA/klagomål/A 71541-2018.docx", "A 71541-2018")</f>
        <v/>
      </c>
      <c r="W352">
        <f>HYPERLINK("https://klasma.github.io/Logging_EMMABODA/klagomålsmail/A 71541-2018.docx", "A 71541-2018")</f>
        <v/>
      </c>
      <c r="X352">
        <f>HYPERLINK("https://klasma.github.io/Logging_EMMABODA/tillsyn/A 71541-2018.docx", "A 71541-2018")</f>
        <v/>
      </c>
      <c r="Y352">
        <f>HYPERLINK("https://klasma.github.io/Logging_EMMABODA/tillsynsmail/A 71541-2018.docx", "A 71541-2018")</f>
        <v/>
      </c>
    </row>
    <row r="353" ht="15" customHeight="1">
      <c r="A353" t="inlineStr">
        <is>
          <t>A 1303-2019</t>
        </is>
      </c>
      <c r="B353" s="1" t="n">
        <v>43473</v>
      </c>
      <c r="C353" s="1" t="n">
        <v>45205</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HYPERLINK("https://klasma.github.io/Logging_VIMMERBY/artfynd/A 1303-2019.xlsx", "A 1303-2019")</f>
        <v/>
      </c>
      <c r="T353">
        <f>HYPERLINK("https://klasma.github.io/Logging_VIMMERBY/kartor/A 1303-2019.png", "A 1303-2019")</f>
        <v/>
      </c>
      <c r="V353">
        <f>HYPERLINK("https://klasma.github.io/Logging_VIMMERBY/klagomål/A 1303-2019.docx", "A 1303-2019")</f>
        <v/>
      </c>
      <c r="W353">
        <f>HYPERLINK("https://klasma.github.io/Logging_VIMMERBY/klagomålsmail/A 1303-2019.docx", "A 1303-2019")</f>
        <v/>
      </c>
      <c r="X353">
        <f>HYPERLINK("https://klasma.github.io/Logging_VIMMERBY/tillsyn/A 1303-2019.docx", "A 1303-2019")</f>
        <v/>
      </c>
      <c r="Y353">
        <f>HYPERLINK("https://klasma.github.io/Logging_VIMMERBY/tillsynsmail/A 1303-2019.docx", "A 1303-2019")</f>
        <v/>
      </c>
    </row>
    <row r="354" ht="15" customHeight="1">
      <c r="A354" t="inlineStr">
        <is>
          <t>A 4926-2019</t>
        </is>
      </c>
      <c r="B354" s="1" t="n">
        <v>43479</v>
      </c>
      <c r="C354" s="1" t="n">
        <v>45205</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HYPERLINK("https://klasma.github.io/Logging_VASTERVIK/artfynd/A 4926-2019.xlsx", "A 4926-2019")</f>
        <v/>
      </c>
      <c r="T354">
        <f>HYPERLINK("https://klasma.github.io/Logging_VASTERVIK/kartor/A 4926-2019.png", "A 4926-2019")</f>
        <v/>
      </c>
      <c r="V354">
        <f>HYPERLINK("https://klasma.github.io/Logging_VASTERVIK/klagomål/A 4926-2019.docx", "A 4926-2019")</f>
        <v/>
      </c>
      <c r="W354">
        <f>HYPERLINK("https://klasma.github.io/Logging_VASTERVIK/klagomålsmail/A 4926-2019.docx", "A 4926-2019")</f>
        <v/>
      </c>
      <c r="X354">
        <f>HYPERLINK("https://klasma.github.io/Logging_VASTERVIK/tillsyn/A 4926-2019.docx", "A 4926-2019")</f>
        <v/>
      </c>
      <c r="Y354">
        <f>HYPERLINK("https://klasma.github.io/Logging_VASTERVIK/tillsynsmail/A 4926-2019.docx", "A 4926-2019")</f>
        <v/>
      </c>
    </row>
    <row r="355" ht="15" customHeight="1">
      <c r="A355" t="inlineStr">
        <is>
          <t>A 4365-2019</t>
        </is>
      </c>
      <c r="B355" s="1" t="n">
        <v>43483</v>
      </c>
      <c r="C355" s="1" t="n">
        <v>45205</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HYPERLINK("https://klasma.github.io/Logging_HOGSBY/artfynd/A 4365-2019.xlsx", "A 4365-2019")</f>
        <v/>
      </c>
      <c r="T355">
        <f>HYPERLINK("https://klasma.github.io/Logging_HOGSBY/kartor/A 4365-2019.png", "A 4365-2019")</f>
        <v/>
      </c>
      <c r="V355">
        <f>HYPERLINK("https://klasma.github.io/Logging_HOGSBY/klagomål/A 4365-2019.docx", "A 4365-2019")</f>
        <v/>
      </c>
      <c r="W355">
        <f>HYPERLINK("https://klasma.github.io/Logging_HOGSBY/klagomålsmail/A 4365-2019.docx", "A 4365-2019")</f>
        <v/>
      </c>
      <c r="X355">
        <f>HYPERLINK("https://klasma.github.io/Logging_HOGSBY/tillsyn/A 4365-2019.docx", "A 4365-2019")</f>
        <v/>
      </c>
      <c r="Y355">
        <f>HYPERLINK("https://klasma.github.io/Logging_HOGSBY/tillsynsmail/A 4365-2019.docx", "A 4365-2019")</f>
        <v/>
      </c>
    </row>
    <row r="356" ht="15" customHeight="1">
      <c r="A356" t="inlineStr">
        <is>
          <t>A 4513-2019</t>
        </is>
      </c>
      <c r="B356" s="1" t="n">
        <v>43486</v>
      </c>
      <c r="C356" s="1" t="n">
        <v>45205</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HYPERLINK("https://klasma.github.io/Logging_KALMAR/artfynd/A 4513-2019.xlsx", "A 4513-2019")</f>
        <v/>
      </c>
      <c r="T356">
        <f>HYPERLINK("https://klasma.github.io/Logging_KALMAR/kartor/A 4513-2019.png", "A 4513-2019")</f>
        <v/>
      </c>
      <c r="V356">
        <f>HYPERLINK("https://klasma.github.io/Logging_KALMAR/klagomål/A 4513-2019.docx", "A 4513-2019")</f>
        <v/>
      </c>
      <c r="W356">
        <f>HYPERLINK("https://klasma.github.io/Logging_KALMAR/klagomålsmail/A 4513-2019.docx", "A 4513-2019")</f>
        <v/>
      </c>
      <c r="X356">
        <f>HYPERLINK("https://klasma.github.io/Logging_KALMAR/tillsyn/A 4513-2019.docx", "A 4513-2019")</f>
        <v/>
      </c>
      <c r="Y356">
        <f>HYPERLINK("https://klasma.github.io/Logging_KALMAR/tillsynsmail/A 4513-2019.docx", "A 4513-2019")</f>
        <v/>
      </c>
    </row>
    <row r="357" ht="15" customHeight="1">
      <c r="A357" t="inlineStr">
        <is>
          <t>A 4895-2019</t>
        </is>
      </c>
      <c r="B357" s="1" t="n">
        <v>43487</v>
      </c>
      <c r="C357" s="1" t="n">
        <v>45205</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HYPERLINK("https://klasma.github.io/Logging_VIMMERBY/artfynd/A 4895-2019.xlsx", "A 4895-2019")</f>
        <v/>
      </c>
      <c r="T357">
        <f>HYPERLINK("https://klasma.github.io/Logging_VIMMERBY/kartor/A 4895-2019.png", "A 4895-2019")</f>
        <v/>
      </c>
      <c r="V357">
        <f>HYPERLINK("https://klasma.github.io/Logging_VIMMERBY/klagomål/A 4895-2019.docx", "A 4895-2019")</f>
        <v/>
      </c>
      <c r="W357">
        <f>HYPERLINK("https://klasma.github.io/Logging_VIMMERBY/klagomålsmail/A 4895-2019.docx", "A 4895-2019")</f>
        <v/>
      </c>
      <c r="X357">
        <f>HYPERLINK("https://klasma.github.io/Logging_VIMMERBY/tillsyn/A 4895-2019.docx", "A 4895-2019")</f>
        <v/>
      </c>
      <c r="Y357">
        <f>HYPERLINK("https://klasma.github.io/Logging_VIMMERBY/tillsynsmail/A 4895-2019.docx", "A 4895-2019")</f>
        <v/>
      </c>
    </row>
    <row r="358" ht="15" customHeight="1">
      <c r="A358" t="inlineStr">
        <is>
          <t>A 6325-2019</t>
        </is>
      </c>
      <c r="B358" s="1" t="n">
        <v>43493</v>
      </c>
      <c r="C358" s="1" t="n">
        <v>45205</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HYPERLINK("https://klasma.github.io/Logging_HULTSFRED/artfynd/A 6325-2019.xlsx", "A 6325-2019")</f>
        <v/>
      </c>
      <c r="T358">
        <f>HYPERLINK("https://klasma.github.io/Logging_HULTSFRED/kartor/A 6325-2019.png", "A 6325-2019")</f>
        <v/>
      </c>
      <c r="V358">
        <f>HYPERLINK("https://klasma.github.io/Logging_HULTSFRED/klagomål/A 6325-2019.docx", "A 6325-2019")</f>
        <v/>
      </c>
      <c r="W358">
        <f>HYPERLINK("https://klasma.github.io/Logging_HULTSFRED/klagomålsmail/A 6325-2019.docx", "A 6325-2019")</f>
        <v/>
      </c>
      <c r="X358">
        <f>HYPERLINK("https://klasma.github.io/Logging_HULTSFRED/tillsyn/A 6325-2019.docx", "A 6325-2019")</f>
        <v/>
      </c>
      <c r="Y358">
        <f>HYPERLINK("https://klasma.github.io/Logging_HULTSFRED/tillsynsmail/A 6325-2019.docx", "A 6325-2019")</f>
        <v/>
      </c>
    </row>
    <row r="359" ht="15" customHeight="1">
      <c r="A359" t="inlineStr">
        <is>
          <t>A 6089-2019</t>
        </is>
      </c>
      <c r="B359" s="1" t="n">
        <v>43493</v>
      </c>
      <c r="C359" s="1" t="n">
        <v>45205</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HYPERLINK("https://klasma.github.io/Logging_MORBYLANGA/artfynd/A 6089-2019.xlsx", "A 6089-2019")</f>
        <v/>
      </c>
      <c r="T359">
        <f>HYPERLINK("https://klasma.github.io/Logging_MORBYLANGA/kartor/A 6089-2019.png", "A 6089-2019")</f>
        <v/>
      </c>
      <c r="V359">
        <f>HYPERLINK("https://klasma.github.io/Logging_MORBYLANGA/klagomål/A 6089-2019.docx", "A 6089-2019")</f>
        <v/>
      </c>
      <c r="W359">
        <f>HYPERLINK("https://klasma.github.io/Logging_MORBYLANGA/klagomålsmail/A 6089-2019.docx", "A 6089-2019")</f>
        <v/>
      </c>
      <c r="X359">
        <f>HYPERLINK("https://klasma.github.io/Logging_MORBYLANGA/tillsyn/A 6089-2019.docx", "A 6089-2019")</f>
        <v/>
      </c>
      <c r="Y359">
        <f>HYPERLINK("https://klasma.github.io/Logging_MORBYLANGA/tillsynsmail/A 6089-2019.docx", "A 6089-2019")</f>
        <v/>
      </c>
    </row>
    <row r="360" ht="15" customHeight="1">
      <c r="A360" t="inlineStr">
        <is>
          <t>A 6492-2019</t>
        </is>
      </c>
      <c r="B360" s="1" t="n">
        <v>43494</v>
      </c>
      <c r="C360" s="1" t="n">
        <v>45205</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HYPERLINK("https://klasma.github.io/Logging_TORSAS/artfynd/A 6492-2019.xlsx", "A 6492-2019")</f>
        <v/>
      </c>
      <c r="T360">
        <f>HYPERLINK("https://klasma.github.io/Logging_TORSAS/kartor/A 6492-2019.png", "A 6492-2019")</f>
        <v/>
      </c>
      <c r="V360">
        <f>HYPERLINK("https://klasma.github.io/Logging_TORSAS/klagomål/A 6492-2019.docx", "A 6492-2019")</f>
        <v/>
      </c>
      <c r="W360">
        <f>HYPERLINK("https://klasma.github.io/Logging_TORSAS/klagomålsmail/A 6492-2019.docx", "A 6492-2019")</f>
        <v/>
      </c>
      <c r="X360">
        <f>HYPERLINK("https://klasma.github.io/Logging_TORSAS/tillsyn/A 6492-2019.docx", "A 6492-2019")</f>
        <v/>
      </c>
      <c r="Y360">
        <f>HYPERLINK("https://klasma.github.io/Logging_TORSAS/tillsynsmail/A 6492-2019.docx", "A 6492-2019")</f>
        <v/>
      </c>
    </row>
    <row r="361" ht="15" customHeight="1">
      <c r="A361" t="inlineStr">
        <is>
          <t>A 9969-2019</t>
        </is>
      </c>
      <c r="B361" s="1" t="n">
        <v>43509</v>
      </c>
      <c r="C361" s="1" t="n">
        <v>45205</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HYPERLINK("https://klasma.github.io/Logging_MORBYLANGA/artfynd/A 9969-2019.xlsx", "A 9969-2019")</f>
        <v/>
      </c>
      <c r="T361">
        <f>HYPERLINK("https://klasma.github.io/Logging_MORBYLANGA/kartor/A 9969-2019.png", "A 9969-2019")</f>
        <v/>
      </c>
      <c r="V361">
        <f>HYPERLINK("https://klasma.github.io/Logging_MORBYLANGA/klagomål/A 9969-2019.docx", "A 9969-2019")</f>
        <v/>
      </c>
      <c r="W361">
        <f>HYPERLINK("https://klasma.github.io/Logging_MORBYLANGA/klagomålsmail/A 9969-2019.docx", "A 9969-2019")</f>
        <v/>
      </c>
      <c r="X361">
        <f>HYPERLINK("https://klasma.github.io/Logging_MORBYLANGA/tillsyn/A 9969-2019.docx", "A 9969-2019")</f>
        <v/>
      </c>
      <c r="Y361">
        <f>HYPERLINK("https://klasma.github.io/Logging_MORBYLANGA/tillsynsmail/A 9969-2019.docx", "A 9969-2019")</f>
        <v/>
      </c>
    </row>
    <row r="362" ht="15" customHeight="1">
      <c r="A362" t="inlineStr">
        <is>
          <t>A 10741-2019</t>
        </is>
      </c>
      <c r="B362" s="1" t="n">
        <v>43514</v>
      </c>
      <c r="C362" s="1" t="n">
        <v>45205</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HYPERLINK("https://klasma.github.io/Logging_VASTERVIK/artfynd/A 10741-2019.xlsx", "A 10741-2019")</f>
        <v/>
      </c>
      <c r="T362">
        <f>HYPERLINK("https://klasma.github.io/Logging_VASTERVIK/kartor/A 10741-2019.png", "A 10741-2019")</f>
        <v/>
      </c>
      <c r="U362">
        <f>HYPERLINK("https://klasma.github.io/Logging_VASTERVIK/knärot/A 10741-2019.png", "A 10741-2019")</f>
        <v/>
      </c>
      <c r="V362">
        <f>HYPERLINK("https://klasma.github.io/Logging_VASTERVIK/klagomål/A 10741-2019.docx", "A 10741-2019")</f>
        <v/>
      </c>
      <c r="W362">
        <f>HYPERLINK("https://klasma.github.io/Logging_VASTERVIK/klagomålsmail/A 10741-2019.docx", "A 10741-2019")</f>
        <v/>
      </c>
      <c r="X362">
        <f>HYPERLINK("https://klasma.github.io/Logging_VASTERVIK/tillsyn/A 10741-2019.docx", "A 10741-2019")</f>
        <v/>
      </c>
      <c r="Y362">
        <f>HYPERLINK("https://klasma.github.io/Logging_VASTERVIK/tillsynsmail/A 10741-2019.docx", "A 10741-2019")</f>
        <v/>
      </c>
    </row>
    <row r="363" ht="15" customHeight="1">
      <c r="A363" t="inlineStr">
        <is>
          <t>A 12140-2019</t>
        </is>
      </c>
      <c r="B363" s="1" t="n">
        <v>43521</v>
      </c>
      <c r="C363" s="1" t="n">
        <v>45205</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HYPERLINK("https://klasma.github.io/Logging_NYBRO/artfynd/A 12140-2019.xlsx", "A 12140-2019")</f>
        <v/>
      </c>
      <c r="T363">
        <f>HYPERLINK("https://klasma.github.io/Logging_NYBRO/kartor/A 12140-2019.png", "A 12140-2019")</f>
        <v/>
      </c>
      <c r="V363">
        <f>HYPERLINK("https://klasma.github.io/Logging_NYBRO/klagomål/A 12140-2019.docx", "A 12140-2019")</f>
        <v/>
      </c>
      <c r="W363">
        <f>HYPERLINK("https://klasma.github.io/Logging_NYBRO/klagomålsmail/A 12140-2019.docx", "A 12140-2019")</f>
        <v/>
      </c>
      <c r="X363">
        <f>HYPERLINK("https://klasma.github.io/Logging_NYBRO/tillsyn/A 12140-2019.docx", "A 12140-2019")</f>
        <v/>
      </c>
      <c r="Y363">
        <f>HYPERLINK("https://klasma.github.io/Logging_NYBRO/tillsynsmail/A 12140-2019.docx", "A 12140-2019")</f>
        <v/>
      </c>
    </row>
    <row r="364" ht="15" customHeight="1">
      <c r="A364" t="inlineStr">
        <is>
          <t>A 13362-2019</t>
        </is>
      </c>
      <c r="B364" s="1" t="n">
        <v>43529</v>
      </c>
      <c r="C364" s="1" t="n">
        <v>45205</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HYPERLINK("https://klasma.github.io/Logging_HOGSBY/artfynd/A 13362-2019.xlsx", "A 13362-2019")</f>
        <v/>
      </c>
      <c r="T364">
        <f>HYPERLINK("https://klasma.github.io/Logging_HOGSBY/kartor/A 13362-2019.png", "A 13362-2019")</f>
        <v/>
      </c>
      <c r="V364">
        <f>HYPERLINK("https://klasma.github.io/Logging_HOGSBY/klagomål/A 13362-2019.docx", "A 13362-2019")</f>
        <v/>
      </c>
      <c r="W364">
        <f>HYPERLINK("https://klasma.github.io/Logging_HOGSBY/klagomålsmail/A 13362-2019.docx", "A 13362-2019")</f>
        <v/>
      </c>
      <c r="X364">
        <f>HYPERLINK("https://klasma.github.io/Logging_HOGSBY/tillsyn/A 13362-2019.docx", "A 13362-2019")</f>
        <v/>
      </c>
      <c r="Y364">
        <f>HYPERLINK("https://klasma.github.io/Logging_HOGSBY/tillsynsmail/A 13362-2019.docx", "A 13362-2019")</f>
        <v/>
      </c>
    </row>
    <row r="365" ht="15" customHeight="1">
      <c r="A365" t="inlineStr">
        <is>
          <t>A 13783-2019</t>
        </is>
      </c>
      <c r="B365" s="1" t="n">
        <v>43531</v>
      </c>
      <c r="C365" s="1" t="n">
        <v>45205</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HYPERLINK("https://klasma.github.io/Logging_KALMAR/artfynd/A 13783-2019.xlsx", "A 13783-2019")</f>
        <v/>
      </c>
      <c r="T365">
        <f>HYPERLINK("https://klasma.github.io/Logging_KALMAR/kartor/A 13783-2019.png", "A 13783-2019")</f>
        <v/>
      </c>
      <c r="V365">
        <f>HYPERLINK("https://klasma.github.io/Logging_KALMAR/klagomål/A 13783-2019.docx", "A 13783-2019")</f>
        <v/>
      </c>
      <c r="W365">
        <f>HYPERLINK("https://klasma.github.io/Logging_KALMAR/klagomålsmail/A 13783-2019.docx", "A 13783-2019")</f>
        <v/>
      </c>
      <c r="X365">
        <f>HYPERLINK("https://klasma.github.io/Logging_KALMAR/tillsyn/A 13783-2019.docx", "A 13783-2019")</f>
        <v/>
      </c>
      <c r="Y365">
        <f>HYPERLINK("https://klasma.github.io/Logging_KALMAR/tillsynsmail/A 13783-2019.docx", "A 13783-2019")</f>
        <v/>
      </c>
    </row>
    <row r="366" ht="15" customHeight="1">
      <c r="A366" t="inlineStr">
        <is>
          <t>A 15043-2019</t>
        </is>
      </c>
      <c r="B366" s="1" t="n">
        <v>43538</v>
      </c>
      <c r="C366" s="1" t="n">
        <v>45205</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HYPERLINK("https://klasma.github.io/Logging_VASTERVIK/artfynd/A 15043-2019.xlsx", "A 15043-2019")</f>
        <v/>
      </c>
      <c r="T366">
        <f>HYPERLINK("https://klasma.github.io/Logging_VASTERVIK/kartor/A 15043-2019.png", "A 15043-2019")</f>
        <v/>
      </c>
      <c r="V366">
        <f>HYPERLINK("https://klasma.github.io/Logging_VASTERVIK/klagomål/A 15043-2019.docx", "A 15043-2019")</f>
        <v/>
      </c>
      <c r="W366">
        <f>HYPERLINK("https://klasma.github.io/Logging_VASTERVIK/klagomålsmail/A 15043-2019.docx", "A 15043-2019")</f>
        <v/>
      </c>
      <c r="X366">
        <f>HYPERLINK("https://klasma.github.io/Logging_VASTERVIK/tillsyn/A 15043-2019.docx", "A 15043-2019")</f>
        <v/>
      </c>
      <c r="Y366">
        <f>HYPERLINK("https://klasma.github.io/Logging_VASTERVIK/tillsynsmail/A 15043-2019.docx", "A 15043-2019")</f>
        <v/>
      </c>
    </row>
    <row r="367" ht="15" customHeight="1">
      <c r="A367" t="inlineStr">
        <is>
          <t>A 16334-2019</t>
        </is>
      </c>
      <c r="B367" s="1" t="n">
        <v>43545</v>
      </c>
      <c r="C367" s="1" t="n">
        <v>45205</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HYPERLINK("https://klasma.github.io/Logging_NYBRO/artfynd/A 16334-2019.xlsx", "A 16334-2019")</f>
        <v/>
      </c>
      <c r="T367">
        <f>HYPERLINK("https://klasma.github.io/Logging_NYBRO/kartor/A 16334-2019.png", "A 16334-2019")</f>
        <v/>
      </c>
      <c r="V367">
        <f>HYPERLINK("https://klasma.github.io/Logging_NYBRO/klagomål/A 16334-2019.docx", "A 16334-2019")</f>
        <v/>
      </c>
      <c r="W367">
        <f>HYPERLINK("https://klasma.github.io/Logging_NYBRO/klagomålsmail/A 16334-2019.docx", "A 16334-2019")</f>
        <v/>
      </c>
      <c r="X367">
        <f>HYPERLINK("https://klasma.github.io/Logging_NYBRO/tillsyn/A 16334-2019.docx", "A 16334-2019")</f>
        <v/>
      </c>
      <c r="Y367">
        <f>HYPERLINK("https://klasma.github.io/Logging_NYBRO/tillsynsmail/A 16334-2019.docx", "A 16334-2019")</f>
        <v/>
      </c>
    </row>
    <row r="368" ht="15" customHeight="1">
      <c r="A368" t="inlineStr">
        <is>
          <t>A 16332-2019</t>
        </is>
      </c>
      <c r="B368" s="1" t="n">
        <v>43545</v>
      </c>
      <c r="C368" s="1" t="n">
        <v>45205</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HYPERLINK("https://klasma.github.io/Logging_HULTSFRED/artfynd/A 16332-2019.xlsx", "A 16332-2019")</f>
        <v/>
      </c>
      <c r="T368">
        <f>HYPERLINK("https://klasma.github.io/Logging_HULTSFRED/kartor/A 16332-2019.png", "A 16332-2019")</f>
        <v/>
      </c>
      <c r="V368">
        <f>HYPERLINK("https://klasma.github.io/Logging_HULTSFRED/klagomål/A 16332-2019.docx", "A 16332-2019")</f>
        <v/>
      </c>
      <c r="W368">
        <f>HYPERLINK("https://klasma.github.io/Logging_HULTSFRED/klagomålsmail/A 16332-2019.docx", "A 16332-2019")</f>
        <v/>
      </c>
      <c r="X368">
        <f>HYPERLINK("https://klasma.github.io/Logging_HULTSFRED/tillsyn/A 16332-2019.docx", "A 16332-2019")</f>
        <v/>
      </c>
      <c r="Y368">
        <f>HYPERLINK("https://klasma.github.io/Logging_HULTSFRED/tillsynsmail/A 16332-2019.docx", "A 16332-2019")</f>
        <v/>
      </c>
    </row>
    <row r="369" ht="15" customHeight="1">
      <c r="A369" t="inlineStr">
        <is>
          <t>A 17819-2019</t>
        </is>
      </c>
      <c r="B369" s="1" t="n">
        <v>43556</v>
      </c>
      <c r="C369" s="1" t="n">
        <v>45205</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HYPERLINK("https://klasma.github.io/Logging_NYBRO/artfynd/A 17819-2019.xlsx", "A 17819-2019")</f>
        <v/>
      </c>
      <c r="T369">
        <f>HYPERLINK("https://klasma.github.io/Logging_NYBRO/kartor/A 17819-2019.png", "A 17819-2019")</f>
        <v/>
      </c>
      <c r="V369">
        <f>HYPERLINK("https://klasma.github.io/Logging_NYBRO/klagomål/A 17819-2019.docx", "A 17819-2019")</f>
        <v/>
      </c>
      <c r="W369">
        <f>HYPERLINK("https://klasma.github.io/Logging_NYBRO/klagomålsmail/A 17819-2019.docx", "A 17819-2019")</f>
        <v/>
      </c>
      <c r="X369">
        <f>HYPERLINK("https://klasma.github.io/Logging_NYBRO/tillsyn/A 17819-2019.docx", "A 17819-2019")</f>
        <v/>
      </c>
      <c r="Y369">
        <f>HYPERLINK("https://klasma.github.io/Logging_NYBRO/tillsynsmail/A 17819-2019.docx", "A 17819-2019")</f>
        <v/>
      </c>
    </row>
    <row r="370" ht="15" customHeight="1">
      <c r="A370" t="inlineStr">
        <is>
          <t>A 18650-2019</t>
        </is>
      </c>
      <c r="B370" s="1" t="n">
        <v>43559</v>
      </c>
      <c r="C370" s="1" t="n">
        <v>45205</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HYPERLINK("https://klasma.github.io/Logging_NYBRO/artfynd/A 18650-2019.xlsx", "A 18650-2019")</f>
        <v/>
      </c>
      <c r="T370">
        <f>HYPERLINK("https://klasma.github.io/Logging_NYBRO/kartor/A 18650-2019.png", "A 18650-2019")</f>
        <v/>
      </c>
      <c r="V370">
        <f>HYPERLINK("https://klasma.github.io/Logging_NYBRO/klagomål/A 18650-2019.docx", "A 18650-2019")</f>
        <v/>
      </c>
      <c r="W370">
        <f>HYPERLINK("https://klasma.github.io/Logging_NYBRO/klagomålsmail/A 18650-2019.docx", "A 18650-2019")</f>
        <v/>
      </c>
      <c r="X370">
        <f>HYPERLINK("https://klasma.github.io/Logging_NYBRO/tillsyn/A 18650-2019.docx", "A 18650-2019")</f>
        <v/>
      </c>
      <c r="Y370">
        <f>HYPERLINK("https://klasma.github.io/Logging_NYBRO/tillsynsmail/A 18650-2019.docx", "A 18650-2019")</f>
        <v/>
      </c>
    </row>
    <row r="371" ht="15" customHeight="1">
      <c r="A371" t="inlineStr">
        <is>
          <t>A 19055-2019</t>
        </is>
      </c>
      <c r="B371" s="1" t="n">
        <v>43563</v>
      </c>
      <c r="C371" s="1" t="n">
        <v>45205</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HYPERLINK("https://klasma.github.io/Logging_VIMMERBY/artfynd/A 19055-2019.xlsx", "A 19055-2019")</f>
        <v/>
      </c>
      <c r="T371">
        <f>HYPERLINK("https://klasma.github.io/Logging_VIMMERBY/kartor/A 19055-2019.png", "A 19055-2019")</f>
        <v/>
      </c>
      <c r="V371">
        <f>HYPERLINK("https://klasma.github.io/Logging_VIMMERBY/klagomål/A 19055-2019.docx", "A 19055-2019")</f>
        <v/>
      </c>
      <c r="W371">
        <f>HYPERLINK("https://klasma.github.io/Logging_VIMMERBY/klagomålsmail/A 19055-2019.docx", "A 19055-2019")</f>
        <v/>
      </c>
      <c r="X371">
        <f>HYPERLINK("https://klasma.github.io/Logging_VIMMERBY/tillsyn/A 19055-2019.docx", "A 19055-2019")</f>
        <v/>
      </c>
      <c r="Y371">
        <f>HYPERLINK("https://klasma.github.io/Logging_VIMMERBY/tillsynsmail/A 19055-2019.docx", "A 19055-2019")</f>
        <v/>
      </c>
    </row>
    <row r="372" ht="15" customHeight="1">
      <c r="A372" t="inlineStr">
        <is>
          <t>A 20046-2019</t>
        </is>
      </c>
      <c r="B372" s="1" t="n">
        <v>43570</v>
      </c>
      <c r="C372" s="1" t="n">
        <v>45205</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HYPERLINK("https://klasma.github.io/Logging_NYBRO/artfynd/A 20046-2019.xlsx", "A 20046-2019")</f>
        <v/>
      </c>
      <c r="T372">
        <f>HYPERLINK("https://klasma.github.io/Logging_NYBRO/kartor/A 20046-2019.png", "A 20046-2019")</f>
        <v/>
      </c>
      <c r="V372">
        <f>HYPERLINK("https://klasma.github.io/Logging_NYBRO/klagomål/A 20046-2019.docx", "A 20046-2019")</f>
        <v/>
      </c>
      <c r="W372">
        <f>HYPERLINK("https://klasma.github.io/Logging_NYBRO/klagomålsmail/A 20046-2019.docx", "A 20046-2019")</f>
        <v/>
      </c>
      <c r="X372">
        <f>HYPERLINK("https://klasma.github.io/Logging_NYBRO/tillsyn/A 20046-2019.docx", "A 20046-2019")</f>
        <v/>
      </c>
      <c r="Y372">
        <f>HYPERLINK("https://klasma.github.io/Logging_NYBRO/tillsynsmail/A 20046-2019.docx", "A 20046-2019")</f>
        <v/>
      </c>
    </row>
    <row r="373" ht="15" customHeight="1">
      <c r="A373" t="inlineStr">
        <is>
          <t>A 21100-2019</t>
        </is>
      </c>
      <c r="B373" s="1" t="n">
        <v>43578</v>
      </c>
      <c r="C373" s="1" t="n">
        <v>45205</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HYPERLINK("https://klasma.github.io/Logging_HOGSBY/artfynd/A 21100-2019.xlsx", "A 21100-2019")</f>
        <v/>
      </c>
      <c r="T373">
        <f>HYPERLINK("https://klasma.github.io/Logging_HOGSBY/kartor/A 21100-2019.png", "A 21100-2019")</f>
        <v/>
      </c>
      <c r="V373">
        <f>HYPERLINK("https://klasma.github.io/Logging_HOGSBY/klagomål/A 21100-2019.docx", "A 21100-2019")</f>
        <v/>
      </c>
      <c r="W373">
        <f>HYPERLINK("https://klasma.github.io/Logging_HOGSBY/klagomålsmail/A 21100-2019.docx", "A 21100-2019")</f>
        <v/>
      </c>
      <c r="X373">
        <f>HYPERLINK("https://klasma.github.io/Logging_HOGSBY/tillsyn/A 21100-2019.docx", "A 21100-2019")</f>
        <v/>
      </c>
      <c r="Y373">
        <f>HYPERLINK("https://klasma.github.io/Logging_HOGSBY/tillsynsmail/A 21100-2019.docx", "A 21100-2019")</f>
        <v/>
      </c>
    </row>
    <row r="374" ht="15" customHeight="1">
      <c r="A374" t="inlineStr">
        <is>
          <t>A 21143-2019</t>
        </is>
      </c>
      <c r="B374" s="1" t="n">
        <v>43579</v>
      </c>
      <c r="C374" s="1" t="n">
        <v>45205</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HYPERLINK("https://klasma.github.io/Logging_TORSAS/artfynd/A 21143-2019.xlsx", "A 21143-2019")</f>
        <v/>
      </c>
      <c r="T374">
        <f>HYPERLINK("https://klasma.github.io/Logging_TORSAS/kartor/A 21143-2019.png", "A 21143-2019")</f>
        <v/>
      </c>
      <c r="V374">
        <f>HYPERLINK("https://klasma.github.io/Logging_TORSAS/klagomål/A 21143-2019.docx", "A 21143-2019")</f>
        <v/>
      </c>
      <c r="W374">
        <f>HYPERLINK("https://klasma.github.io/Logging_TORSAS/klagomålsmail/A 21143-2019.docx", "A 21143-2019")</f>
        <v/>
      </c>
      <c r="X374">
        <f>HYPERLINK("https://klasma.github.io/Logging_TORSAS/tillsyn/A 21143-2019.docx", "A 21143-2019")</f>
        <v/>
      </c>
      <c r="Y374">
        <f>HYPERLINK("https://klasma.github.io/Logging_TORSAS/tillsynsmail/A 21143-2019.docx", "A 21143-2019")</f>
        <v/>
      </c>
    </row>
    <row r="375" ht="15" customHeight="1">
      <c r="A375" t="inlineStr">
        <is>
          <t>A 21406-2019</t>
        </is>
      </c>
      <c r="B375" s="1" t="n">
        <v>43580</v>
      </c>
      <c r="C375" s="1" t="n">
        <v>45205</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HYPERLINK("https://klasma.github.io/Logging_NYBRO/artfynd/A 21406-2019.xlsx", "A 21406-2019")</f>
        <v/>
      </c>
      <c r="T375">
        <f>HYPERLINK("https://klasma.github.io/Logging_NYBRO/kartor/A 21406-2019.png", "A 21406-2019")</f>
        <v/>
      </c>
      <c r="V375">
        <f>HYPERLINK("https://klasma.github.io/Logging_NYBRO/klagomål/A 21406-2019.docx", "A 21406-2019")</f>
        <v/>
      </c>
      <c r="W375">
        <f>HYPERLINK("https://klasma.github.io/Logging_NYBRO/klagomålsmail/A 21406-2019.docx", "A 21406-2019")</f>
        <v/>
      </c>
      <c r="X375">
        <f>HYPERLINK("https://klasma.github.io/Logging_NYBRO/tillsyn/A 21406-2019.docx", "A 21406-2019")</f>
        <v/>
      </c>
      <c r="Y375">
        <f>HYPERLINK("https://klasma.github.io/Logging_NYBRO/tillsynsmail/A 21406-2019.docx", "A 21406-2019")</f>
        <v/>
      </c>
    </row>
    <row r="376" ht="15" customHeight="1">
      <c r="A376" t="inlineStr">
        <is>
          <t>A 22903-2019</t>
        </is>
      </c>
      <c r="B376" s="1" t="n">
        <v>43591</v>
      </c>
      <c r="C376" s="1" t="n">
        <v>45205</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HYPERLINK("https://klasma.github.io/Logging_HULTSFRED/artfynd/A 22903-2019.xlsx", "A 22903-2019")</f>
        <v/>
      </c>
      <c r="T376">
        <f>HYPERLINK("https://klasma.github.io/Logging_HULTSFRED/kartor/A 22903-2019.png", "A 22903-2019")</f>
        <v/>
      </c>
      <c r="U376">
        <f>HYPERLINK("https://klasma.github.io/Logging_HULTSFRED/knärot/A 22903-2019.png", "A 22903-2019")</f>
        <v/>
      </c>
      <c r="V376">
        <f>HYPERLINK("https://klasma.github.io/Logging_HULTSFRED/klagomål/A 22903-2019.docx", "A 22903-2019")</f>
        <v/>
      </c>
      <c r="W376">
        <f>HYPERLINK("https://klasma.github.io/Logging_HULTSFRED/klagomålsmail/A 22903-2019.docx", "A 22903-2019")</f>
        <v/>
      </c>
      <c r="X376">
        <f>HYPERLINK("https://klasma.github.io/Logging_HULTSFRED/tillsyn/A 22903-2019.docx", "A 22903-2019")</f>
        <v/>
      </c>
      <c r="Y376">
        <f>HYPERLINK("https://klasma.github.io/Logging_HULTSFRED/tillsynsmail/A 22903-2019.docx", "A 22903-2019")</f>
        <v/>
      </c>
    </row>
    <row r="377" ht="15" customHeight="1">
      <c r="A377" t="inlineStr">
        <is>
          <t>A 23194-2019</t>
        </is>
      </c>
      <c r="B377" s="1" t="n">
        <v>43592</v>
      </c>
      <c r="C377" s="1" t="n">
        <v>45205</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HYPERLINK("https://klasma.github.io/Logging_BORGHOLM/artfynd/A 23194-2019.xlsx", "A 23194-2019")</f>
        <v/>
      </c>
      <c r="T377">
        <f>HYPERLINK("https://klasma.github.io/Logging_BORGHOLM/kartor/A 23194-2019.png", "A 23194-2019")</f>
        <v/>
      </c>
      <c r="V377">
        <f>HYPERLINK("https://klasma.github.io/Logging_BORGHOLM/klagomål/A 23194-2019.docx", "A 23194-2019")</f>
        <v/>
      </c>
      <c r="W377">
        <f>HYPERLINK("https://klasma.github.io/Logging_BORGHOLM/klagomålsmail/A 23194-2019.docx", "A 23194-2019")</f>
        <v/>
      </c>
      <c r="X377">
        <f>HYPERLINK("https://klasma.github.io/Logging_BORGHOLM/tillsyn/A 23194-2019.docx", "A 23194-2019")</f>
        <v/>
      </c>
      <c r="Y377">
        <f>HYPERLINK("https://klasma.github.io/Logging_BORGHOLM/tillsynsmail/A 23194-2019.docx", "A 23194-2019")</f>
        <v/>
      </c>
    </row>
    <row r="378" ht="15" customHeight="1">
      <c r="A378" t="inlineStr">
        <is>
          <t>A 25168-2019</t>
        </is>
      </c>
      <c r="B378" s="1" t="n">
        <v>43605</v>
      </c>
      <c r="C378" s="1" t="n">
        <v>45205</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HYPERLINK("https://klasma.github.io/Logging_KALMAR/artfynd/A 25168-2019.xlsx", "A 25168-2019")</f>
        <v/>
      </c>
      <c r="T378">
        <f>HYPERLINK("https://klasma.github.io/Logging_KALMAR/kartor/A 25168-2019.png", "A 25168-2019")</f>
        <v/>
      </c>
      <c r="V378">
        <f>HYPERLINK("https://klasma.github.io/Logging_KALMAR/klagomål/A 25168-2019.docx", "A 25168-2019")</f>
        <v/>
      </c>
      <c r="W378">
        <f>HYPERLINK("https://klasma.github.io/Logging_KALMAR/klagomålsmail/A 25168-2019.docx", "A 25168-2019")</f>
        <v/>
      </c>
      <c r="X378">
        <f>HYPERLINK("https://klasma.github.io/Logging_KALMAR/tillsyn/A 25168-2019.docx", "A 25168-2019")</f>
        <v/>
      </c>
      <c r="Y378">
        <f>HYPERLINK("https://klasma.github.io/Logging_KALMAR/tillsynsmail/A 25168-2019.docx", "A 25168-2019")</f>
        <v/>
      </c>
    </row>
    <row r="379" ht="15" customHeight="1">
      <c r="A379" t="inlineStr">
        <is>
          <t>A 25190-2019</t>
        </is>
      </c>
      <c r="B379" s="1" t="n">
        <v>43605</v>
      </c>
      <c r="C379" s="1" t="n">
        <v>45205</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HYPERLINK("https://klasma.github.io/Logging_HOGSBY/artfynd/A 25190-2019.xlsx", "A 25190-2019")</f>
        <v/>
      </c>
      <c r="T379">
        <f>HYPERLINK("https://klasma.github.io/Logging_HOGSBY/kartor/A 25190-2019.png", "A 25190-2019")</f>
        <v/>
      </c>
      <c r="U379">
        <f>HYPERLINK("https://klasma.github.io/Logging_HOGSBY/knärot/A 25190-2019.png", "A 25190-2019")</f>
        <v/>
      </c>
      <c r="V379">
        <f>HYPERLINK("https://klasma.github.io/Logging_HOGSBY/klagomål/A 25190-2019.docx", "A 25190-2019")</f>
        <v/>
      </c>
      <c r="W379">
        <f>HYPERLINK("https://klasma.github.io/Logging_HOGSBY/klagomålsmail/A 25190-2019.docx", "A 25190-2019")</f>
        <v/>
      </c>
      <c r="X379">
        <f>HYPERLINK("https://klasma.github.io/Logging_HOGSBY/tillsyn/A 25190-2019.docx", "A 25190-2019")</f>
        <v/>
      </c>
      <c r="Y379">
        <f>HYPERLINK("https://klasma.github.io/Logging_HOGSBY/tillsynsmail/A 25190-2019.docx", "A 25190-2019")</f>
        <v/>
      </c>
    </row>
    <row r="380" ht="15" customHeight="1">
      <c r="A380" t="inlineStr">
        <is>
          <t>A 26448-2019</t>
        </is>
      </c>
      <c r="B380" s="1" t="n">
        <v>43612</v>
      </c>
      <c r="C380" s="1" t="n">
        <v>45205</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HYPERLINK("https://klasma.github.io/Logging_HOGSBY/artfynd/A 26448-2019.xlsx", "A 26448-2019")</f>
        <v/>
      </c>
      <c r="T380">
        <f>HYPERLINK("https://klasma.github.io/Logging_HOGSBY/kartor/A 26448-2019.png", "A 26448-2019")</f>
        <v/>
      </c>
      <c r="V380">
        <f>HYPERLINK("https://klasma.github.io/Logging_HOGSBY/klagomål/A 26448-2019.docx", "A 26448-2019")</f>
        <v/>
      </c>
      <c r="W380">
        <f>HYPERLINK("https://klasma.github.io/Logging_HOGSBY/klagomålsmail/A 26448-2019.docx", "A 26448-2019")</f>
        <v/>
      </c>
      <c r="X380">
        <f>HYPERLINK("https://klasma.github.io/Logging_HOGSBY/tillsyn/A 26448-2019.docx", "A 26448-2019")</f>
        <v/>
      </c>
      <c r="Y380">
        <f>HYPERLINK("https://klasma.github.io/Logging_HOGSBY/tillsynsmail/A 26448-2019.docx", "A 26448-2019")</f>
        <v/>
      </c>
    </row>
    <row r="381" ht="15" customHeight="1">
      <c r="A381" t="inlineStr">
        <is>
          <t>A 27200-2019</t>
        </is>
      </c>
      <c r="B381" s="1" t="n">
        <v>43614</v>
      </c>
      <c r="C381" s="1" t="n">
        <v>45205</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HYPERLINK("https://klasma.github.io/Logging_VASTERVIK/artfynd/A 27200-2019.xlsx", "A 27200-2019")</f>
        <v/>
      </c>
      <c r="T381">
        <f>HYPERLINK("https://klasma.github.io/Logging_VASTERVIK/kartor/A 27200-2019.png", "A 27200-2019")</f>
        <v/>
      </c>
      <c r="V381">
        <f>HYPERLINK("https://klasma.github.io/Logging_VASTERVIK/klagomål/A 27200-2019.docx", "A 27200-2019")</f>
        <v/>
      </c>
      <c r="W381">
        <f>HYPERLINK("https://klasma.github.io/Logging_VASTERVIK/klagomålsmail/A 27200-2019.docx", "A 27200-2019")</f>
        <v/>
      </c>
      <c r="X381">
        <f>HYPERLINK("https://klasma.github.io/Logging_VASTERVIK/tillsyn/A 27200-2019.docx", "A 27200-2019")</f>
        <v/>
      </c>
      <c r="Y381">
        <f>HYPERLINK("https://klasma.github.io/Logging_VASTERVIK/tillsynsmail/A 27200-2019.docx", "A 27200-2019")</f>
        <v/>
      </c>
    </row>
    <row r="382" ht="15" customHeight="1">
      <c r="A382" t="inlineStr">
        <is>
          <t>A 26976-2019</t>
        </is>
      </c>
      <c r="B382" s="1" t="n">
        <v>43614</v>
      </c>
      <c r="C382" s="1" t="n">
        <v>45205</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HYPERLINK("https://klasma.github.io/Logging_KALMAR/artfynd/A 26976-2019.xlsx", "A 26976-2019")</f>
        <v/>
      </c>
      <c r="T382">
        <f>HYPERLINK("https://klasma.github.io/Logging_KALMAR/kartor/A 26976-2019.png", "A 26976-2019")</f>
        <v/>
      </c>
      <c r="V382">
        <f>HYPERLINK("https://klasma.github.io/Logging_KALMAR/klagomål/A 26976-2019.docx", "A 26976-2019")</f>
        <v/>
      </c>
      <c r="W382">
        <f>HYPERLINK("https://klasma.github.io/Logging_KALMAR/klagomålsmail/A 26976-2019.docx", "A 26976-2019")</f>
        <v/>
      </c>
      <c r="X382">
        <f>HYPERLINK("https://klasma.github.io/Logging_KALMAR/tillsyn/A 26976-2019.docx", "A 26976-2019")</f>
        <v/>
      </c>
      <c r="Y382">
        <f>HYPERLINK("https://klasma.github.io/Logging_KALMAR/tillsynsmail/A 26976-2019.docx", "A 26976-2019")</f>
        <v/>
      </c>
    </row>
    <row r="383" ht="15" customHeight="1">
      <c r="A383" t="inlineStr">
        <is>
          <t>A 27203-2019</t>
        </is>
      </c>
      <c r="B383" s="1" t="n">
        <v>43614</v>
      </c>
      <c r="C383" s="1" t="n">
        <v>45205</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HYPERLINK("https://klasma.github.io/Logging_VASTERVIK/artfynd/A 27203-2019.xlsx", "A 27203-2019")</f>
        <v/>
      </c>
      <c r="T383">
        <f>HYPERLINK("https://klasma.github.io/Logging_VASTERVIK/kartor/A 27203-2019.png", "A 27203-2019")</f>
        <v/>
      </c>
      <c r="V383">
        <f>HYPERLINK("https://klasma.github.io/Logging_VASTERVIK/klagomål/A 27203-2019.docx", "A 27203-2019")</f>
        <v/>
      </c>
      <c r="W383">
        <f>HYPERLINK("https://klasma.github.io/Logging_VASTERVIK/klagomålsmail/A 27203-2019.docx", "A 27203-2019")</f>
        <v/>
      </c>
      <c r="X383">
        <f>HYPERLINK("https://klasma.github.io/Logging_VASTERVIK/tillsyn/A 27203-2019.docx", "A 27203-2019")</f>
        <v/>
      </c>
      <c r="Y383">
        <f>HYPERLINK("https://klasma.github.io/Logging_VASTERVIK/tillsynsmail/A 27203-2019.docx", "A 27203-2019")</f>
        <v/>
      </c>
    </row>
    <row r="384" ht="15" customHeight="1">
      <c r="A384" t="inlineStr">
        <is>
          <t>A 27204-2019</t>
        </is>
      </c>
      <c r="B384" s="1" t="n">
        <v>43614</v>
      </c>
      <c r="C384" s="1" t="n">
        <v>45205</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HYPERLINK("https://klasma.github.io/Logging_VASTERVIK/artfynd/A 27204-2019.xlsx", "A 27204-2019")</f>
        <v/>
      </c>
      <c r="T384">
        <f>HYPERLINK("https://klasma.github.io/Logging_VASTERVIK/kartor/A 27204-2019.png", "A 27204-2019")</f>
        <v/>
      </c>
      <c r="V384">
        <f>HYPERLINK("https://klasma.github.io/Logging_VASTERVIK/klagomål/A 27204-2019.docx", "A 27204-2019")</f>
        <v/>
      </c>
      <c r="W384">
        <f>HYPERLINK("https://klasma.github.io/Logging_VASTERVIK/klagomålsmail/A 27204-2019.docx", "A 27204-2019")</f>
        <v/>
      </c>
      <c r="X384">
        <f>HYPERLINK("https://klasma.github.io/Logging_VASTERVIK/tillsyn/A 27204-2019.docx", "A 27204-2019")</f>
        <v/>
      </c>
      <c r="Y384">
        <f>HYPERLINK("https://klasma.github.io/Logging_VASTERVIK/tillsynsmail/A 27204-2019.docx", "A 27204-2019")</f>
        <v/>
      </c>
    </row>
    <row r="385" ht="15" customHeight="1">
      <c r="A385" t="inlineStr">
        <is>
          <t>A 32602-2019</t>
        </is>
      </c>
      <c r="B385" s="1" t="n">
        <v>43647</v>
      </c>
      <c r="C385" s="1" t="n">
        <v>45205</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HYPERLINK("https://klasma.github.io/Logging_VIMMERBY/artfynd/A 32602-2019.xlsx", "A 32602-2019")</f>
        <v/>
      </c>
      <c r="T385">
        <f>HYPERLINK("https://klasma.github.io/Logging_VIMMERBY/kartor/A 32602-2019.png", "A 32602-2019")</f>
        <v/>
      </c>
      <c r="V385">
        <f>HYPERLINK("https://klasma.github.io/Logging_VIMMERBY/klagomål/A 32602-2019.docx", "A 32602-2019")</f>
        <v/>
      </c>
      <c r="W385">
        <f>HYPERLINK("https://klasma.github.io/Logging_VIMMERBY/klagomålsmail/A 32602-2019.docx", "A 32602-2019")</f>
        <v/>
      </c>
      <c r="X385">
        <f>HYPERLINK("https://klasma.github.io/Logging_VIMMERBY/tillsyn/A 32602-2019.docx", "A 32602-2019")</f>
        <v/>
      </c>
      <c r="Y385">
        <f>HYPERLINK("https://klasma.github.io/Logging_VIMMERBY/tillsynsmail/A 32602-2019.docx", "A 32602-2019")</f>
        <v/>
      </c>
    </row>
    <row r="386" ht="15" customHeight="1">
      <c r="A386" t="inlineStr">
        <is>
          <t>A 34728-2019</t>
        </is>
      </c>
      <c r="B386" s="1" t="n">
        <v>43648</v>
      </c>
      <c r="C386" s="1" t="n">
        <v>45205</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HYPERLINK("https://klasma.github.io/Logging_MONSTERAS/artfynd/A 34728-2019.xlsx", "A 34728-2019")</f>
        <v/>
      </c>
      <c r="T386">
        <f>HYPERLINK("https://klasma.github.io/Logging_MONSTERAS/kartor/A 34728-2019.png", "A 34728-2019")</f>
        <v/>
      </c>
      <c r="V386">
        <f>HYPERLINK("https://klasma.github.io/Logging_MONSTERAS/klagomål/A 34728-2019.docx", "A 34728-2019")</f>
        <v/>
      </c>
      <c r="W386">
        <f>HYPERLINK("https://klasma.github.io/Logging_MONSTERAS/klagomålsmail/A 34728-2019.docx", "A 34728-2019")</f>
        <v/>
      </c>
      <c r="X386">
        <f>HYPERLINK("https://klasma.github.io/Logging_MONSTERAS/tillsyn/A 34728-2019.docx", "A 34728-2019")</f>
        <v/>
      </c>
      <c r="Y386">
        <f>HYPERLINK("https://klasma.github.io/Logging_MONSTERAS/tillsynsmail/A 34728-2019.docx", "A 34728-2019")</f>
        <v/>
      </c>
    </row>
    <row r="387" ht="15" customHeight="1">
      <c r="A387" t="inlineStr">
        <is>
          <t>A 36218-2019</t>
        </is>
      </c>
      <c r="B387" s="1" t="n">
        <v>43669</v>
      </c>
      <c r="C387" s="1" t="n">
        <v>45205</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HYPERLINK("https://klasma.github.io/Logging_TORSAS/artfynd/A 36218-2019.xlsx", "A 36218-2019")</f>
        <v/>
      </c>
      <c r="T387">
        <f>HYPERLINK("https://klasma.github.io/Logging_TORSAS/kartor/A 36218-2019.png", "A 36218-2019")</f>
        <v/>
      </c>
      <c r="V387">
        <f>HYPERLINK("https://klasma.github.io/Logging_TORSAS/klagomål/A 36218-2019.docx", "A 36218-2019")</f>
        <v/>
      </c>
      <c r="W387">
        <f>HYPERLINK("https://klasma.github.io/Logging_TORSAS/klagomålsmail/A 36218-2019.docx", "A 36218-2019")</f>
        <v/>
      </c>
      <c r="X387">
        <f>HYPERLINK("https://klasma.github.io/Logging_TORSAS/tillsyn/A 36218-2019.docx", "A 36218-2019")</f>
        <v/>
      </c>
      <c r="Y387">
        <f>HYPERLINK("https://klasma.github.io/Logging_TORSAS/tillsynsmail/A 36218-2019.docx", "A 36218-2019")</f>
        <v/>
      </c>
    </row>
    <row r="388" ht="15" customHeight="1">
      <c r="A388" t="inlineStr">
        <is>
          <t>A 36542-2019</t>
        </is>
      </c>
      <c r="B388" s="1" t="n">
        <v>43671</v>
      </c>
      <c r="C388" s="1" t="n">
        <v>45205</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HYPERLINK("https://klasma.github.io/Logging_OSKARSHAMN/artfynd/A 36542-2019.xlsx", "A 36542-2019")</f>
        <v/>
      </c>
      <c r="T388">
        <f>HYPERLINK("https://klasma.github.io/Logging_OSKARSHAMN/kartor/A 36542-2019.png", "A 36542-2019")</f>
        <v/>
      </c>
      <c r="V388">
        <f>HYPERLINK("https://klasma.github.io/Logging_OSKARSHAMN/klagomål/A 36542-2019.docx", "A 36542-2019")</f>
        <v/>
      </c>
      <c r="W388">
        <f>HYPERLINK("https://klasma.github.io/Logging_OSKARSHAMN/klagomålsmail/A 36542-2019.docx", "A 36542-2019")</f>
        <v/>
      </c>
      <c r="X388">
        <f>HYPERLINK("https://klasma.github.io/Logging_OSKARSHAMN/tillsyn/A 36542-2019.docx", "A 36542-2019")</f>
        <v/>
      </c>
      <c r="Y388">
        <f>HYPERLINK("https://klasma.github.io/Logging_OSKARSHAMN/tillsynsmail/A 36542-2019.docx", "A 36542-2019")</f>
        <v/>
      </c>
    </row>
    <row r="389" ht="15" customHeight="1">
      <c r="A389" t="inlineStr">
        <is>
          <t>A 36540-2019</t>
        </is>
      </c>
      <c r="B389" s="1" t="n">
        <v>43671</v>
      </c>
      <c r="C389" s="1" t="n">
        <v>45205</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HYPERLINK("https://klasma.github.io/Logging_OSKARSHAMN/artfynd/A 36540-2019.xlsx", "A 36540-2019")</f>
        <v/>
      </c>
      <c r="T389">
        <f>HYPERLINK("https://klasma.github.io/Logging_OSKARSHAMN/kartor/A 36540-2019.png", "A 36540-2019")</f>
        <v/>
      </c>
      <c r="V389">
        <f>HYPERLINK("https://klasma.github.io/Logging_OSKARSHAMN/klagomål/A 36540-2019.docx", "A 36540-2019")</f>
        <v/>
      </c>
      <c r="W389">
        <f>HYPERLINK("https://klasma.github.io/Logging_OSKARSHAMN/klagomålsmail/A 36540-2019.docx", "A 36540-2019")</f>
        <v/>
      </c>
      <c r="X389">
        <f>HYPERLINK("https://klasma.github.io/Logging_OSKARSHAMN/tillsyn/A 36540-2019.docx", "A 36540-2019")</f>
        <v/>
      </c>
      <c r="Y389">
        <f>HYPERLINK("https://klasma.github.io/Logging_OSKARSHAMN/tillsynsmail/A 36540-2019.docx", "A 36540-2019")</f>
        <v/>
      </c>
    </row>
    <row r="390" ht="15" customHeight="1">
      <c r="A390" t="inlineStr">
        <is>
          <t>A 37605-2019</t>
        </is>
      </c>
      <c r="B390" s="1" t="n">
        <v>43680</v>
      </c>
      <c r="C390" s="1" t="n">
        <v>45205</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HYPERLINK("https://klasma.github.io/Logging_KALMAR/artfynd/A 37605-2019.xlsx", "A 37605-2019")</f>
        <v/>
      </c>
      <c r="T390">
        <f>HYPERLINK("https://klasma.github.io/Logging_KALMAR/kartor/A 37605-2019.png", "A 37605-2019")</f>
        <v/>
      </c>
      <c r="V390">
        <f>HYPERLINK("https://klasma.github.io/Logging_KALMAR/klagomål/A 37605-2019.docx", "A 37605-2019")</f>
        <v/>
      </c>
      <c r="W390">
        <f>HYPERLINK("https://klasma.github.io/Logging_KALMAR/klagomålsmail/A 37605-2019.docx", "A 37605-2019")</f>
        <v/>
      </c>
      <c r="X390">
        <f>HYPERLINK("https://klasma.github.io/Logging_KALMAR/tillsyn/A 37605-2019.docx", "A 37605-2019")</f>
        <v/>
      </c>
      <c r="Y390">
        <f>HYPERLINK("https://klasma.github.io/Logging_KALMAR/tillsynsmail/A 37605-2019.docx", "A 37605-2019")</f>
        <v/>
      </c>
    </row>
    <row r="391" ht="15" customHeight="1">
      <c r="A391" t="inlineStr">
        <is>
          <t>A 37689-2019</t>
        </is>
      </c>
      <c r="B391" s="1" t="n">
        <v>43682</v>
      </c>
      <c r="C391" s="1" t="n">
        <v>45205</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HYPERLINK("https://klasma.github.io/Logging_TORSAS/artfynd/A 37689-2019.xlsx", "A 37689-2019")</f>
        <v/>
      </c>
      <c r="T391">
        <f>HYPERLINK("https://klasma.github.io/Logging_TORSAS/kartor/A 37689-2019.png", "A 37689-2019")</f>
        <v/>
      </c>
      <c r="V391">
        <f>HYPERLINK("https://klasma.github.io/Logging_TORSAS/klagomål/A 37689-2019.docx", "A 37689-2019")</f>
        <v/>
      </c>
      <c r="W391">
        <f>HYPERLINK("https://klasma.github.io/Logging_TORSAS/klagomålsmail/A 37689-2019.docx", "A 37689-2019")</f>
        <v/>
      </c>
      <c r="X391">
        <f>HYPERLINK("https://klasma.github.io/Logging_TORSAS/tillsyn/A 37689-2019.docx", "A 37689-2019")</f>
        <v/>
      </c>
      <c r="Y391">
        <f>HYPERLINK("https://klasma.github.io/Logging_TORSAS/tillsynsmail/A 37689-2019.docx", "A 37689-2019")</f>
        <v/>
      </c>
    </row>
    <row r="392" ht="15" customHeight="1">
      <c r="A392" t="inlineStr">
        <is>
          <t>A 38893-2019</t>
        </is>
      </c>
      <c r="B392" s="1" t="n">
        <v>43686</v>
      </c>
      <c r="C392" s="1" t="n">
        <v>45205</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HYPERLINK("https://klasma.github.io/Logging_HOGSBY/artfynd/A 38893-2019.xlsx", "A 38893-2019")</f>
        <v/>
      </c>
      <c r="T392">
        <f>HYPERLINK("https://klasma.github.io/Logging_HOGSBY/kartor/A 38893-2019.png", "A 38893-2019")</f>
        <v/>
      </c>
      <c r="V392">
        <f>HYPERLINK("https://klasma.github.io/Logging_HOGSBY/klagomål/A 38893-2019.docx", "A 38893-2019")</f>
        <v/>
      </c>
      <c r="W392">
        <f>HYPERLINK("https://klasma.github.io/Logging_HOGSBY/klagomålsmail/A 38893-2019.docx", "A 38893-2019")</f>
        <v/>
      </c>
      <c r="X392">
        <f>HYPERLINK("https://klasma.github.io/Logging_HOGSBY/tillsyn/A 38893-2019.docx", "A 38893-2019")</f>
        <v/>
      </c>
      <c r="Y392">
        <f>HYPERLINK("https://klasma.github.io/Logging_HOGSBY/tillsynsmail/A 38893-2019.docx", "A 38893-2019")</f>
        <v/>
      </c>
    </row>
    <row r="393" ht="15" customHeight="1">
      <c r="A393" t="inlineStr">
        <is>
          <t>A 39367-2019</t>
        </is>
      </c>
      <c r="B393" s="1" t="n">
        <v>43690</v>
      </c>
      <c r="C393" s="1" t="n">
        <v>45205</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HYPERLINK("https://klasma.github.io/Logging_MORBYLANGA/artfynd/A 39367-2019.xlsx", "A 39367-2019")</f>
        <v/>
      </c>
      <c r="T393">
        <f>HYPERLINK("https://klasma.github.io/Logging_MORBYLANGA/kartor/A 39367-2019.png", "A 39367-2019")</f>
        <v/>
      </c>
      <c r="V393">
        <f>HYPERLINK("https://klasma.github.io/Logging_MORBYLANGA/klagomål/A 39367-2019.docx", "A 39367-2019")</f>
        <v/>
      </c>
      <c r="W393">
        <f>HYPERLINK("https://klasma.github.io/Logging_MORBYLANGA/klagomålsmail/A 39367-2019.docx", "A 39367-2019")</f>
        <v/>
      </c>
      <c r="X393">
        <f>HYPERLINK("https://klasma.github.io/Logging_MORBYLANGA/tillsyn/A 39367-2019.docx", "A 39367-2019")</f>
        <v/>
      </c>
      <c r="Y393">
        <f>HYPERLINK("https://klasma.github.io/Logging_MORBYLANGA/tillsynsmail/A 39367-2019.docx", "A 39367-2019")</f>
        <v/>
      </c>
    </row>
    <row r="394" ht="15" customHeight="1">
      <c r="A394" t="inlineStr">
        <is>
          <t>A 39421-2019</t>
        </is>
      </c>
      <c r="B394" s="1" t="n">
        <v>43690</v>
      </c>
      <c r="C394" s="1" t="n">
        <v>45205</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HYPERLINK("https://klasma.github.io/Logging_HOGSBY/artfynd/A 39421-2019.xlsx", "A 39421-2019")</f>
        <v/>
      </c>
      <c r="T394">
        <f>HYPERLINK("https://klasma.github.io/Logging_HOGSBY/kartor/A 39421-2019.png", "A 39421-2019")</f>
        <v/>
      </c>
      <c r="V394">
        <f>HYPERLINK("https://klasma.github.io/Logging_HOGSBY/klagomål/A 39421-2019.docx", "A 39421-2019")</f>
        <v/>
      </c>
      <c r="W394">
        <f>HYPERLINK("https://klasma.github.io/Logging_HOGSBY/klagomålsmail/A 39421-2019.docx", "A 39421-2019")</f>
        <v/>
      </c>
      <c r="X394">
        <f>HYPERLINK("https://klasma.github.io/Logging_HOGSBY/tillsyn/A 39421-2019.docx", "A 39421-2019")</f>
        <v/>
      </c>
      <c r="Y394">
        <f>HYPERLINK("https://klasma.github.io/Logging_HOGSBY/tillsynsmail/A 39421-2019.docx", "A 39421-2019")</f>
        <v/>
      </c>
    </row>
    <row r="395" ht="15" customHeight="1">
      <c r="A395" t="inlineStr">
        <is>
          <t>A 39360-2019</t>
        </is>
      </c>
      <c r="B395" s="1" t="n">
        <v>43690</v>
      </c>
      <c r="C395" s="1" t="n">
        <v>45205</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HYPERLINK("https://klasma.github.io/Logging_NYBRO/artfynd/A 39360-2019.xlsx", "A 39360-2019")</f>
        <v/>
      </c>
      <c r="T395">
        <f>HYPERLINK("https://klasma.github.io/Logging_NYBRO/kartor/A 39360-2019.png", "A 39360-2019")</f>
        <v/>
      </c>
      <c r="U395">
        <f>HYPERLINK("https://klasma.github.io/Logging_NYBRO/knärot/A 39360-2019.png", "A 39360-2019")</f>
        <v/>
      </c>
      <c r="V395">
        <f>HYPERLINK("https://klasma.github.io/Logging_NYBRO/klagomål/A 39360-2019.docx", "A 39360-2019")</f>
        <v/>
      </c>
      <c r="W395">
        <f>HYPERLINK("https://klasma.github.io/Logging_NYBRO/klagomålsmail/A 39360-2019.docx", "A 39360-2019")</f>
        <v/>
      </c>
      <c r="X395">
        <f>HYPERLINK("https://klasma.github.io/Logging_NYBRO/tillsyn/A 39360-2019.docx", "A 39360-2019")</f>
        <v/>
      </c>
      <c r="Y395">
        <f>HYPERLINK("https://klasma.github.io/Logging_NYBRO/tillsynsmail/A 39360-2019.docx", "A 39360-2019")</f>
        <v/>
      </c>
    </row>
    <row r="396" ht="15" customHeight="1">
      <c r="A396" t="inlineStr">
        <is>
          <t>A 40786-2019</t>
        </is>
      </c>
      <c r="B396" s="1" t="n">
        <v>43692</v>
      </c>
      <c r="C396" s="1" t="n">
        <v>45205</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HYPERLINK("https://klasma.github.io/Logging_EMMABODA/artfynd/A 40786-2019.xlsx", "A 40786-2019")</f>
        <v/>
      </c>
      <c r="T396">
        <f>HYPERLINK("https://klasma.github.io/Logging_EMMABODA/kartor/A 40786-2019.png", "A 40786-2019")</f>
        <v/>
      </c>
      <c r="V396">
        <f>HYPERLINK("https://klasma.github.io/Logging_EMMABODA/klagomål/A 40786-2019.docx", "A 40786-2019")</f>
        <v/>
      </c>
      <c r="W396">
        <f>HYPERLINK("https://klasma.github.io/Logging_EMMABODA/klagomålsmail/A 40786-2019.docx", "A 40786-2019")</f>
        <v/>
      </c>
      <c r="X396">
        <f>HYPERLINK("https://klasma.github.io/Logging_EMMABODA/tillsyn/A 40786-2019.docx", "A 40786-2019")</f>
        <v/>
      </c>
      <c r="Y396">
        <f>HYPERLINK("https://klasma.github.io/Logging_EMMABODA/tillsynsmail/A 40786-2019.docx", "A 40786-2019")</f>
        <v/>
      </c>
    </row>
    <row r="397" ht="15" customHeight="1">
      <c r="A397" t="inlineStr">
        <is>
          <t>A 41664-2019</t>
        </is>
      </c>
      <c r="B397" s="1" t="n">
        <v>43699</v>
      </c>
      <c r="C397" s="1" t="n">
        <v>45205</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HYPERLINK("https://klasma.github.io/Logging_MONSTERAS/artfynd/A 41664-2019.xlsx", "A 41664-2019")</f>
        <v/>
      </c>
      <c r="T397">
        <f>HYPERLINK("https://klasma.github.io/Logging_MONSTERAS/kartor/A 41664-2019.png", "A 41664-2019")</f>
        <v/>
      </c>
      <c r="V397">
        <f>HYPERLINK("https://klasma.github.io/Logging_MONSTERAS/klagomål/A 41664-2019.docx", "A 41664-2019")</f>
        <v/>
      </c>
      <c r="W397">
        <f>HYPERLINK("https://klasma.github.io/Logging_MONSTERAS/klagomålsmail/A 41664-2019.docx", "A 41664-2019")</f>
        <v/>
      </c>
      <c r="X397">
        <f>HYPERLINK("https://klasma.github.io/Logging_MONSTERAS/tillsyn/A 41664-2019.docx", "A 41664-2019")</f>
        <v/>
      </c>
      <c r="Y397">
        <f>HYPERLINK("https://klasma.github.io/Logging_MONSTERAS/tillsynsmail/A 41664-2019.docx", "A 41664-2019")</f>
        <v/>
      </c>
    </row>
    <row r="398" ht="15" customHeight="1">
      <c r="A398" t="inlineStr">
        <is>
          <t>A 42104-2019</t>
        </is>
      </c>
      <c r="B398" s="1" t="n">
        <v>43702</v>
      </c>
      <c r="C398" s="1" t="n">
        <v>45205</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HYPERLINK("https://klasma.github.io/Logging_HULTSFRED/artfynd/A 42104-2019.xlsx", "A 42104-2019")</f>
        <v/>
      </c>
      <c r="T398">
        <f>HYPERLINK("https://klasma.github.io/Logging_HULTSFRED/kartor/A 42104-2019.png", "A 42104-2019")</f>
        <v/>
      </c>
      <c r="V398">
        <f>HYPERLINK("https://klasma.github.io/Logging_HULTSFRED/klagomål/A 42104-2019.docx", "A 42104-2019")</f>
        <v/>
      </c>
      <c r="W398">
        <f>HYPERLINK("https://klasma.github.io/Logging_HULTSFRED/klagomålsmail/A 42104-2019.docx", "A 42104-2019")</f>
        <v/>
      </c>
      <c r="X398">
        <f>HYPERLINK("https://klasma.github.io/Logging_HULTSFRED/tillsyn/A 42104-2019.docx", "A 42104-2019")</f>
        <v/>
      </c>
      <c r="Y398">
        <f>HYPERLINK("https://klasma.github.io/Logging_HULTSFRED/tillsynsmail/A 42104-2019.docx", "A 42104-2019")</f>
        <v/>
      </c>
    </row>
    <row r="399" ht="15" customHeight="1">
      <c r="A399" t="inlineStr">
        <is>
          <t>A 42211-2019</t>
        </is>
      </c>
      <c r="B399" s="1" t="n">
        <v>43703</v>
      </c>
      <c r="C399" s="1" t="n">
        <v>45205</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HYPERLINK("https://klasma.github.io/Logging_TORSAS/artfynd/A 42211-2019.xlsx", "A 42211-2019")</f>
        <v/>
      </c>
      <c r="T399">
        <f>HYPERLINK("https://klasma.github.io/Logging_TORSAS/kartor/A 42211-2019.png", "A 42211-2019")</f>
        <v/>
      </c>
      <c r="V399">
        <f>HYPERLINK("https://klasma.github.io/Logging_TORSAS/klagomål/A 42211-2019.docx", "A 42211-2019")</f>
        <v/>
      </c>
      <c r="W399">
        <f>HYPERLINK("https://klasma.github.io/Logging_TORSAS/klagomålsmail/A 42211-2019.docx", "A 42211-2019")</f>
        <v/>
      </c>
      <c r="X399">
        <f>HYPERLINK("https://klasma.github.io/Logging_TORSAS/tillsyn/A 42211-2019.docx", "A 42211-2019")</f>
        <v/>
      </c>
      <c r="Y399">
        <f>HYPERLINK("https://klasma.github.io/Logging_TORSAS/tillsynsmail/A 42211-2019.docx", "A 42211-2019")</f>
        <v/>
      </c>
    </row>
    <row r="400" ht="15" customHeight="1">
      <c r="A400" t="inlineStr">
        <is>
          <t>A 43503-2019</t>
        </is>
      </c>
      <c r="B400" s="1" t="n">
        <v>43706</v>
      </c>
      <c r="C400" s="1" t="n">
        <v>45205</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HYPERLINK("https://klasma.github.io/Logging_MONSTERAS/artfynd/A 43503-2019.xlsx", "A 43503-2019")</f>
        <v/>
      </c>
      <c r="T400">
        <f>HYPERLINK("https://klasma.github.io/Logging_MONSTERAS/kartor/A 43503-2019.png", "A 43503-2019")</f>
        <v/>
      </c>
      <c r="V400">
        <f>HYPERLINK("https://klasma.github.io/Logging_MONSTERAS/klagomål/A 43503-2019.docx", "A 43503-2019")</f>
        <v/>
      </c>
      <c r="W400">
        <f>HYPERLINK("https://klasma.github.io/Logging_MONSTERAS/klagomålsmail/A 43503-2019.docx", "A 43503-2019")</f>
        <v/>
      </c>
      <c r="X400">
        <f>HYPERLINK("https://klasma.github.io/Logging_MONSTERAS/tillsyn/A 43503-2019.docx", "A 43503-2019")</f>
        <v/>
      </c>
      <c r="Y400">
        <f>HYPERLINK("https://klasma.github.io/Logging_MONSTERAS/tillsynsmail/A 43503-2019.docx", "A 43503-2019")</f>
        <v/>
      </c>
    </row>
    <row r="401" ht="15" customHeight="1">
      <c r="A401" t="inlineStr">
        <is>
          <t>A 46011-2019</t>
        </is>
      </c>
      <c r="B401" s="1" t="n">
        <v>43718</v>
      </c>
      <c r="C401" s="1" t="n">
        <v>45205</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HYPERLINK("https://klasma.github.io/Logging_HOGSBY/artfynd/A 46011-2019.xlsx", "A 46011-2019")</f>
        <v/>
      </c>
      <c r="T401">
        <f>HYPERLINK("https://klasma.github.io/Logging_HOGSBY/kartor/A 46011-2019.png", "A 46011-2019")</f>
        <v/>
      </c>
      <c r="V401">
        <f>HYPERLINK("https://klasma.github.io/Logging_HOGSBY/klagomål/A 46011-2019.docx", "A 46011-2019")</f>
        <v/>
      </c>
      <c r="W401">
        <f>HYPERLINK("https://klasma.github.io/Logging_HOGSBY/klagomålsmail/A 46011-2019.docx", "A 46011-2019")</f>
        <v/>
      </c>
      <c r="X401">
        <f>HYPERLINK("https://klasma.github.io/Logging_HOGSBY/tillsyn/A 46011-2019.docx", "A 46011-2019")</f>
        <v/>
      </c>
      <c r="Y401">
        <f>HYPERLINK("https://klasma.github.io/Logging_HOGSBY/tillsynsmail/A 46011-2019.docx", "A 46011-2019")</f>
        <v/>
      </c>
    </row>
    <row r="402" ht="15" customHeight="1">
      <c r="A402" t="inlineStr">
        <is>
          <t>A 48001-2019</t>
        </is>
      </c>
      <c r="B402" s="1" t="n">
        <v>43725</v>
      </c>
      <c r="C402" s="1" t="n">
        <v>45205</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HYPERLINK("https://klasma.github.io/Logging_MORBYLANGA/artfynd/A 48001-2019.xlsx", "A 48001-2019")</f>
        <v/>
      </c>
      <c r="T402">
        <f>HYPERLINK("https://klasma.github.io/Logging_MORBYLANGA/kartor/A 48001-2019.png", "A 48001-2019")</f>
        <v/>
      </c>
      <c r="V402">
        <f>HYPERLINK("https://klasma.github.io/Logging_MORBYLANGA/klagomål/A 48001-2019.docx", "A 48001-2019")</f>
        <v/>
      </c>
      <c r="W402">
        <f>HYPERLINK("https://klasma.github.io/Logging_MORBYLANGA/klagomålsmail/A 48001-2019.docx", "A 48001-2019")</f>
        <v/>
      </c>
      <c r="X402">
        <f>HYPERLINK("https://klasma.github.io/Logging_MORBYLANGA/tillsyn/A 48001-2019.docx", "A 48001-2019")</f>
        <v/>
      </c>
      <c r="Y402">
        <f>HYPERLINK("https://klasma.github.io/Logging_MORBYLANGA/tillsynsmail/A 48001-2019.docx", "A 48001-2019")</f>
        <v/>
      </c>
    </row>
    <row r="403" ht="15" customHeight="1">
      <c r="A403" t="inlineStr">
        <is>
          <t>A 49015-2019</t>
        </is>
      </c>
      <c r="B403" s="1" t="n">
        <v>43731</v>
      </c>
      <c r="C403" s="1" t="n">
        <v>45205</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HYPERLINK("https://klasma.github.io/Logging_KALMAR/artfynd/A 49015-2019.xlsx", "A 49015-2019")</f>
        <v/>
      </c>
      <c r="T403">
        <f>HYPERLINK("https://klasma.github.io/Logging_KALMAR/kartor/A 49015-2019.png", "A 49015-2019")</f>
        <v/>
      </c>
      <c r="U403">
        <f>HYPERLINK("https://klasma.github.io/Logging_KALMAR/knärot/A 49015-2019.png", "A 49015-2019")</f>
        <v/>
      </c>
      <c r="V403">
        <f>HYPERLINK("https://klasma.github.io/Logging_KALMAR/klagomål/A 49015-2019.docx", "A 49015-2019")</f>
        <v/>
      </c>
      <c r="W403">
        <f>HYPERLINK("https://klasma.github.io/Logging_KALMAR/klagomålsmail/A 49015-2019.docx", "A 49015-2019")</f>
        <v/>
      </c>
      <c r="X403">
        <f>HYPERLINK("https://klasma.github.io/Logging_KALMAR/tillsyn/A 49015-2019.docx", "A 49015-2019")</f>
        <v/>
      </c>
      <c r="Y403">
        <f>HYPERLINK("https://klasma.github.io/Logging_KALMAR/tillsynsmail/A 49015-2019.docx", "A 49015-2019")</f>
        <v/>
      </c>
    </row>
    <row r="404" ht="15" customHeight="1">
      <c r="A404" t="inlineStr">
        <is>
          <t>A 50067-2019</t>
        </is>
      </c>
      <c r="B404" s="1" t="n">
        <v>43734</v>
      </c>
      <c r="C404" s="1" t="n">
        <v>45205</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HYPERLINK("https://klasma.github.io/Logging_KALMAR/artfynd/A 50067-2019.xlsx", "A 50067-2019")</f>
        <v/>
      </c>
      <c r="T404">
        <f>HYPERLINK("https://klasma.github.io/Logging_KALMAR/kartor/A 50067-2019.png", "A 50067-2019")</f>
        <v/>
      </c>
      <c r="V404">
        <f>HYPERLINK("https://klasma.github.io/Logging_KALMAR/klagomål/A 50067-2019.docx", "A 50067-2019")</f>
        <v/>
      </c>
      <c r="W404">
        <f>HYPERLINK("https://klasma.github.io/Logging_KALMAR/klagomålsmail/A 50067-2019.docx", "A 50067-2019")</f>
        <v/>
      </c>
      <c r="X404">
        <f>HYPERLINK("https://klasma.github.io/Logging_KALMAR/tillsyn/A 50067-2019.docx", "A 50067-2019")</f>
        <v/>
      </c>
      <c r="Y404">
        <f>HYPERLINK("https://klasma.github.io/Logging_KALMAR/tillsynsmail/A 50067-2019.docx", "A 50067-2019")</f>
        <v/>
      </c>
    </row>
    <row r="405" ht="15" customHeight="1">
      <c r="A405" t="inlineStr">
        <is>
          <t>A 50161-2019</t>
        </is>
      </c>
      <c r="B405" s="1" t="n">
        <v>43734</v>
      </c>
      <c r="C405" s="1" t="n">
        <v>45205</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HYPERLINK("https://klasma.github.io/Logging_NYBRO/artfynd/A 50161-2019.xlsx", "A 50161-2019")</f>
        <v/>
      </c>
      <c r="T405">
        <f>HYPERLINK("https://klasma.github.io/Logging_NYBRO/kartor/A 50161-2019.png", "A 50161-2019")</f>
        <v/>
      </c>
      <c r="V405">
        <f>HYPERLINK("https://klasma.github.io/Logging_NYBRO/klagomål/A 50161-2019.docx", "A 50161-2019")</f>
        <v/>
      </c>
      <c r="W405">
        <f>HYPERLINK("https://klasma.github.io/Logging_NYBRO/klagomålsmail/A 50161-2019.docx", "A 50161-2019")</f>
        <v/>
      </c>
      <c r="X405">
        <f>HYPERLINK("https://klasma.github.io/Logging_NYBRO/tillsyn/A 50161-2019.docx", "A 50161-2019")</f>
        <v/>
      </c>
      <c r="Y405">
        <f>HYPERLINK("https://klasma.github.io/Logging_NYBRO/tillsynsmail/A 50161-2019.docx", "A 50161-2019")</f>
        <v/>
      </c>
    </row>
    <row r="406" ht="15" customHeight="1">
      <c r="A406" t="inlineStr">
        <is>
          <t>A 50457-2019</t>
        </is>
      </c>
      <c r="B406" s="1" t="n">
        <v>43735</v>
      </c>
      <c r="C406" s="1" t="n">
        <v>45205</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HYPERLINK("https://klasma.github.io/Logging_HOGSBY/artfynd/A 50457-2019.xlsx", "A 50457-2019")</f>
        <v/>
      </c>
      <c r="T406">
        <f>HYPERLINK("https://klasma.github.io/Logging_HOGSBY/kartor/A 50457-2019.png", "A 50457-2019")</f>
        <v/>
      </c>
      <c r="U406">
        <f>HYPERLINK("https://klasma.github.io/Logging_HOGSBY/knärot/A 50457-2019.png", "A 50457-2019")</f>
        <v/>
      </c>
      <c r="V406">
        <f>HYPERLINK("https://klasma.github.io/Logging_HOGSBY/klagomål/A 50457-2019.docx", "A 50457-2019")</f>
        <v/>
      </c>
      <c r="W406">
        <f>HYPERLINK("https://klasma.github.io/Logging_HOGSBY/klagomålsmail/A 50457-2019.docx", "A 50457-2019")</f>
        <v/>
      </c>
      <c r="X406">
        <f>HYPERLINK("https://klasma.github.io/Logging_HOGSBY/tillsyn/A 50457-2019.docx", "A 50457-2019")</f>
        <v/>
      </c>
      <c r="Y406">
        <f>HYPERLINK("https://klasma.github.io/Logging_HOGSBY/tillsynsmail/A 50457-2019.docx", "A 50457-2019")</f>
        <v/>
      </c>
    </row>
    <row r="407" ht="15" customHeight="1">
      <c r="A407" t="inlineStr">
        <is>
          <t>A 51735-2019</t>
        </is>
      </c>
      <c r="B407" s="1" t="n">
        <v>43740</v>
      </c>
      <c r="C407" s="1" t="n">
        <v>45205</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HYPERLINK("https://klasma.github.io/Logging_NYBRO/artfynd/A 51735-2019.xlsx", "A 51735-2019")</f>
        <v/>
      </c>
      <c r="T407">
        <f>HYPERLINK("https://klasma.github.io/Logging_NYBRO/kartor/A 51735-2019.png", "A 51735-2019")</f>
        <v/>
      </c>
      <c r="V407">
        <f>HYPERLINK("https://klasma.github.io/Logging_NYBRO/klagomål/A 51735-2019.docx", "A 51735-2019")</f>
        <v/>
      </c>
      <c r="W407">
        <f>HYPERLINK("https://klasma.github.io/Logging_NYBRO/klagomålsmail/A 51735-2019.docx", "A 51735-2019")</f>
        <v/>
      </c>
      <c r="X407">
        <f>HYPERLINK("https://klasma.github.io/Logging_NYBRO/tillsyn/A 51735-2019.docx", "A 51735-2019")</f>
        <v/>
      </c>
      <c r="Y407">
        <f>HYPERLINK("https://klasma.github.io/Logging_NYBRO/tillsynsmail/A 51735-2019.docx", "A 51735-2019")</f>
        <v/>
      </c>
    </row>
    <row r="408" ht="15" customHeight="1">
      <c r="A408" t="inlineStr">
        <is>
          <t>A 52156-2019</t>
        </is>
      </c>
      <c r="B408" s="1" t="n">
        <v>43742</v>
      </c>
      <c r="C408" s="1" t="n">
        <v>45205</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HYPERLINK("https://klasma.github.io/Logging_VIMMERBY/artfynd/A 52156-2019.xlsx", "A 52156-2019")</f>
        <v/>
      </c>
      <c r="T408">
        <f>HYPERLINK("https://klasma.github.io/Logging_VIMMERBY/kartor/A 52156-2019.png", "A 52156-2019")</f>
        <v/>
      </c>
      <c r="U408">
        <f>HYPERLINK("https://klasma.github.io/Logging_VIMMERBY/knärot/A 52156-2019.png", "A 52156-2019")</f>
        <v/>
      </c>
      <c r="V408">
        <f>HYPERLINK("https://klasma.github.io/Logging_VIMMERBY/klagomål/A 52156-2019.docx", "A 52156-2019")</f>
        <v/>
      </c>
      <c r="W408">
        <f>HYPERLINK("https://klasma.github.io/Logging_VIMMERBY/klagomålsmail/A 52156-2019.docx", "A 52156-2019")</f>
        <v/>
      </c>
      <c r="X408">
        <f>HYPERLINK("https://klasma.github.io/Logging_VIMMERBY/tillsyn/A 52156-2019.docx", "A 52156-2019")</f>
        <v/>
      </c>
      <c r="Y408">
        <f>HYPERLINK("https://klasma.github.io/Logging_VIMMERBY/tillsynsmail/A 52156-2019.docx", "A 52156-2019")</f>
        <v/>
      </c>
    </row>
    <row r="409" ht="15" customHeight="1">
      <c r="A409" t="inlineStr">
        <is>
          <t>A 57302-2019</t>
        </is>
      </c>
      <c r="B409" s="1" t="n">
        <v>43760</v>
      </c>
      <c r="C409" s="1" t="n">
        <v>45205</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HYPERLINK("https://klasma.github.io/Logging_MONSTERAS/artfynd/A 57302-2019.xlsx", "A 57302-2019")</f>
        <v/>
      </c>
      <c r="T409">
        <f>HYPERLINK("https://klasma.github.io/Logging_MONSTERAS/kartor/A 57302-2019.png", "A 57302-2019")</f>
        <v/>
      </c>
      <c r="V409">
        <f>HYPERLINK("https://klasma.github.io/Logging_MONSTERAS/klagomål/A 57302-2019.docx", "A 57302-2019")</f>
        <v/>
      </c>
      <c r="W409">
        <f>HYPERLINK("https://klasma.github.io/Logging_MONSTERAS/klagomålsmail/A 57302-2019.docx", "A 57302-2019")</f>
        <v/>
      </c>
      <c r="X409">
        <f>HYPERLINK("https://klasma.github.io/Logging_MONSTERAS/tillsyn/A 57302-2019.docx", "A 57302-2019")</f>
        <v/>
      </c>
      <c r="Y409">
        <f>HYPERLINK("https://klasma.github.io/Logging_MONSTERAS/tillsynsmail/A 57302-2019.docx", "A 57302-2019")</f>
        <v/>
      </c>
    </row>
    <row r="410" ht="15" customHeight="1">
      <c r="A410" t="inlineStr">
        <is>
          <t>A 57756-2019</t>
        </is>
      </c>
      <c r="B410" s="1" t="n">
        <v>43762</v>
      </c>
      <c r="C410" s="1" t="n">
        <v>45205</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HYPERLINK("https://klasma.github.io/Logging_BORGHOLM/artfynd/A 57756-2019.xlsx", "A 57756-2019")</f>
        <v/>
      </c>
      <c r="T410">
        <f>HYPERLINK("https://klasma.github.io/Logging_BORGHOLM/kartor/A 57756-2019.png", "A 57756-2019")</f>
        <v/>
      </c>
      <c r="V410">
        <f>HYPERLINK("https://klasma.github.io/Logging_BORGHOLM/klagomål/A 57756-2019.docx", "A 57756-2019")</f>
        <v/>
      </c>
      <c r="W410">
        <f>HYPERLINK("https://klasma.github.io/Logging_BORGHOLM/klagomålsmail/A 57756-2019.docx", "A 57756-2019")</f>
        <v/>
      </c>
      <c r="X410">
        <f>HYPERLINK("https://klasma.github.io/Logging_BORGHOLM/tillsyn/A 57756-2019.docx", "A 57756-2019")</f>
        <v/>
      </c>
      <c r="Y410">
        <f>HYPERLINK("https://klasma.github.io/Logging_BORGHOLM/tillsynsmail/A 57756-2019.docx", "A 57756-2019")</f>
        <v/>
      </c>
    </row>
    <row r="411" ht="15" customHeight="1">
      <c r="A411" t="inlineStr">
        <is>
          <t>A 57390-2019</t>
        </is>
      </c>
      <c r="B411" s="1" t="n">
        <v>43767</v>
      </c>
      <c r="C411" s="1" t="n">
        <v>45205</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HYPERLINK("https://klasma.github.io/Logging_HOGSBY/artfynd/A 57390-2019.xlsx", "A 57390-2019")</f>
        <v/>
      </c>
      <c r="T411">
        <f>HYPERLINK("https://klasma.github.io/Logging_HOGSBY/kartor/A 57390-2019.png", "A 57390-2019")</f>
        <v/>
      </c>
      <c r="V411">
        <f>HYPERLINK("https://klasma.github.io/Logging_HOGSBY/klagomål/A 57390-2019.docx", "A 57390-2019")</f>
        <v/>
      </c>
      <c r="W411">
        <f>HYPERLINK("https://klasma.github.io/Logging_HOGSBY/klagomålsmail/A 57390-2019.docx", "A 57390-2019")</f>
        <v/>
      </c>
      <c r="X411">
        <f>HYPERLINK("https://klasma.github.io/Logging_HOGSBY/tillsyn/A 57390-2019.docx", "A 57390-2019")</f>
        <v/>
      </c>
      <c r="Y411">
        <f>HYPERLINK("https://klasma.github.io/Logging_HOGSBY/tillsynsmail/A 57390-2019.docx", "A 57390-2019")</f>
        <v/>
      </c>
    </row>
    <row r="412" ht="15" customHeight="1">
      <c r="A412" t="inlineStr">
        <is>
          <t>A 58275-2019</t>
        </is>
      </c>
      <c r="B412" s="1" t="n">
        <v>43770</v>
      </c>
      <c r="C412" s="1" t="n">
        <v>45205</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HYPERLINK("https://klasma.github.io/Logging_BORGHOLM/artfynd/A 58275-2019.xlsx", "A 58275-2019")</f>
        <v/>
      </c>
      <c r="T412">
        <f>HYPERLINK("https://klasma.github.io/Logging_BORGHOLM/kartor/A 58275-2019.png", "A 58275-2019")</f>
        <v/>
      </c>
      <c r="V412">
        <f>HYPERLINK("https://klasma.github.io/Logging_BORGHOLM/klagomål/A 58275-2019.docx", "A 58275-2019")</f>
        <v/>
      </c>
      <c r="W412">
        <f>HYPERLINK("https://klasma.github.io/Logging_BORGHOLM/klagomålsmail/A 58275-2019.docx", "A 58275-2019")</f>
        <v/>
      </c>
      <c r="X412">
        <f>HYPERLINK("https://klasma.github.io/Logging_BORGHOLM/tillsyn/A 58275-2019.docx", "A 58275-2019")</f>
        <v/>
      </c>
      <c r="Y412">
        <f>HYPERLINK("https://klasma.github.io/Logging_BORGHOLM/tillsynsmail/A 58275-2019.docx", "A 58275-2019")</f>
        <v/>
      </c>
    </row>
    <row r="413" ht="15" customHeight="1">
      <c r="A413" t="inlineStr">
        <is>
          <t>A 59193-2019</t>
        </is>
      </c>
      <c r="B413" s="1" t="n">
        <v>43775</v>
      </c>
      <c r="C413" s="1" t="n">
        <v>45205</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HYPERLINK("https://klasma.github.io/Logging_VASTERVIK/artfynd/A 59193-2019.xlsx", "A 59193-2019")</f>
        <v/>
      </c>
      <c r="T413">
        <f>HYPERLINK("https://klasma.github.io/Logging_VASTERVIK/kartor/A 59193-2019.png", "A 59193-2019")</f>
        <v/>
      </c>
      <c r="V413">
        <f>HYPERLINK("https://klasma.github.io/Logging_VASTERVIK/klagomål/A 59193-2019.docx", "A 59193-2019")</f>
        <v/>
      </c>
      <c r="W413">
        <f>HYPERLINK("https://klasma.github.io/Logging_VASTERVIK/klagomålsmail/A 59193-2019.docx", "A 59193-2019")</f>
        <v/>
      </c>
      <c r="X413">
        <f>HYPERLINK("https://klasma.github.io/Logging_VASTERVIK/tillsyn/A 59193-2019.docx", "A 59193-2019")</f>
        <v/>
      </c>
      <c r="Y413">
        <f>HYPERLINK("https://klasma.github.io/Logging_VASTERVIK/tillsynsmail/A 59193-2019.docx", "A 59193-2019")</f>
        <v/>
      </c>
    </row>
    <row r="414" ht="15" customHeight="1">
      <c r="A414" t="inlineStr">
        <is>
          <t>A 63075-2019</t>
        </is>
      </c>
      <c r="B414" s="1" t="n">
        <v>43790</v>
      </c>
      <c r="C414" s="1" t="n">
        <v>45205</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HYPERLINK("https://klasma.github.io/Logging_HOGSBY/artfynd/A 63075-2019.xlsx", "A 63075-2019")</f>
        <v/>
      </c>
      <c r="T414">
        <f>HYPERLINK("https://klasma.github.io/Logging_HOGSBY/kartor/A 63075-2019.png", "A 63075-2019")</f>
        <v/>
      </c>
      <c r="V414">
        <f>HYPERLINK("https://klasma.github.io/Logging_HOGSBY/klagomål/A 63075-2019.docx", "A 63075-2019")</f>
        <v/>
      </c>
      <c r="W414">
        <f>HYPERLINK("https://klasma.github.io/Logging_HOGSBY/klagomålsmail/A 63075-2019.docx", "A 63075-2019")</f>
        <v/>
      </c>
      <c r="X414">
        <f>HYPERLINK("https://klasma.github.io/Logging_HOGSBY/tillsyn/A 63075-2019.docx", "A 63075-2019")</f>
        <v/>
      </c>
      <c r="Y414">
        <f>HYPERLINK("https://klasma.github.io/Logging_HOGSBY/tillsynsmail/A 63075-2019.docx", "A 63075-2019")</f>
        <v/>
      </c>
    </row>
    <row r="415" ht="15" customHeight="1">
      <c r="A415" t="inlineStr">
        <is>
          <t>A 64121-2019</t>
        </is>
      </c>
      <c r="B415" s="1" t="n">
        <v>43796</v>
      </c>
      <c r="C415" s="1" t="n">
        <v>45205</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HYPERLINK("https://klasma.github.io/Logging_BORGHOLM/artfynd/A 64121-2019.xlsx", "A 64121-2019")</f>
        <v/>
      </c>
      <c r="T415">
        <f>HYPERLINK("https://klasma.github.io/Logging_BORGHOLM/kartor/A 64121-2019.png", "A 64121-2019")</f>
        <v/>
      </c>
      <c r="V415">
        <f>HYPERLINK("https://klasma.github.io/Logging_BORGHOLM/klagomål/A 64121-2019.docx", "A 64121-2019")</f>
        <v/>
      </c>
      <c r="W415">
        <f>HYPERLINK("https://klasma.github.io/Logging_BORGHOLM/klagomålsmail/A 64121-2019.docx", "A 64121-2019")</f>
        <v/>
      </c>
      <c r="X415">
        <f>HYPERLINK("https://klasma.github.io/Logging_BORGHOLM/tillsyn/A 64121-2019.docx", "A 64121-2019")</f>
        <v/>
      </c>
      <c r="Y415">
        <f>HYPERLINK("https://klasma.github.io/Logging_BORGHOLM/tillsynsmail/A 64121-2019.docx", "A 64121-2019")</f>
        <v/>
      </c>
    </row>
    <row r="416" ht="15" customHeight="1">
      <c r="A416" t="inlineStr">
        <is>
          <t>A 64120-2019</t>
        </is>
      </c>
      <c r="B416" s="1" t="n">
        <v>43796</v>
      </c>
      <c r="C416" s="1" t="n">
        <v>45205</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HYPERLINK("https://klasma.github.io/Logging_BORGHOLM/artfynd/A 64120-2019.xlsx", "A 64120-2019")</f>
        <v/>
      </c>
      <c r="T416">
        <f>HYPERLINK("https://klasma.github.io/Logging_BORGHOLM/kartor/A 64120-2019.png", "A 64120-2019")</f>
        <v/>
      </c>
      <c r="V416">
        <f>HYPERLINK("https://klasma.github.io/Logging_BORGHOLM/klagomål/A 64120-2019.docx", "A 64120-2019")</f>
        <v/>
      </c>
      <c r="W416">
        <f>HYPERLINK("https://klasma.github.io/Logging_BORGHOLM/klagomålsmail/A 64120-2019.docx", "A 64120-2019")</f>
        <v/>
      </c>
      <c r="X416">
        <f>HYPERLINK("https://klasma.github.io/Logging_BORGHOLM/tillsyn/A 64120-2019.docx", "A 64120-2019")</f>
        <v/>
      </c>
      <c r="Y416">
        <f>HYPERLINK("https://klasma.github.io/Logging_BORGHOLM/tillsynsmail/A 64120-2019.docx", "A 64120-2019")</f>
        <v/>
      </c>
    </row>
    <row r="417" ht="15" customHeight="1">
      <c r="A417" t="inlineStr">
        <is>
          <t>A 64356-2019</t>
        </is>
      </c>
      <c r="B417" s="1" t="n">
        <v>43797</v>
      </c>
      <c r="C417" s="1" t="n">
        <v>45205</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HYPERLINK("https://klasma.github.io/Logging_VIMMERBY/artfynd/A 64356-2019.xlsx", "A 64356-2019")</f>
        <v/>
      </c>
      <c r="T417">
        <f>HYPERLINK("https://klasma.github.io/Logging_VIMMERBY/kartor/A 64356-2019.png", "A 64356-2019")</f>
        <v/>
      </c>
      <c r="V417">
        <f>HYPERLINK("https://klasma.github.io/Logging_VIMMERBY/klagomål/A 64356-2019.docx", "A 64356-2019")</f>
        <v/>
      </c>
      <c r="W417">
        <f>HYPERLINK("https://klasma.github.io/Logging_VIMMERBY/klagomålsmail/A 64356-2019.docx", "A 64356-2019")</f>
        <v/>
      </c>
      <c r="X417">
        <f>HYPERLINK("https://klasma.github.io/Logging_VIMMERBY/tillsyn/A 64356-2019.docx", "A 64356-2019")</f>
        <v/>
      </c>
      <c r="Y417">
        <f>HYPERLINK("https://klasma.github.io/Logging_VIMMERBY/tillsynsmail/A 64356-2019.docx", "A 64356-2019")</f>
        <v/>
      </c>
    </row>
    <row r="418" ht="15" customHeight="1">
      <c r="A418" t="inlineStr">
        <is>
          <t>A 64844-2019</t>
        </is>
      </c>
      <c r="B418" s="1" t="n">
        <v>43801</v>
      </c>
      <c r="C418" s="1" t="n">
        <v>45205</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HYPERLINK("https://klasma.github.io/Logging_NYBRO/artfynd/A 64844-2019.xlsx", "A 64844-2019")</f>
        <v/>
      </c>
      <c r="T418">
        <f>HYPERLINK("https://klasma.github.io/Logging_NYBRO/kartor/A 64844-2019.png", "A 64844-2019")</f>
        <v/>
      </c>
      <c r="V418">
        <f>HYPERLINK("https://klasma.github.io/Logging_NYBRO/klagomål/A 64844-2019.docx", "A 64844-2019")</f>
        <v/>
      </c>
      <c r="W418">
        <f>HYPERLINK("https://klasma.github.io/Logging_NYBRO/klagomålsmail/A 64844-2019.docx", "A 64844-2019")</f>
        <v/>
      </c>
      <c r="X418">
        <f>HYPERLINK("https://klasma.github.io/Logging_NYBRO/tillsyn/A 64844-2019.docx", "A 64844-2019")</f>
        <v/>
      </c>
      <c r="Y418">
        <f>HYPERLINK("https://klasma.github.io/Logging_NYBRO/tillsynsmail/A 64844-2019.docx", "A 64844-2019")</f>
        <v/>
      </c>
    </row>
    <row r="419" ht="15" customHeight="1">
      <c r="A419" t="inlineStr">
        <is>
          <t>A 65105-2019</t>
        </is>
      </c>
      <c r="B419" s="1" t="n">
        <v>43802</v>
      </c>
      <c r="C419" s="1" t="n">
        <v>45205</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HYPERLINK("https://klasma.github.io/Logging_MONSTERAS/artfynd/A 65105-2019.xlsx", "A 65105-2019")</f>
        <v/>
      </c>
      <c r="T419">
        <f>HYPERLINK("https://klasma.github.io/Logging_MONSTERAS/kartor/A 65105-2019.png", "A 65105-2019")</f>
        <v/>
      </c>
      <c r="V419">
        <f>HYPERLINK("https://klasma.github.io/Logging_MONSTERAS/klagomål/A 65105-2019.docx", "A 65105-2019")</f>
        <v/>
      </c>
      <c r="W419">
        <f>HYPERLINK("https://klasma.github.io/Logging_MONSTERAS/klagomålsmail/A 65105-2019.docx", "A 65105-2019")</f>
        <v/>
      </c>
      <c r="X419">
        <f>HYPERLINK("https://klasma.github.io/Logging_MONSTERAS/tillsyn/A 65105-2019.docx", "A 65105-2019")</f>
        <v/>
      </c>
      <c r="Y419">
        <f>HYPERLINK("https://klasma.github.io/Logging_MONSTERAS/tillsynsmail/A 65105-2019.docx", "A 65105-2019")</f>
        <v/>
      </c>
    </row>
    <row r="420" ht="15" customHeight="1">
      <c r="A420" t="inlineStr">
        <is>
          <t>A 67520-2019</t>
        </is>
      </c>
      <c r="B420" s="1" t="n">
        <v>43815</v>
      </c>
      <c r="C420" s="1" t="n">
        <v>45205</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HYPERLINK("https://klasma.github.io/Logging_NYBRO/artfynd/A 67520-2019.xlsx", "A 67520-2019")</f>
        <v/>
      </c>
      <c r="T420">
        <f>HYPERLINK("https://klasma.github.io/Logging_NYBRO/kartor/A 67520-2019.png", "A 67520-2019")</f>
        <v/>
      </c>
      <c r="V420">
        <f>HYPERLINK("https://klasma.github.io/Logging_NYBRO/klagomål/A 67520-2019.docx", "A 67520-2019")</f>
        <v/>
      </c>
      <c r="W420">
        <f>HYPERLINK("https://klasma.github.io/Logging_NYBRO/klagomålsmail/A 67520-2019.docx", "A 67520-2019")</f>
        <v/>
      </c>
      <c r="X420">
        <f>HYPERLINK("https://klasma.github.io/Logging_NYBRO/tillsyn/A 67520-2019.docx", "A 67520-2019")</f>
        <v/>
      </c>
      <c r="Y420">
        <f>HYPERLINK("https://klasma.github.io/Logging_NYBRO/tillsynsmail/A 67520-2019.docx", "A 67520-2019")</f>
        <v/>
      </c>
    </row>
    <row r="421" ht="15" customHeight="1">
      <c r="A421" t="inlineStr">
        <is>
          <t>A 69121-2019</t>
        </is>
      </c>
      <c r="B421" s="1" t="n">
        <v>43815</v>
      </c>
      <c r="C421" s="1" t="n">
        <v>45205</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HYPERLINK("https://klasma.github.io/Logging_MONSTERAS/artfynd/A 69121-2019.xlsx", "A 69121-2019")</f>
        <v/>
      </c>
      <c r="T421">
        <f>HYPERLINK("https://klasma.github.io/Logging_MONSTERAS/kartor/A 69121-2019.png", "A 69121-2019")</f>
        <v/>
      </c>
      <c r="V421">
        <f>HYPERLINK("https://klasma.github.io/Logging_MONSTERAS/klagomål/A 69121-2019.docx", "A 69121-2019")</f>
        <v/>
      </c>
      <c r="W421">
        <f>HYPERLINK("https://klasma.github.io/Logging_MONSTERAS/klagomålsmail/A 69121-2019.docx", "A 69121-2019")</f>
        <v/>
      </c>
      <c r="X421">
        <f>HYPERLINK("https://klasma.github.io/Logging_MONSTERAS/tillsyn/A 69121-2019.docx", "A 69121-2019")</f>
        <v/>
      </c>
      <c r="Y421">
        <f>HYPERLINK("https://klasma.github.io/Logging_MONSTERAS/tillsynsmail/A 69121-2019.docx", "A 69121-2019")</f>
        <v/>
      </c>
    </row>
    <row r="422" ht="15" customHeight="1">
      <c r="A422" t="inlineStr">
        <is>
          <t>A 764-2020</t>
        </is>
      </c>
      <c r="B422" s="1" t="n">
        <v>43817</v>
      </c>
      <c r="C422" s="1" t="n">
        <v>45205</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HYPERLINK("https://klasma.github.io/Logging_NYBRO/artfynd/A 764-2020.xlsx", "A 764-2020")</f>
        <v/>
      </c>
      <c r="T422">
        <f>HYPERLINK("https://klasma.github.io/Logging_NYBRO/kartor/A 764-2020.png", "A 764-2020")</f>
        <v/>
      </c>
      <c r="V422">
        <f>HYPERLINK("https://klasma.github.io/Logging_NYBRO/klagomål/A 764-2020.docx", "A 764-2020")</f>
        <v/>
      </c>
      <c r="W422">
        <f>HYPERLINK("https://klasma.github.io/Logging_NYBRO/klagomålsmail/A 764-2020.docx", "A 764-2020")</f>
        <v/>
      </c>
      <c r="X422">
        <f>HYPERLINK("https://klasma.github.io/Logging_NYBRO/tillsyn/A 764-2020.docx", "A 764-2020")</f>
        <v/>
      </c>
      <c r="Y422">
        <f>HYPERLINK("https://klasma.github.io/Logging_NYBRO/tillsynsmail/A 764-2020.docx", "A 764-2020")</f>
        <v/>
      </c>
    </row>
    <row r="423" ht="15" customHeight="1">
      <c r="A423" t="inlineStr">
        <is>
          <t>A 3928-2020</t>
        </is>
      </c>
      <c r="B423" s="1" t="n">
        <v>43854</v>
      </c>
      <c r="C423" s="1" t="n">
        <v>45205</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HYPERLINK("https://klasma.github.io/Logging_KALMAR/artfynd/A 3928-2020.xlsx", "A 3928-2020")</f>
        <v/>
      </c>
      <c r="T423">
        <f>HYPERLINK("https://klasma.github.io/Logging_KALMAR/kartor/A 3928-2020.png", "A 3928-2020")</f>
        <v/>
      </c>
      <c r="V423">
        <f>HYPERLINK("https://klasma.github.io/Logging_KALMAR/klagomål/A 3928-2020.docx", "A 3928-2020")</f>
        <v/>
      </c>
      <c r="W423">
        <f>HYPERLINK("https://klasma.github.io/Logging_KALMAR/klagomålsmail/A 3928-2020.docx", "A 3928-2020")</f>
        <v/>
      </c>
      <c r="X423">
        <f>HYPERLINK("https://klasma.github.io/Logging_KALMAR/tillsyn/A 3928-2020.docx", "A 3928-2020")</f>
        <v/>
      </c>
      <c r="Y423">
        <f>HYPERLINK("https://klasma.github.io/Logging_KALMAR/tillsynsmail/A 3928-2020.docx", "A 3928-2020")</f>
        <v/>
      </c>
    </row>
    <row r="424" ht="15" customHeight="1">
      <c r="A424" t="inlineStr">
        <is>
          <t>A 5038-2020</t>
        </is>
      </c>
      <c r="B424" s="1" t="n">
        <v>43859</v>
      </c>
      <c r="C424" s="1" t="n">
        <v>45205</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HYPERLINK("https://klasma.github.io/Logging_MONSTERAS/artfynd/A 5038-2020.xlsx", "A 5038-2020")</f>
        <v/>
      </c>
      <c r="T424">
        <f>HYPERLINK("https://klasma.github.io/Logging_MONSTERAS/kartor/A 5038-2020.png", "A 5038-2020")</f>
        <v/>
      </c>
      <c r="U424">
        <f>HYPERLINK("https://klasma.github.io/Logging_MONSTERAS/knärot/A 5038-2020.png", "A 5038-2020")</f>
        <v/>
      </c>
      <c r="V424">
        <f>HYPERLINK("https://klasma.github.io/Logging_MONSTERAS/klagomål/A 5038-2020.docx", "A 5038-2020")</f>
        <v/>
      </c>
      <c r="W424">
        <f>HYPERLINK("https://klasma.github.io/Logging_MONSTERAS/klagomålsmail/A 5038-2020.docx", "A 5038-2020")</f>
        <v/>
      </c>
      <c r="X424">
        <f>HYPERLINK("https://klasma.github.io/Logging_MONSTERAS/tillsyn/A 5038-2020.docx", "A 5038-2020")</f>
        <v/>
      </c>
      <c r="Y424">
        <f>HYPERLINK("https://klasma.github.io/Logging_MONSTERAS/tillsynsmail/A 5038-2020.docx", "A 5038-2020")</f>
        <v/>
      </c>
    </row>
    <row r="425" ht="15" customHeight="1">
      <c r="A425" t="inlineStr">
        <is>
          <t>A 7371-2020</t>
        </is>
      </c>
      <c r="B425" s="1" t="n">
        <v>43871</v>
      </c>
      <c r="C425" s="1" t="n">
        <v>45205</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HYPERLINK("https://klasma.github.io/Logging_MONSTERAS/artfynd/A 7371-2020.xlsx", "A 7371-2020")</f>
        <v/>
      </c>
      <c r="T425">
        <f>HYPERLINK("https://klasma.github.io/Logging_MONSTERAS/kartor/A 7371-2020.png", "A 7371-2020")</f>
        <v/>
      </c>
      <c r="V425">
        <f>HYPERLINK("https://klasma.github.io/Logging_MONSTERAS/klagomål/A 7371-2020.docx", "A 7371-2020")</f>
        <v/>
      </c>
      <c r="W425">
        <f>HYPERLINK("https://klasma.github.io/Logging_MONSTERAS/klagomålsmail/A 7371-2020.docx", "A 7371-2020")</f>
        <v/>
      </c>
      <c r="X425">
        <f>HYPERLINK("https://klasma.github.io/Logging_MONSTERAS/tillsyn/A 7371-2020.docx", "A 7371-2020")</f>
        <v/>
      </c>
      <c r="Y425">
        <f>HYPERLINK("https://klasma.github.io/Logging_MONSTERAS/tillsynsmail/A 7371-2020.docx", "A 7371-2020")</f>
        <v/>
      </c>
    </row>
    <row r="426" ht="15" customHeight="1">
      <c r="A426" t="inlineStr">
        <is>
          <t>A 10900-2020</t>
        </is>
      </c>
      <c r="B426" s="1" t="n">
        <v>43885</v>
      </c>
      <c r="C426" s="1" t="n">
        <v>45205</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HYPERLINK("https://klasma.github.io/Logging_NYBRO/artfynd/A 10900-2020.xlsx", "A 10900-2020")</f>
        <v/>
      </c>
      <c r="T426">
        <f>HYPERLINK("https://klasma.github.io/Logging_NYBRO/kartor/A 10900-2020.png", "A 10900-2020")</f>
        <v/>
      </c>
      <c r="U426">
        <f>HYPERLINK("https://klasma.github.io/Logging_NYBRO/knärot/A 10900-2020.png", "A 10900-2020")</f>
        <v/>
      </c>
      <c r="V426">
        <f>HYPERLINK("https://klasma.github.io/Logging_NYBRO/klagomål/A 10900-2020.docx", "A 10900-2020")</f>
        <v/>
      </c>
      <c r="W426">
        <f>HYPERLINK("https://klasma.github.io/Logging_NYBRO/klagomålsmail/A 10900-2020.docx", "A 10900-2020")</f>
        <v/>
      </c>
      <c r="X426">
        <f>HYPERLINK("https://klasma.github.io/Logging_NYBRO/tillsyn/A 10900-2020.docx", "A 10900-2020")</f>
        <v/>
      </c>
      <c r="Y426">
        <f>HYPERLINK("https://klasma.github.io/Logging_NYBRO/tillsynsmail/A 10900-2020.docx", "A 10900-2020")</f>
        <v/>
      </c>
    </row>
    <row r="427" ht="15" customHeight="1">
      <c r="A427" t="inlineStr">
        <is>
          <t>A 10864-2020</t>
        </is>
      </c>
      <c r="B427" s="1" t="n">
        <v>43889</v>
      </c>
      <c r="C427" s="1" t="n">
        <v>45205</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HYPERLINK("https://klasma.github.io/Logging_HULTSFRED/artfynd/A 10864-2020.xlsx", "A 10864-2020")</f>
        <v/>
      </c>
      <c r="T427">
        <f>HYPERLINK("https://klasma.github.io/Logging_HULTSFRED/kartor/A 10864-2020.png", "A 10864-2020")</f>
        <v/>
      </c>
      <c r="V427">
        <f>HYPERLINK("https://klasma.github.io/Logging_HULTSFRED/klagomål/A 10864-2020.docx", "A 10864-2020")</f>
        <v/>
      </c>
      <c r="W427">
        <f>HYPERLINK("https://klasma.github.io/Logging_HULTSFRED/klagomålsmail/A 10864-2020.docx", "A 10864-2020")</f>
        <v/>
      </c>
      <c r="X427">
        <f>HYPERLINK("https://klasma.github.io/Logging_HULTSFRED/tillsyn/A 10864-2020.docx", "A 10864-2020")</f>
        <v/>
      </c>
      <c r="Y427">
        <f>HYPERLINK("https://klasma.github.io/Logging_HULTSFRED/tillsynsmail/A 10864-2020.docx", "A 10864-2020")</f>
        <v/>
      </c>
    </row>
    <row r="428" ht="15" customHeight="1">
      <c r="A428" t="inlineStr">
        <is>
          <t>A 13471-2020</t>
        </is>
      </c>
      <c r="B428" s="1" t="n">
        <v>43902</v>
      </c>
      <c r="C428" s="1" t="n">
        <v>45205</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HYPERLINK("https://klasma.github.io/Logging_HULTSFRED/artfynd/A 13471-2020.xlsx", "A 13471-2020")</f>
        <v/>
      </c>
      <c r="T428">
        <f>HYPERLINK("https://klasma.github.io/Logging_HULTSFRED/kartor/A 13471-2020.png", "A 13471-2020")</f>
        <v/>
      </c>
      <c r="U428">
        <f>HYPERLINK("https://klasma.github.io/Logging_HULTSFRED/knärot/A 13471-2020.png", "A 13471-2020")</f>
        <v/>
      </c>
      <c r="V428">
        <f>HYPERLINK("https://klasma.github.io/Logging_HULTSFRED/klagomål/A 13471-2020.docx", "A 13471-2020")</f>
        <v/>
      </c>
      <c r="W428">
        <f>HYPERLINK("https://klasma.github.io/Logging_HULTSFRED/klagomålsmail/A 13471-2020.docx", "A 13471-2020")</f>
        <v/>
      </c>
      <c r="X428">
        <f>HYPERLINK("https://klasma.github.io/Logging_HULTSFRED/tillsyn/A 13471-2020.docx", "A 13471-2020")</f>
        <v/>
      </c>
      <c r="Y428">
        <f>HYPERLINK("https://klasma.github.io/Logging_HULTSFRED/tillsynsmail/A 13471-2020.docx", "A 13471-2020")</f>
        <v/>
      </c>
    </row>
    <row r="429" ht="15" customHeight="1">
      <c r="A429" t="inlineStr">
        <is>
          <t>A 16608-2020</t>
        </is>
      </c>
      <c r="B429" s="1" t="n">
        <v>43908</v>
      </c>
      <c r="C429" s="1" t="n">
        <v>45205</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HYPERLINK("https://klasma.github.io/Logging_VASTERVIK/artfynd/A 16608-2020.xlsx", "A 16608-2020")</f>
        <v/>
      </c>
      <c r="T429">
        <f>HYPERLINK("https://klasma.github.io/Logging_VASTERVIK/kartor/A 16608-2020.png", "A 16608-2020")</f>
        <v/>
      </c>
      <c r="V429">
        <f>HYPERLINK("https://klasma.github.io/Logging_VASTERVIK/klagomål/A 16608-2020.docx", "A 16608-2020")</f>
        <v/>
      </c>
      <c r="W429">
        <f>HYPERLINK("https://klasma.github.io/Logging_VASTERVIK/klagomålsmail/A 16608-2020.docx", "A 16608-2020")</f>
        <v/>
      </c>
      <c r="X429">
        <f>HYPERLINK("https://klasma.github.io/Logging_VASTERVIK/tillsyn/A 16608-2020.docx", "A 16608-2020")</f>
        <v/>
      </c>
      <c r="Y429">
        <f>HYPERLINK("https://klasma.github.io/Logging_VASTERVIK/tillsynsmail/A 16608-2020.docx", "A 16608-2020")</f>
        <v/>
      </c>
    </row>
    <row r="430" ht="15" customHeight="1">
      <c r="A430" t="inlineStr">
        <is>
          <t>A 15357-2020</t>
        </is>
      </c>
      <c r="B430" s="1" t="n">
        <v>43913</v>
      </c>
      <c r="C430" s="1" t="n">
        <v>45205</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HYPERLINK("https://klasma.github.io/Logging_VASTERVIK/artfynd/A 15357-2020.xlsx", "A 15357-2020")</f>
        <v/>
      </c>
      <c r="T430">
        <f>HYPERLINK("https://klasma.github.io/Logging_VASTERVIK/kartor/A 15357-2020.png", "A 15357-2020")</f>
        <v/>
      </c>
      <c r="U430">
        <f>HYPERLINK("https://klasma.github.io/Logging_VASTERVIK/knärot/A 15357-2020.png", "A 15357-2020")</f>
        <v/>
      </c>
      <c r="V430">
        <f>HYPERLINK("https://klasma.github.io/Logging_VASTERVIK/klagomål/A 15357-2020.docx", "A 15357-2020")</f>
        <v/>
      </c>
      <c r="W430">
        <f>HYPERLINK("https://klasma.github.io/Logging_VASTERVIK/klagomålsmail/A 15357-2020.docx", "A 15357-2020")</f>
        <v/>
      </c>
      <c r="X430">
        <f>HYPERLINK("https://klasma.github.io/Logging_VASTERVIK/tillsyn/A 15357-2020.docx", "A 15357-2020")</f>
        <v/>
      </c>
      <c r="Y430">
        <f>HYPERLINK("https://klasma.github.io/Logging_VASTERVIK/tillsynsmail/A 15357-2020.docx", "A 15357-2020")</f>
        <v/>
      </c>
    </row>
    <row r="431" ht="15" customHeight="1">
      <c r="A431" t="inlineStr">
        <is>
          <t>A 17491-2020</t>
        </is>
      </c>
      <c r="B431" s="1" t="n">
        <v>43920</v>
      </c>
      <c r="C431" s="1" t="n">
        <v>45205</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HYPERLINK("https://klasma.github.io/Logging_HULTSFRED/artfynd/A 17491-2020.xlsx", "A 17491-2020")</f>
        <v/>
      </c>
      <c r="T431">
        <f>HYPERLINK("https://klasma.github.io/Logging_HULTSFRED/kartor/A 17491-2020.png", "A 17491-2020")</f>
        <v/>
      </c>
      <c r="V431">
        <f>HYPERLINK("https://klasma.github.io/Logging_HULTSFRED/klagomål/A 17491-2020.docx", "A 17491-2020")</f>
        <v/>
      </c>
      <c r="W431">
        <f>HYPERLINK("https://klasma.github.io/Logging_HULTSFRED/klagomålsmail/A 17491-2020.docx", "A 17491-2020")</f>
        <v/>
      </c>
      <c r="X431">
        <f>HYPERLINK("https://klasma.github.io/Logging_HULTSFRED/tillsyn/A 17491-2020.docx", "A 17491-2020")</f>
        <v/>
      </c>
      <c r="Y431">
        <f>HYPERLINK("https://klasma.github.io/Logging_HULTSFRED/tillsynsmail/A 17491-2020.docx", "A 17491-2020")</f>
        <v/>
      </c>
    </row>
    <row r="432" ht="15" customHeight="1">
      <c r="A432" t="inlineStr">
        <is>
          <t>A 18186-2020</t>
        </is>
      </c>
      <c r="B432" s="1" t="n">
        <v>43927</v>
      </c>
      <c r="C432" s="1" t="n">
        <v>45205</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HYPERLINK("https://klasma.github.io/Logging_KALMAR/artfynd/A 18186-2020.xlsx", "A 18186-2020")</f>
        <v/>
      </c>
      <c r="T432">
        <f>HYPERLINK("https://klasma.github.io/Logging_KALMAR/kartor/A 18186-2020.png", "A 18186-2020")</f>
        <v/>
      </c>
      <c r="V432">
        <f>HYPERLINK("https://klasma.github.io/Logging_KALMAR/klagomål/A 18186-2020.docx", "A 18186-2020")</f>
        <v/>
      </c>
      <c r="W432">
        <f>HYPERLINK("https://klasma.github.io/Logging_KALMAR/klagomålsmail/A 18186-2020.docx", "A 18186-2020")</f>
        <v/>
      </c>
      <c r="X432">
        <f>HYPERLINK("https://klasma.github.io/Logging_KALMAR/tillsyn/A 18186-2020.docx", "A 18186-2020")</f>
        <v/>
      </c>
      <c r="Y432">
        <f>HYPERLINK("https://klasma.github.io/Logging_KALMAR/tillsynsmail/A 18186-2020.docx", "A 18186-2020")</f>
        <v/>
      </c>
    </row>
    <row r="433" ht="15" customHeight="1">
      <c r="A433" t="inlineStr">
        <is>
          <t>A 18351-2020</t>
        </is>
      </c>
      <c r="B433" s="1" t="n">
        <v>43928</v>
      </c>
      <c r="C433" s="1" t="n">
        <v>45205</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HYPERLINK("https://klasma.github.io/Logging_KALMAR/artfynd/A 18351-2020.xlsx", "A 18351-2020")</f>
        <v/>
      </c>
      <c r="T433">
        <f>HYPERLINK("https://klasma.github.io/Logging_KALMAR/kartor/A 18351-2020.png", "A 18351-2020")</f>
        <v/>
      </c>
      <c r="V433">
        <f>HYPERLINK("https://klasma.github.io/Logging_KALMAR/klagomål/A 18351-2020.docx", "A 18351-2020")</f>
        <v/>
      </c>
      <c r="W433">
        <f>HYPERLINK("https://klasma.github.io/Logging_KALMAR/klagomålsmail/A 18351-2020.docx", "A 18351-2020")</f>
        <v/>
      </c>
      <c r="X433">
        <f>HYPERLINK("https://klasma.github.io/Logging_KALMAR/tillsyn/A 18351-2020.docx", "A 18351-2020")</f>
        <v/>
      </c>
      <c r="Y433">
        <f>HYPERLINK("https://klasma.github.io/Logging_KALMAR/tillsynsmail/A 18351-2020.docx", "A 18351-2020")</f>
        <v/>
      </c>
    </row>
    <row r="434" ht="15" customHeight="1">
      <c r="A434" t="inlineStr">
        <is>
          <t>A 22170-2020</t>
        </is>
      </c>
      <c r="B434" s="1" t="n">
        <v>43956</v>
      </c>
      <c r="C434" s="1" t="n">
        <v>45205</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HYPERLINK("https://klasma.github.io/Logging_MORBYLANGA/artfynd/A 22170-2020.xlsx", "A 22170-2020")</f>
        <v/>
      </c>
      <c r="T434">
        <f>HYPERLINK("https://klasma.github.io/Logging_MORBYLANGA/kartor/A 22170-2020.png", "A 22170-2020")</f>
        <v/>
      </c>
      <c r="V434">
        <f>HYPERLINK("https://klasma.github.io/Logging_MORBYLANGA/klagomål/A 22170-2020.docx", "A 22170-2020")</f>
        <v/>
      </c>
      <c r="W434">
        <f>HYPERLINK("https://klasma.github.io/Logging_MORBYLANGA/klagomålsmail/A 22170-2020.docx", "A 22170-2020")</f>
        <v/>
      </c>
      <c r="X434">
        <f>HYPERLINK("https://klasma.github.io/Logging_MORBYLANGA/tillsyn/A 22170-2020.docx", "A 22170-2020")</f>
        <v/>
      </c>
      <c r="Y434">
        <f>HYPERLINK("https://klasma.github.io/Logging_MORBYLANGA/tillsynsmail/A 22170-2020.docx", "A 22170-2020")</f>
        <v/>
      </c>
    </row>
    <row r="435" ht="15" customHeight="1">
      <c r="A435" t="inlineStr">
        <is>
          <t>A 22149-2020</t>
        </is>
      </c>
      <c r="B435" s="1" t="n">
        <v>43961</v>
      </c>
      <c r="C435" s="1" t="n">
        <v>45205</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HYPERLINK("https://klasma.github.io/Logging_NYBRO/artfynd/A 22149-2020.xlsx", "A 22149-2020")</f>
        <v/>
      </c>
      <c r="T435">
        <f>HYPERLINK("https://klasma.github.io/Logging_NYBRO/kartor/A 22149-2020.png", "A 22149-2020")</f>
        <v/>
      </c>
      <c r="V435">
        <f>HYPERLINK("https://klasma.github.io/Logging_NYBRO/klagomål/A 22149-2020.docx", "A 22149-2020")</f>
        <v/>
      </c>
      <c r="W435">
        <f>HYPERLINK("https://klasma.github.io/Logging_NYBRO/klagomålsmail/A 22149-2020.docx", "A 22149-2020")</f>
        <v/>
      </c>
      <c r="X435">
        <f>HYPERLINK("https://klasma.github.io/Logging_NYBRO/tillsyn/A 22149-2020.docx", "A 22149-2020")</f>
        <v/>
      </c>
      <c r="Y435">
        <f>HYPERLINK("https://klasma.github.io/Logging_NYBRO/tillsynsmail/A 22149-2020.docx", "A 22149-2020")</f>
        <v/>
      </c>
    </row>
    <row r="436" ht="15" customHeight="1">
      <c r="A436" t="inlineStr">
        <is>
          <t>A 22391-2020</t>
        </is>
      </c>
      <c r="B436" s="1" t="n">
        <v>43962</v>
      </c>
      <c r="C436" s="1" t="n">
        <v>45205</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HYPERLINK("https://klasma.github.io/Logging_HULTSFRED/artfynd/A 22391-2020.xlsx", "A 22391-2020")</f>
        <v/>
      </c>
      <c r="T436">
        <f>HYPERLINK("https://klasma.github.io/Logging_HULTSFRED/kartor/A 22391-2020.png", "A 22391-2020")</f>
        <v/>
      </c>
      <c r="V436">
        <f>HYPERLINK("https://klasma.github.io/Logging_HULTSFRED/klagomål/A 22391-2020.docx", "A 22391-2020")</f>
        <v/>
      </c>
      <c r="W436">
        <f>HYPERLINK("https://klasma.github.io/Logging_HULTSFRED/klagomålsmail/A 22391-2020.docx", "A 22391-2020")</f>
        <v/>
      </c>
      <c r="X436">
        <f>HYPERLINK("https://klasma.github.io/Logging_HULTSFRED/tillsyn/A 22391-2020.docx", "A 22391-2020")</f>
        <v/>
      </c>
      <c r="Y436">
        <f>HYPERLINK("https://klasma.github.io/Logging_HULTSFRED/tillsynsmail/A 22391-2020.docx", "A 22391-2020")</f>
        <v/>
      </c>
    </row>
    <row r="437" ht="15" customHeight="1">
      <c r="A437" t="inlineStr">
        <is>
          <t>A 22629-2020</t>
        </is>
      </c>
      <c r="B437" s="1" t="n">
        <v>43963</v>
      </c>
      <c r="C437" s="1" t="n">
        <v>45205</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HYPERLINK("https://klasma.github.io/Logging_NYBRO/artfynd/A 22629-2020.xlsx", "A 22629-2020")</f>
        <v/>
      </c>
      <c r="T437">
        <f>HYPERLINK("https://klasma.github.io/Logging_NYBRO/kartor/A 22629-2020.png", "A 22629-2020")</f>
        <v/>
      </c>
      <c r="V437">
        <f>HYPERLINK("https://klasma.github.io/Logging_NYBRO/klagomål/A 22629-2020.docx", "A 22629-2020")</f>
        <v/>
      </c>
      <c r="W437">
        <f>HYPERLINK("https://klasma.github.io/Logging_NYBRO/klagomålsmail/A 22629-2020.docx", "A 22629-2020")</f>
        <v/>
      </c>
      <c r="X437">
        <f>HYPERLINK("https://klasma.github.io/Logging_NYBRO/tillsyn/A 22629-2020.docx", "A 22629-2020")</f>
        <v/>
      </c>
      <c r="Y437">
        <f>HYPERLINK("https://klasma.github.io/Logging_NYBRO/tillsynsmail/A 22629-2020.docx", "A 22629-2020")</f>
        <v/>
      </c>
    </row>
    <row r="438" ht="15" customHeight="1">
      <c r="A438" t="inlineStr">
        <is>
          <t>A 25736-2020</t>
        </is>
      </c>
      <c r="B438" s="1" t="n">
        <v>43984</v>
      </c>
      <c r="C438" s="1" t="n">
        <v>45205</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HYPERLINK("https://klasma.github.io/Logging_NYBRO/artfynd/A 25736-2020.xlsx", "A 25736-2020")</f>
        <v/>
      </c>
      <c r="T438">
        <f>HYPERLINK("https://klasma.github.io/Logging_NYBRO/kartor/A 25736-2020.png", "A 25736-2020")</f>
        <v/>
      </c>
      <c r="V438">
        <f>HYPERLINK("https://klasma.github.io/Logging_NYBRO/klagomål/A 25736-2020.docx", "A 25736-2020")</f>
        <v/>
      </c>
      <c r="W438">
        <f>HYPERLINK("https://klasma.github.io/Logging_NYBRO/klagomålsmail/A 25736-2020.docx", "A 25736-2020")</f>
        <v/>
      </c>
      <c r="X438">
        <f>HYPERLINK("https://klasma.github.io/Logging_NYBRO/tillsyn/A 25736-2020.docx", "A 25736-2020")</f>
        <v/>
      </c>
      <c r="Y438">
        <f>HYPERLINK("https://klasma.github.io/Logging_NYBRO/tillsynsmail/A 25736-2020.docx", "A 25736-2020")</f>
        <v/>
      </c>
    </row>
    <row r="439" ht="15" customHeight="1">
      <c r="A439" t="inlineStr">
        <is>
          <t>A 29616-2020</t>
        </is>
      </c>
      <c r="B439" s="1" t="n">
        <v>44004</v>
      </c>
      <c r="C439" s="1" t="n">
        <v>45205</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HYPERLINK("https://klasma.github.io/Logging_MONSTERAS/artfynd/A 29616-2020.xlsx", "A 29616-2020")</f>
        <v/>
      </c>
      <c r="T439">
        <f>HYPERLINK("https://klasma.github.io/Logging_MONSTERAS/kartor/A 29616-2020.png", "A 29616-2020")</f>
        <v/>
      </c>
      <c r="V439">
        <f>HYPERLINK("https://klasma.github.io/Logging_MONSTERAS/klagomål/A 29616-2020.docx", "A 29616-2020")</f>
        <v/>
      </c>
      <c r="W439">
        <f>HYPERLINK("https://klasma.github.io/Logging_MONSTERAS/klagomålsmail/A 29616-2020.docx", "A 29616-2020")</f>
        <v/>
      </c>
      <c r="X439">
        <f>HYPERLINK("https://klasma.github.io/Logging_MONSTERAS/tillsyn/A 29616-2020.docx", "A 29616-2020")</f>
        <v/>
      </c>
      <c r="Y439">
        <f>HYPERLINK("https://klasma.github.io/Logging_MONSTERAS/tillsynsmail/A 29616-2020.docx", "A 29616-2020")</f>
        <v/>
      </c>
    </row>
    <row r="440" ht="15" customHeight="1">
      <c r="A440" t="inlineStr">
        <is>
          <t>A 30772-2020</t>
        </is>
      </c>
      <c r="B440" s="1" t="n">
        <v>44009</v>
      </c>
      <c r="C440" s="1" t="n">
        <v>45205</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HYPERLINK("https://klasma.github.io/Logging_NYBRO/artfynd/A 30772-2020.xlsx", "A 30772-2020")</f>
        <v/>
      </c>
      <c r="T440">
        <f>HYPERLINK("https://klasma.github.io/Logging_NYBRO/kartor/A 30772-2020.png", "A 30772-2020")</f>
        <v/>
      </c>
      <c r="V440">
        <f>HYPERLINK("https://klasma.github.io/Logging_NYBRO/klagomål/A 30772-2020.docx", "A 30772-2020")</f>
        <v/>
      </c>
      <c r="W440">
        <f>HYPERLINK("https://klasma.github.io/Logging_NYBRO/klagomålsmail/A 30772-2020.docx", "A 30772-2020")</f>
        <v/>
      </c>
      <c r="X440">
        <f>HYPERLINK("https://klasma.github.io/Logging_NYBRO/tillsyn/A 30772-2020.docx", "A 30772-2020")</f>
        <v/>
      </c>
      <c r="Y440">
        <f>HYPERLINK("https://klasma.github.io/Logging_NYBRO/tillsynsmail/A 30772-2020.docx", "A 30772-2020")</f>
        <v/>
      </c>
    </row>
    <row r="441" ht="15" customHeight="1">
      <c r="A441" t="inlineStr">
        <is>
          <t>A 32143-2020</t>
        </is>
      </c>
      <c r="B441" s="1" t="n">
        <v>44015</v>
      </c>
      <c r="C441" s="1" t="n">
        <v>45205</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HYPERLINK("https://klasma.github.io/Logging_MONSTERAS/artfynd/A 32143-2020.xlsx", "A 32143-2020")</f>
        <v/>
      </c>
      <c r="T441">
        <f>HYPERLINK("https://klasma.github.io/Logging_MONSTERAS/kartor/A 32143-2020.png", "A 32143-2020")</f>
        <v/>
      </c>
      <c r="V441">
        <f>HYPERLINK("https://klasma.github.io/Logging_MONSTERAS/klagomål/A 32143-2020.docx", "A 32143-2020")</f>
        <v/>
      </c>
      <c r="W441">
        <f>HYPERLINK("https://klasma.github.io/Logging_MONSTERAS/klagomålsmail/A 32143-2020.docx", "A 32143-2020")</f>
        <v/>
      </c>
      <c r="X441">
        <f>HYPERLINK("https://klasma.github.io/Logging_MONSTERAS/tillsyn/A 32143-2020.docx", "A 32143-2020")</f>
        <v/>
      </c>
      <c r="Y441">
        <f>HYPERLINK("https://klasma.github.io/Logging_MONSTERAS/tillsynsmail/A 32143-2020.docx", "A 32143-2020")</f>
        <v/>
      </c>
    </row>
    <row r="442" ht="15" customHeight="1">
      <c r="A442" t="inlineStr">
        <is>
          <t>A 35462-2020</t>
        </is>
      </c>
      <c r="B442" s="1" t="n">
        <v>44042</v>
      </c>
      <c r="C442" s="1" t="n">
        <v>45205</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HYPERLINK("https://klasma.github.io/Logging_VIMMERBY/artfynd/A 35462-2020.xlsx", "A 35462-2020")</f>
        <v/>
      </c>
      <c r="T442">
        <f>HYPERLINK("https://klasma.github.io/Logging_VIMMERBY/kartor/A 35462-2020.png", "A 35462-2020")</f>
        <v/>
      </c>
      <c r="V442">
        <f>HYPERLINK("https://klasma.github.io/Logging_VIMMERBY/klagomål/A 35462-2020.docx", "A 35462-2020")</f>
        <v/>
      </c>
      <c r="W442">
        <f>HYPERLINK("https://klasma.github.io/Logging_VIMMERBY/klagomålsmail/A 35462-2020.docx", "A 35462-2020")</f>
        <v/>
      </c>
      <c r="X442">
        <f>HYPERLINK("https://klasma.github.io/Logging_VIMMERBY/tillsyn/A 35462-2020.docx", "A 35462-2020")</f>
        <v/>
      </c>
      <c r="Y442">
        <f>HYPERLINK("https://klasma.github.io/Logging_VIMMERBY/tillsynsmail/A 35462-2020.docx", "A 35462-2020")</f>
        <v/>
      </c>
    </row>
    <row r="443" ht="15" customHeight="1">
      <c r="A443" t="inlineStr">
        <is>
          <t>A 36717-2020</t>
        </is>
      </c>
      <c r="B443" s="1" t="n">
        <v>44053</v>
      </c>
      <c r="C443" s="1" t="n">
        <v>45205</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HYPERLINK("https://klasma.github.io/Logging_HULTSFRED/artfynd/A 36717-2020.xlsx", "A 36717-2020")</f>
        <v/>
      </c>
      <c r="T443">
        <f>HYPERLINK("https://klasma.github.io/Logging_HULTSFRED/kartor/A 36717-2020.png", "A 36717-2020")</f>
        <v/>
      </c>
      <c r="V443">
        <f>HYPERLINK("https://klasma.github.io/Logging_HULTSFRED/klagomål/A 36717-2020.docx", "A 36717-2020")</f>
        <v/>
      </c>
      <c r="W443">
        <f>HYPERLINK("https://klasma.github.io/Logging_HULTSFRED/klagomålsmail/A 36717-2020.docx", "A 36717-2020")</f>
        <v/>
      </c>
      <c r="X443">
        <f>HYPERLINK("https://klasma.github.io/Logging_HULTSFRED/tillsyn/A 36717-2020.docx", "A 36717-2020")</f>
        <v/>
      </c>
      <c r="Y443">
        <f>HYPERLINK("https://klasma.github.io/Logging_HULTSFRED/tillsynsmail/A 36717-2020.docx", "A 36717-2020")</f>
        <v/>
      </c>
    </row>
    <row r="444" ht="15" customHeight="1">
      <c r="A444" t="inlineStr">
        <is>
          <t>A 37170-2020</t>
        </is>
      </c>
      <c r="B444" s="1" t="n">
        <v>44054</v>
      </c>
      <c r="C444" s="1" t="n">
        <v>45205</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HYPERLINK("https://klasma.github.io/Logging_EMMABODA/artfynd/A 37170-2020.xlsx", "A 37170-2020")</f>
        <v/>
      </c>
      <c r="T444">
        <f>HYPERLINK("https://klasma.github.io/Logging_EMMABODA/kartor/A 37170-2020.png", "A 37170-2020")</f>
        <v/>
      </c>
      <c r="V444">
        <f>HYPERLINK("https://klasma.github.io/Logging_EMMABODA/klagomål/A 37170-2020.docx", "A 37170-2020")</f>
        <v/>
      </c>
      <c r="W444">
        <f>HYPERLINK("https://klasma.github.io/Logging_EMMABODA/klagomålsmail/A 37170-2020.docx", "A 37170-2020")</f>
        <v/>
      </c>
      <c r="X444">
        <f>HYPERLINK("https://klasma.github.io/Logging_EMMABODA/tillsyn/A 37170-2020.docx", "A 37170-2020")</f>
        <v/>
      </c>
      <c r="Y444">
        <f>HYPERLINK("https://klasma.github.io/Logging_EMMABODA/tillsynsmail/A 37170-2020.docx", "A 37170-2020")</f>
        <v/>
      </c>
    </row>
    <row r="445" ht="15" customHeight="1">
      <c r="A445" t="inlineStr">
        <is>
          <t>A 37939-2020</t>
        </is>
      </c>
      <c r="B445" s="1" t="n">
        <v>44057</v>
      </c>
      <c r="C445" s="1" t="n">
        <v>45205</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HYPERLINK("https://klasma.github.io/Logging_NYBRO/artfynd/A 37939-2020.xlsx", "A 37939-2020")</f>
        <v/>
      </c>
      <c r="T445">
        <f>HYPERLINK("https://klasma.github.io/Logging_NYBRO/kartor/A 37939-2020.png", "A 37939-2020")</f>
        <v/>
      </c>
      <c r="V445">
        <f>HYPERLINK("https://klasma.github.io/Logging_NYBRO/klagomål/A 37939-2020.docx", "A 37939-2020")</f>
        <v/>
      </c>
      <c r="W445">
        <f>HYPERLINK("https://klasma.github.io/Logging_NYBRO/klagomålsmail/A 37939-2020.docx", "A 37939-2020")</f>
        <v/>
      </c>
      <c r="X445">
        <f>HYPERLINK("https://klasma.github.io/Logging_NYBRO/tillsyn/A 37939-2020.docx", "A 37939-2020")</f>
        <v/>
      </c>
      <c r="Y445">
        <f>HYPERLINK("https://klasma.github.io/Logging_NYBRO/tillsynsmail/A 37939-2020.docx", "A 37939-2020")</f>
        <v/>
      </c>
    </row>
    <row r="446" ht="15" customHeight="1">
      <c r="A446" t="inlineStr">
        <is>
          <t>A 38830-2020</t>
        </is>
      </c>
      <c r="B446" s="1" t="n">
        <v>44062</v>
      </c>
      <c r="C446" s="1" t="n">
        <v>45205</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HYPERLINK("https://klasma.github.io/Logging_OSKARSHAMN/artfynd/A 38830-2020.xlsx", "A 38830-2020")</f>
        <v/>
      </c>
      <c r="T446">
        <f>HYPERLINK("https://klasma.github.io/Logging_OSKARSHAMN/kartor/A 38830-2020.png", "A 38830-2020")</f>
        <v/>
      </c>
      <c r="V446">
        <f>HYPERLINK("https://klasma.github.io/Logging_OSKARSHAMN/klagomål/A 38830-2020.docx", "A 38830-2020")</f>
        <v/>
      </c>
      <c r="W446">
        <f>HYPERLINK("https://klasma.github.io/Logging_OSKARSHAMN/klagomålsmail/A 38830-2020.docx", "A 38830-2020")</f>
        <v/>
      </c>
      <c r="X446">
        <f>HYPERLINK("https://klasma.github.io/Logging_OSKARSHAMN/tillsyn/A 38830-2020.docx", "A 38830-2020")</f>
        <v/>
      </c>
      <c r="Y446">
        <f>HYPERLINK("https://klasma.github.io/Logging_OSKARSHAMN/tillsynsmail/A 38830-2020.docx", "A 38830-2020")</f>
        <v/>
      </c>
    </row>
    <row r="447" ht="15" customHeight="1">
      <c r="A447" t="inlineStr">
        <is>
          <t>A 39836-2020</t>
        </is>
      </c>
      <c r="B447" s="1" t="n">
        <v>44064</v>
      </c>
      <c r="C447" s="1" t="n">
        <v>45205</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HYPERLINK("https://klasma.github.io/Logging_VASTERVIK/artfynd/A 39836-2020.xlsx", "A 39836-2020")</f>
        <v/>
      </c>
      <c r="T447">
        <f>HYPERLINK("https://klasma.github.io/Logging_VASTERVIK/kartor/A 39836-2020.png", "A 39836-2020")</f>
        <v/>
      </c>
      <c r="V447">
        <f>HYPERLINK("https://klasma.github.io/Logging_VASTERVIK/klagomål/A 39836-2020.docx", "A 39836-2020")</f>
        <v/>
      </c>
      <c r="W447">
        <f>HYPERLINK("https://klasma.github.io/Logging_VASTERVIK/klagomålsmail/A 39836-2020.docx", "A 39836-2020")</f>
        <v/>
      </c>
      <c r="X447">
        <f>HYPERLINK("https://klasma.github.io/Logging_VASTERVIK/tillsyn/A 39836-2020.docx", "A 39836-2020")</f>
        <v/>
      </c>
      <c r="Y447">
        <f>HYPERLINK("https://klasma.github.io/Logging_VASTERVIK/tillsynsmail/A 39836-2020.docx", "A 39836-2020")</f>
        <v/>
      </c>
    </row>
    <row r="448" ht="15" customHeight="1">
      <c r="A448" t="inlineStr">
        <is>
          <t>A 40734-2020</t>
        </is>
      </c>
      <c r="B448" s="1" t="n">
        <v>44069</v>
      </c>
      <c r="C448" s="1" t="n">
        <v>45205</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HYPERLINK("https://klasma.github.io/Logging_KALMAR/artfynd/A 40734-2020.xlsx", "A 40734-2020")</f>
        <v/>
      </c>
      <c r="T448">
        <f>HYPERLINK("https://klasma.github.io/Logging_KALMAR/kartor/A 40734-2020.png", "A 40734-2020")</f>
        <v/>
      </c>
      <c r="V448">
        <f>HYPERLINK("https://klasma.github.io/Logging_KALMAR/klagomål/A 40734-2020.docx", "A 40734-2020")</f>
        <v/>
      </c>
      <c r="W448">
        <f>HYPERLINK("https://klasma.github.io/Logging_KALMAR/klagomålsmail/A 40734-2020.docx", "A 40734-2020")</f>
        <v/>
      </c>
      <c r="X448">
        <f>HYPERLINK("https://klasma.github.io/Logging_KALMAR/tillsyn/A 40734-2020.docx", "A 40734-2020")</f>
        <v/>
      </c>
      <c r="Y448">
        <f>HYPERLINK("https://klasma.github.io/Logging_KALMAR/tillsynsmail/A 40734-2020.docx", "A 40734-2020")</f>
        <v/>
      </c>
    </row>
    <row r="449" ht="15" customHeight="1">
      <c r="A449" t="inlineStr">
        <is>
          <t>A 42097-2020</t>
        </is>
      </c>
      <c r="B449" s="1" t="n">
        <v>44075</v>
      </c>
      <c r="C449" s="1" t="n">
        <v>45205</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HYPERLINK("https://klasma.github.io/Logging_VIMMERBY/artfynd/A 42097-2020.xlsx", "A 42097-2020")</f>
        <v/>
      </c>
      <c r="T449">
        <f>HYPERLINK("https://klasma.github.io/Logging_VIMMERBY/kartor/A 42097-2020.png", "A 42097-2020")</f>
        <v/>
      </c>
      <c r="V449">
        <f>HYPERLINK("https://klasma.github.io/Logging_VIMMERBY/klagomål/A 42097-2020.docx", "A 42097-2020")</f>
        <v/>
      </c>
      <c r="W449">
        <f>HYPERLINK("https://klasma.github.io/Logging_VIMMERBY/klagomålsmail/A 42097-2020.docx", "A 42097-2020")</f>
        <v/>
      </c>
      <c r="X449">
        <f>HYPERLINK("https://klasma.github.io/Logging_VIMMERBY/tillsyn/A 42097-2020.docx", "A 42097-2020")</f>
        <v/>
      </c>
      <c r="Y449">
        <f>HYPERLINK("https://klasma.github.io/Logging_VIMMERBY/tillsynsmail/A 42097-2020.docx", "A 42097-2020")</f>
        <v/>
      </c>
    </row>
    <row r="450" ht="15" customHeight="1">
      <c r="A450" t="inlineStr">
        <is>
          <t>A 42248-2020</t>
        </is>
      </c>
      <c r="B450" s="1" t="n">
        <v>44076</v>
      </c>
      <c r="C450" s="1" t="n">
        <v>45205</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HYPERLINK("https://klasma.github.io/Logging_OSKARSHAMN/artfynd/A 42248-2020.xlsx", "A 42248-2020")</f>
        <v/>
      </c>
      <c r="T450">
        <f>HYPERLINK("https://klasma.github.io/Logging_OSKARSHAMN/kartor/A 42248-2020.png", "A 42248-2020")</f>
        <v/>
      </c>
      <c r="V450">
        <f>HYPERLINK("https://klasma.github.io/Logging_OSKARSHAMN/klagomål/A 42248-2020.docx", "A 42248-2020")</f>
        <v/>
      </c>
      <c r="W450">
        <f>HYPERLINK("https://klasma.github.io/Logging_OSKARSHAMN/klagomålsmail/A 42248-2020.docx", "A 42248-2020")</f>
        <v/>
      </c>
      <c r="X450">
        <f>HYPERLINK("https://klasma.github.io/Logging_OSKARSHAMN/tillsyn/A 42248-2020.docx", "A 42248-2020")</f>
        <v/>
      </c>
      <c r="Y450">
        <f>HYPERLINK("https://klasma.github.io/Logging_OSKARSHAMN/tillsynsmail/A 42248-2020.docx", "A 42248-2020")</f>
        <v/>
      </c>
    </row>
    <row r="451" ht="15" customHeight="1">
      <c r="A451" t="inlineStr">
        <is>
          <t>A 42694-2020</t>
        </is>
      </c>
      <c r="B451" s="1" t="n">
        <v>44077</v>
      </c>
      <c r="C451" s="1" t="n">
        <v>45205</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HYPERLINK("https://klasma.github.io/Logging_MORBYLANGA/artfynd/A 42694-2020.xlsx", "A 42694-2020")</f>
        <v/>
      </c>
      <c r="T451">
        <f>HYPERLINK("https://klasma.github.io/Logging_MORBYLANGA/kartor/A 42694-2020.png", "A 42694-2020")</f>
        <v/>
      </c>
      <c r="V451">
        <f>HYPERLINK("https://klasma.github.io/Logging_MORBYLANGA/klagomål/A 42694-2020.docx", "A 42694-2020")</f>
        <v/>
      </c>
      <c r="W451">
        <f>HYPERLINK("https://klasma.github.io/Logging_MORBYLANGA/klagomålsmail/A 42694-2020.docx", "A 42694-2020")</f>
        <v/>
      </c>
      <c r="X451">
        <f>HYPERLINK("https://klasma.github.io/Logging_MORBYLANGA/tillsyn/A 42694-2020.docx", "A 42694-2020")</f>
        <v/>
      </c>
      <c r="Y451">
        <f>HYPERLINK("https://klasma.github.io/Logging_MORBYLANGA/tillsynsmail/A 42694-2020.docx", "A 42694-2020")</f>
        <v/>
      </c>
    </row>
    <row r="452" ht="15" customHeight="1">
      <c r="A452" t="inlineStr">
        <is>
          <t>A 44306-2020</t>
        </is>
      </c>
      <c r="B452" s="1" t="n">
        <v>44082</v>
      </c>
      <c r="C452" s="1" t="n">
        <v>45205</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HYPERLINK("https://klasma.github.io/Logging_VIMMERBY/artfynd/A 44306-2020.xlsx", "A 44306-2020")</f>
        <v/>
      </c>
      <c r="T452">
        <f>HYPERLINK("https://klasma.github.io/Logging_VIMMERBY/kartor/A 44306-2020.png", "A 44306-2020")</f>
        <v/>
      </c>
      <c r="V452">
        <f>HYPERLINK("https://klasma.github.io/Logging_VIMMERBY/klagomål/A 44306-2020.docx", "A 44306-2020")</f>
        <v/>
      </c>
      <c r="W452">
        <f>HYPERLINK("https://klasma.github.io/Logging_VIMMERBY/klagomålsmail/A 44306-2020.docx", "A 44306-2020")</f>
        <v/>
      </c>
      <c r="X452">
        <f>HYPERLINK("https://klasma.github.io/Logging_VIMMERBY/tillsyn/A 44306-2020.docx", "A 44306-2020")</f>
        <v/>
      </c>
      <c r="Y452">
        <f>HYPERLINK("https://klasma.github.io/Logging_VIMMERBY/tillsynsmail/A 44306-2020.docx", "A 44306-2020")</f>
        <v/>
      </c>
    </row>
    <row r="453" ht="15" customHeight="1">
      <c r="A453" t="inlineStr">
        <is>
          <t>A 44078-2020</t>
        </is>
      </c>
      <c r="B453" s="1" t="n">
        <v>44083</v>
      </c>
      <c r="C453" s="1" t="n">
        <v>45205</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HYPERLINK("https://klasma.github.io/Logging_HOGSBY/artfynd/A 44078-2020.xlsx", "A 44078-2020")</f>
        <v/>
      </c>
      <c r="T453">
        <f>HYPERLINK("https://klasma.github.io/Logging_HOGSBY/kartor/A 44078-2020.png", "A 44078-2020")</f>
        <v/>
      </c>
      <c r="V453">
        <f>HYPERLINK("https://klasma.github.io/Logging_HOGSBY/klagomål/A 44078-2020.docx", "A 44078-2020")</f>
        <v/>
      </c>
      <c r="W453">
        <f>HYPERLINK("https://klasma.github.io/Logging_HOGSBY/klagomålsmail/A 44078-2020.docx", "A 44078-2020")</f>
        <v/>
      </c>
      <c r="X453">
        <f>HYPERLINK("https://klasma.github.io/Logging_HOGSBY/tillsyn/A 44078-2020.docx", "A 44078-2020")</f>
        <v/>
      </c>
      <c r="Y453">
        <f>HYPERLINK("https://klasma.github.io/Logging_HOGSBY/tillsynsmail/A 44078-2020.docx", "A 44078-2020")</f>
        <v/>
      </c>
    </row>
    <row r="454" ht="15" customHeight="1">
      <c r="A454" t="inlineStr">
        <is>
          <t>A 47009-2020</t>
        </is>
      </c>
      <c r="B454" s="1" t="n">
        <v>44091</v>
      </c>
      <c r="C454" s="1" t="n">
        <v>45205</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HYPERLINK("https://klasma.github.io/Logging_BORGHOLM/artfynd/A 47009-2020.xlsx", "A 47009-2020")</f>
        <v/>
      </c>
      <c r="T454">
        <f>HYPERLINK("https://klasma.github.io/Logging_BORGHOLM/kartor/A 47009-2020.png", "A 47009-2020")</f>
        <v/>
      </c>
      <c r="V454">
        <f>HYPERLINK("https://klasma.github.io/Logging_BORGHOLM/klagomål/A 47009-2020.docx", "A 47009-2020")</f>
        <v/>
      </c>
      <c r="W454">
        <f>HYPERLINK("https://klasma.github.io/Logging_BORGHOLM/klagomålsmail/A 47009-2020.docx", "A 47009-2020")</f>
        <v/>
      </c>
      <c r="X454">
        <f>HYPERLINK("https://klasma.github.io/Logging_BORGHOLM/tillsyn/A 47009-2020.docx", "A 47009-2020")</f>
        <v/>
      </c>
      <c r="Y454">
        <f>HYPERLINK("https://klasma.github.io/Logging_BORGHOLM/tillsynsmail/A 47009-2020.docx", "A 47009-2020")</f>
        <v/>
      </c>
    </row>
    <row r="455" ht="15" customHeight="1">
      <c r="A455" t="inlineStr">
        <is>
          <t>A 48581-2020</t>
        </is>
      </c>
      <c r="B455" s="1" t="n">
        <v>44103</v>
      </c>
      <c r="C455" s="1" t="n">
        <v>45205</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HYPERLINK("https://klasma.github.io/Logging_KALMAR/artfynd/A 48581-2020.xlsx", "A 48581-2020")</f>
        <v/>
      </c>
      <c r="T455">
        <f>HYPERLINK("https://klasma.github.io/Logging_KALMAR/kartor/A 48581-2020.png", "A 48581-2020")</f>
        <v/>
      </c>
      <c r="V455">
        <f>HYPERLINK("https://klasma.github.io/Logging_KALMAR/klagomål/A 48581-2020.docx", "A 48581-2020")</f>
        <v/>
      </c>
      <c r="W455">
        <f>HYPERLINK("https://klasma.github.io/Logging_KALMAR/klagomålsmail/A 48581-2020.docx", "A 48581-2020")</f>
        <v/>
      </c>
      <c r="X455">
        <f>HYPERLINK("https://klasma.github.io/Logging_KALMAR/tillsyn/A 48581-2020.docx", "A 48581-2020")</f>
        <v/>
      </c>
      <c r="Y455">
        <f>HYPERLINK("https://klasma.github.io/Logging_KALMAR/tillsynsmail/A 48581-2020.docx", "A 48581-2020")</f>
        <v/>
      </c>
    </row>
    <row r="456" ht="15" customHeight="1">
      <c r="A456" t="inlineStr">
        <is>
          <t>A 51595-2020</t>
        </is>
      </c>
      <c r="B456" s="1" t="n">
        <v>44109</v>
      </c>
      <c r="C456" s="1" t="n">
        <v>45205</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HYPERLINK("https://klasma.github.io/Logging_HOGSBY/artfynd/A 51595-2020.xlsx", "A 51595-2020")</f>
        <v/>
      </c>
      <c r="T456">
        <f>HYPERLINK("https://klasma.github.io/Logging_HOGSBY/kartor/A 51595-2020.png", "A 51595-2020")</f>
        <v/>
      </c>
      <c r="V456">
        <f>HYPERLINK("https://klasma.github.io/Logging_HOGSBY/klagomål/A 51595-2020.docx", "A 51595-2020")</f>
        <v/>
      </c>
      <c r="W456">
        <f>HYPERLINK("https://klasma.github.io/Logging_HOGSBY/klagomålsmail/A 51595-2020.docx", "A 51595-2020")</f>
        <v/>
      </c>
      <c r="X456">
        <f>HYPERLINK("https://klasma.github.io/Logging_HOGSBY/tillsyn/A 51595-2020.docx", "A 51595-2020")</f>
        <v/>
      </c>
      <c r="Y456">
        <f>HYPERLINK("https://klasma.github.io/Logging_HOGSBY/tillsynsmail/A 51595-2020.docx", "A 51595-2020")</f>
        <v/>
      </c>
    </row>
    <row r="457" ht="15" customHeight="1">
      <c r="A457" t="inlineStr">
        <is>
          <t>A 52954-2020</t>
        </is>
      </c>
      <c r="B457" s="1" t="n">
        <v>44120</v>
      </c>
      <c r="C457" s="1" t="n">
        <v>45205</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HYPERLINK("https://klasma.github.io/Logging_EMMABODA/artfynd/A 52954-2020.xlsx", "A 52954-2020")</f>
        <v/>
      </c>
      <c r="T457">
        <f>HYPERLINK("https://klasma.github.io/Logging_EMMABODA/kartor/A 52954-2020.png", "A 52954-2020")</f>
        <v/>
      </c>
      <c r="U457">
        <f>HYPERLINK("https://klasma.github.io/Logging_EMMABODA/knärot/A 52954-2020.png", "A 52954-2020")</f>
        <v/>
      </c>
      <c r="V457">
        <f>HYPERLINK("https://klasma.github.io/Logging_EMMABODA/klagomål/A 52954-2020.docx", "A 52954-2020")</f>
        <v/>
      </c>
      <c r="W457">
        <f>HYPERLINK("https://klasma.github.io/Logging_EMMABODA/klagomålsmail/A 52954-2020.docx", "A 52954-2020")</f>
        <v/>
      </c>
      <c r="X457">
        <f>HYPERLINK("https://klasma.github.io/Logging_EMMABODA/tillsyn/A 52954-2020.docx", "A 52954-2020")</f>
        <v/>
      </c>
      <c r="Y457">
        <f>HYPERLINK("https://klasma.github.io/Logging_EMMABODA/tillsynsmail/A 52954-2020.docx", "A 52954-2020")</f>
        <v/>
      </c>
    </row>
    <row r="458" ht="15" customHeight="1">
      <c r="A458" t="inlineStr">
        <is>
          <t>A 53125-2020</t>
        </is>
      </c>
      <c r="B458" s="1" t="n">
        <v>44120</v>
      </c>
      <c r="C458" s="1" t="n">
        <v>45205</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HYPERLINK("https://klasma.github.io/Logging_NYBRO/artfynd/A 53125-2020.xlsx", "A 53125-2020")</f>
        <v/>
      </c>
      <c r="T458">
        <f>HYPERLINK("https://klasma.github.io/Logging_NYBRO/kartor/A 53125-2020.png", "A 53125-2020")</f>
        <v/>
      </c>
      <c r="V458">
        <f>HYPERLINK("https://klasma.github.io/Logging_NYBRO/klagomål/A 53125-2020.docx", "A 53125-2020")</f>
        <v/>
      </c>
      <c r="W458">
        <f>HYPERLINK("https://klasma.github.io/Logging_NYBRO/klagomålsmail/A 53125-2020.docx", "A 53125-2020")</f>
        <v/>
      </c>
      <c r="X458">
        <f>HYPERLINK("https://klasma.github.io/Logging_NYBRO/tillsyn/A 53125-2020.docx", "A 53125-2020")</f>
        <v/>
      </c>
      <c r="Y458">
        <f>HYPERLINK("https://klasma.github.io/Logging_NYBRO/tillsynsmail/A 53125-2020.docx", "A 53125-2020")</f>
        <v/>
      </c>
    </row>
    <row r="459" ht="15" customHeight="1">
      <c r="A459" t="inlineStr">
        <is>
          <t>A 53706-2020</t>
        </is>
      </c>
      <c r="B459" s="1" t="n">
        <v>44124</v>
      </c>
      <c r="C459" s="1" t="n">
        <v>45205</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HYPERLINK("https://klasma.github.io/Logging_HULTSFRED/artfynd/A 53706-2020.xlsx", "A 53706-2020")</f>
        <v/>
      </c>
      <c r="T459">
        <f>HYPERLINK("https://klasma.github.io/Logging_HULTSFRED/kartor/A 53706-2020.png", "A 53706-2020")</f>
        <v/>
      </c>
      <c r="V459">
        <f>HYPERLINK("https://klasma.github.io/Logging_HULTSFRED/klagomål/A 53706-2020.docx", "A 53706-2020")</f>
        <v/>
      </c>
      <c r="W459">
        <f>HYPERLINK("https://klasma.github.io/Logging_HULTSFRED/klagomålsmail/A 53706-2020.docx", "A 53706-2020")</f>
        <v/>
      </c>
      <c r="X459">
        <f>HYPERLINK("https://klasma.github.io/Logging_HULTSFRED/tillsyn/A 53706-2020.docx", "A 53706-2020")</f>
        <v/>
      </c>
      <c r="Y459">
        <f>HYPERLINK("https://klasma.github.io/Logging_HULTSFRED/tillsynsmail/A 53706-2020.docx", "A 53706-2020")</f>
        <v/>
      </c>
    </row>
    <row r="460" ht="15" customHeight="1">
      <c r="A460" t="inlineStr">
        <is>
          <t>A 53918-2020</t>
        </is>
      </c>
      <c r="B460" s="1" t="n">
        <v>44125</v>
      </c>
      <c r="C460" s="1" t="n">
        <v>45205</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HYPERLINK("https://klasma.github.io/Logging_TORSAS/artfynd/A 53918-2020.xlsx", "A 53918-2020")</f>
        <v/>
      </c>
      <c r="T460">
        <f>HYPERLINK("https://klasma.github.io/Logging_TORSAS/kartor/A 53918-2020.png", "A 53918-2020")</f>
        <v/>
      </c>
      <c r="V460">
        <f>HYPERLINK("https://klasma.github.io/Logging_TORSAS/klagomål/A 53918-2020.docx", "A 53918-2020")</f>
        <v/>
      </c>
      <c r="W460">
        <f>HYPERLINK("https://klasma.github.io/Logging_TORSAS/klagomålsmail/A 53918-2020.docx", "A 53918-2020")</f>
        <v/>
      </c>
      <c r="X460">
        <f>HYPERLINK("https://klasma.github.io/Logging_TORSAS/tillsyn/A 53918-2020.docx", "A 53918-2020")</f>
        <v/>
      </c>
      <c r="Y460">
        <f>HYPERLINK("https://klasma.github.io/Logging_TORSAS/tillsynsmail/A 53918-2020.docx", "A 53918-2020")</f>
        <v/>
      </c>
    </row>
    <row r="461" ht="15" customHeight="1">
      <c r="A461" t="inlineStr">
        <is>
          <t>A 57949-2020</t>
        </is>
      </c>
      <c r="B461" s="1" t="n">
        <v>44142</v>
      </c>
      <c r="C461" s="1" t="n">
        <v>45205</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HYPERLINK("https://klasma.github.io/Logging_VIMMERBY/artfynd/A 57949-2020.xlsx", "A 57949-2020")</f>
        <v/>
      </c>
      <c r="T461">
        <f>HYPERLINK("https://klasma.github.io/Logging_VIMMERBY/kartor/A 57949-2020.png", "A 57949-2020")</f>
        <v/>
      </c>
      <c r="V461">
        <f>HYPERLINK("https://klasma.github.io/Logging_VIMMERBY/klagomål/A 57949-2020.docx", "A 57949-2020")</f>
        <v/>
      </c>
      <c r="W461">
        <f>HYPERLINK("https://klasma.github.io/Logging_VIMMERBY/klagomålsmail/A 57949-2020.docx", "A 57949-2020")</f>
        <v/>
      </c>
      <c r="X461">
        <f>HYPERLINK("https://klasma.github.io/Logging_VIMMERBY/tillsyn/A 57949-2020.docx", "A 57949-2020")</f>
        <v/>
      </c>
      <c r="Y461">
        <f>HYPERLINK("https://klasma.github.io/Logging_VIMMERBY/tillsynsmail/A 57949-2020.docx", "A 57949-2020")</f>
        <v/>
      </c>
    </row>
    <row r="462" ht="15" customHeight="1">
      <c r="A462" t="inlineStr">
        <is>
          <t>A 60199-2020</t>
        </is>
      </c>
      <c r="B462" s="1" t="n">
        <v>44152</v>
      </c>
      <c r="C462" s="1" t="n">
        <v>45205</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HYPERLINK("https://klasma.github.io/Logging_KALMAR/artfynd/A 60199-2020.xlsx", "A 60199-2020")</f>
        <v/>
      </c>
      <c r="T462">
        <f>HYPERLINK("https://klasma.github.io/Logging_KALMAR/kartor/A 60199-2020.png", "A 60199-2020")</f>
        <v/>
      </c>
      <c r="V462">
        <f>HYPERLINK("https://klasma.github.io/Logging_KALMAR/klagomål/A 60199-2020.docx", "A 60199-2020")</f>
        <v/>
      </c>
      <c r="W462">
        <f>HYPERLINK("https://klasma.github.io/Logging_KALMAR/klagomålsmail/A 60199-2020.docx", "A 60199-2020")</f>
        <v/>
      </c>
      <c r="X462">
        <f>HYPERLINK("https://klasma.github.io/Logging_KALMAR/tillsyn/A 60199-2020.docx", "A 60199-2020")</f>
        <v/>
      </c>
      <c r="Y462">
        <f>HYPERLINK("https://klasma.github.io/Logging_KALMAR/tillsynsmail/A 60199-2020.docx", "A 60199-2020")</f>
        <v/>
      </c>
    </row>
    <row r="463" ht="15" customHeight="1">
      <c r="A463" t="inlineStr">
        <is>
          <t>A 62137-2020</t>
        </is>
      </c>
      <c r="B463" s="1" t="n">
        <v>44159</v>
      </c>
      <c r="C463" s="1" t="n">
        <v>45205</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HYPERLINK("https://klasma.github.io/Logging_HULTSFRED/artfynd/A 62137-2020.xlsx", "A 62137-2020")</f>
        <v/>
      </c>
      <c r="T463">
        <f>HYPERLINK("https://klasma.github.io/Logging_HULTSFRED/kartor/A 62137-2020.png", "A 62137-2020")</f>
        <v/>
      </c>
      <c r="V463">
        <f>HYPERLINK("https://klasma.github.io/Logging_HULTSFRED/klagomål/A 62137-2020.docx", "A 62137-2020")</f>
        <v/>
      </c>
      <c r="W463">
        <f>HYPERLINK("https://klasma.github.io/Logging_HULTSFRED/klagomålsmail/A 62137-2020.docx", "A 62137-2020")</f>
        <v/>
      </c>
      <c r="X463">
        <f>HYPERLINK("https://klasma.github.io/Logging_HULTSFRED/tillsyn/A 62137-2020.docx", "A 62137-2020")</f>
        <v/>
      </c>
      <c r="Y463">
        <f>HYPERLINK("https://klasma.github.io/Logging_HULTSFRED/tillsynsmail/A 62137-2020.docx", "A 62137-2020")</f>
        <v/>
      </c>
    </row>
    <row r="464" ht="15" customHeight="1">
      <c r="A464" t="inlineStr">
        <is>
          <t>A 64674-2020</t>
        </is>
      </c>
      <c r="B464" s="1" t="n">
        <v>44169</v>
      </c>
      <c r="C464" s="1" t="n">
        <v>45205</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HYPERLINK("https://klasma.github.io/Logging_VIMMERBY/artfynd/A 64674-2020.xlsx", "A 64674-2020")</f>
        <v/>
      </c>
      <c r="T464">
        <f>HYPERLINK("https://klasma.github.io/Logging_VIMMERBY/kartor/A 64674-2020.png", "A 64674-2020")</f>
        <v/>
      </c>
      <c r="V464">
        <f>HYPERLINK("https://klasma.github.io/Logging_VIMMERBY/klagomål/A 64674-2020.docx", "A 64674-2020")</f>
        <v/>
      </c>
      <c r="W464">
        <f>HYPERLINK("https://klasma.github.io/Logging_VIMMERBY/klagomålsmail/A 64674-2020.docx", "A 64674-2020")</f>
        <v/>
      </c>
      <c r="X464">
        <f>HYPERLINK("https://klasma.github.io/Logging_VIMMERBY/tillsyn/A 64674-2020.docx", "A 64674-2020")</f>
        <v/>
      </c>
      <c r="Y464">
        <f>HYPERLINK("https://klasma.github.io/Logging_VIMMERBY/tillsynsmail/A 64674-2020.docx", "A 64674-2020")</f>
        <v/>
      </c>
    </row>
    <row r="465" ht="15" customHeight="1">
      <c r="A465" t="inlineStr">
        <is>
          <t>A 65962-2020</t>
        </is>
      </c>
      <c r="B465" s="1" t="n">
        <v>44175</v>
      </c>
      <c r="C465" s="1" t="n">
        <v>45205</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HYPERLINK("https://klasma.github.io/Logging_NYBRO/artfynd/A 65962-2020.xlsx", "A 65962-2020")</f>
        <v/>
      </c>
      <c r="T465">
        <f>HYPERLINK("https://klasma.github.io/Logging_NYBRO/kartor/A 65962-2020.png", "A 65962-2020")</f>
        <v/>
      </c>
      <c r="V465">
        <f>HYPERLINK("https://klasma.github.io/Logging_NYBRO/klagomål/A 65962-2020.docx", "A 65962-2020")</f>
        <v/>
      </c>
      <c r="W465">
        <f>HYPERLINK("https://klasma.github.io/Logging_NYBRO/klagomålsmail/A 65962-2020.docx", "A 65962-2020")</f>
        <v/>
      </c>
      <c r="X465">
        <f>HYPERLINK("https://klasma.github.io/Logging_NYBRO/tillsyn/A 65962-2020.docx", "A 65962-2020")</f>
        <v/>
      </c>
      <c r="Y465">
        <f>HYPERLINK("https://klasma.github.io/Logging_NYBRO/tillsynsmail/A 65962-2020.docx", "A 65962-2020")</f>
        <v/>
      </c>
    </row>
    <row r="466" ht="15" customHeight="1">
      <c r="A466" t="inlineStr">
        <is>
          <t>A 66752-2020</t>
        </is>
      </c>
      <c r="B466" s="1" t="n">
        <v>44175</v>
      </c>
      <c r="C466" s="1" t="n">
        <v>45205</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HYPERLINK("https://klasma.github.io/Logging_VASTERVIK/artfynd/A 66752-2020.xlsx", "A 66752-2020")</f>
        <v/>
      </c>
      <c r="T466">
        <f>HYPERLINK("https://klasma.github.io/Logging_VASTERVIK/kartor/A 66752-2020.png", "A 66752-2020")</f>
        <v/>
      </c>
      <c r="V466">
        <f>HYPERLINK("https://klasma.github.io/Logging_VASTERVIK/klagomål/A 66752-2020.docx", "A 66752-2020")</f>
        <v/>
      </c>
      <c r="W466">
        <f>HYPERLINK("https://klasma.github.io/Logging_VASTERVIK/klagomålsmail/A 66752-2020.docx", "A 66752-2020")</f>
        <v/>
      </c>
      <c r="X466">
        <f>HYPERLINK("https://klasma.github.io/Logging_VASTERVIK/tillsyn/A 66752-2020.docx", "A 66752-2020")</f>
        <v/>
      </c>
      <c r="Y466">
        <f>HYPERLINK("https://klasma.github.io/Logging_VASTERVIK/tillsynsmail/A 66752-2020.docx", "A 66752-2020")</f>
        <v/>
      </c>
    </row>
    <row r="467" ht="15" customHeight="1">
      <c r="A467" t="inlineStr">
        <is>
          <t>A 66329-2020</t>
        </is>
      </c>
      <c r="B467" s="1" t="n">
        <v>44176</v>
      </c>
      <c r="C467" s="1" t="n">
        <v>45205</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HYPERLINK("https://klasma.github.io/Logging_BORGHOLM/artfynd/A 66329-2020.xlsx", "A 66329-2020")</f>
        <v/>
      </c>
      <c r="T467">
        <f>HYPERLINK("https://klasma.github.io/Logging_BORGHOLM/kartor/A 66329-2020.png", "A 66329-2020")</f>
        <v/>
      </c>
      <c r="V467">
        <f>HYPERLINK("https://klasma.github.io/Logging_BORGHOLM/klagomål/A 66329-2020.docx", "A 66329-2020")</f>
        <v/>
      </c>
      <c r="W467">
        <f>HYPERLINK("https://klasma.github.io/Logging_BORGHOLM/klagomålsmail/A 66329-2020.docx", "A 66329-2020")</f>
        <v/>
      </c>
      <c r="X467">
        <f>HYPERLINK("https://klasma.github.io/Logging_BORGHOLM/tillsyn/A 66329-2020.docx", "A 66329-2020")</f>
        <v/>
      </c>
      <c r="Y467">
        <f>HYPERLINK("https://klasma.github.io/Logging_BORGHOLM/tillsynsmail/A 66329-2020.docx", "A 66329-2020")</f>
        <v/>
      </c>
    </row>
    <row r="468" ht="15" customHeight="1">
      <c r="A468" t="inlineStr">
        <is>
          <t>A 67114-2020</t>
        </is>
      </c>
      <c r="B468" s="1" t="n">
        <v>44180</v>
      </c>
      <c r="C468" s="1" t="n">
        <v>45205</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HYPERLINK("https://klasma.github.io/Logging_HULTSFRED/artfynd/A 67114-2020.xlsx", "A 67114-2020")</f>
        <v/>
      </c>
      <c r="T468">
        <f>HYPERLINK("https://klasma.github.io/Logging_HULTSFRED/kartor/A 67114-2020.png", "A 67114-2020")</f>
        <v/>
      </c>
      <c r="V468">
        <f>HYPERLINK("https://klasma.github.io/Logging_HULTSFRED/klagomål/A 67114-2020.docx", "A 67114-2020")</f>
        <v/>
      </c>
      <c r="W468">
        <f>HYPERLINK("https://klasma.github.io/Logging_HULTSFRED/klagomålsmail/A 67114-2020.docx", "A 67114-2020")</f>
        <v/>
      </c>
      <c r="X468">
        <f>HYPERLINK("https://klasma.github.io/Logging_HULTSFRED/tillsyn/A 67114-2020.docx", "A 67114-2020")</f>
        <v/>
      </c>
      <c r="Y468">
        <f>HYPERLINK("https://klasma.github.io/Logging_HULTSFRED/tillsynsmail/A 67114-2020.docx", "A 67114-2020")</f>
        <v/>
      </c>
    </row>
    <row r="469" ht="15" customHeight="1">
      <c r="A469" t="inlineStr">
        <is>
          <t>A 68851-2020</t>
        </is>
      </c>
      <c r="B469" s="1" t="n">
        <v>44187</v>
      </c>
      <c r="C469" s="1" t="n">
        <v>45205</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HYPERLINK("https://klasma.github.io/Logging_VIMMERBY/artfynd/A 68851-2020.xlsx", "A 68851-2020")</f>
        <v/>
      </c>
      <c r="T469">
        <f>HYPERLINK("https://klasma.github.io/Logging_VIMMERBY/kartor/A 68851-2020.png", "A 68851-2020")</f>
        <v/>
      </c>
      <c r="V469">
        <f>HYPERLINK("https://klasma.github.io/Logging_VIMMERBY/klagomål/A 68851-2020.docx", "A 68851-2020")</f>
        <v/>
      </c>
      <c r="W469">
        <f>HYPERLINK("https://klasma.github.io/Logging_VIMMERBY/klagomålsmail/A 68851-2020.docx", "A 68851-2020")</f>
        <v/>
      </c>
      <c r="X469">
        <f>HYPERLINK("https://klasma.github.io/Logging_VIMMERBY/tillsyn/A 68851-2020.docx", "A 68851-2020")</f>
        <v/>
      </c>
      <c r="Y469">
        <f>HYPERLINK("https://klasma.github.io/Logging_VIMMERBY/tillsynsmail/A 68851-2020.docx", "A 68851-2020")</f>
        <v/>
      </c>
    </row>
    <row r="470" ht="15" customHeight="1">
      <c r="A470" t="inlineStr">
        <is>
          <t>A 69632-2020</t>
        </is>
      </c>
      <c r="B470" s="1" t="n">
        <v>44195</v>
      </c>
      <c r="C470" s="1" t="n">
        <v>45205</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HYPERLINK("https://klasma.github.io/Logging_VASTERVIK/artfynd/A 69632-2020.xlsx", "A 69632-2020")</f>
        <v/>
      </c>
      <c r="T470">
        <f>HYPERLINK("https://klasma.github.io/Logging_VASTERVIK/kartor/A 69632-2020.png", "A 69632-2020")</f>
        <v/>
      </c>
      <c r="V470">
        <f>HYPERLINK("https://klasma.github.io/Logging_VASTERVIK/klagomål/A 69632-2020.docx", "A 69632-2020")</f>
        <v/>
      </c>
      <c r="W470">
        <f>HYPERLINK("https://klasma.github.io/Logging_VASTERVIK/klagomålsmail/A 69632-2020.docx", "A 69632-2020")</f>
        <v/>
      </c>
      <c r="X470">
        <f>HYPERLINK("https://klasma.github.io/Logging_VASTERVIK/tillsyn/A 69632-2020.docx", "A 69632-2020")</f>
        <v/>
      </c>
      <c r="Y470">
        <f>HYPERLINK("https://klasma.github.io/Logging_VASTERVIK/tillsynsmail/A 69632-2020.docx", "A 69632-2020")</f>
        <v/>
      </c>
    </row>
    <row r="471" ht="15" customHeight="1">
      <c r="A471" t="inlineStr">
        <is>
          <t>A 3518-2021</t>
        </is>
      </c>
      <c r="B471" s="1" t="n">
        <v>44216</v>
      </c>
      <c r="C471" s="1" t="n">
        <v>45205</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HYPERLINK("https://klasma.github.io/Logging_HOGSBY/artfynd/A 3518-2021.xlsx", "A 3518-2021")</f>
        <v/>
      </c>
      <c r="T471">
        <f>HYPERLINK("https://klasma.github.io/Logging_HOGSBY/kartor/A 3518-2021.png", "A 3518-2021")</f>
        <v/>
      </c>
      <c r="V471">
        <f>HYPERLINK("https://klasma.github.io/Logging_HOGSBY/klagomål/A 3518-2021.docx", "A 3518-2021")</f>
        <v/>
      </c>
      <c r="W471">
        <f>HYPERLINK("https://klasma.github.io/Logging_HOGSBY/klagomålsmail/A 3518-2021.docx", "A 3518-2021")</f>
        <v/>
      </c>
      <c r="X471">
        <f>HYPERLINK("https://klasma.github.io/Logging_HOGSBY/tillsyn/A 3518-2021.docx", "A 3518-2021")</f>
        <v/>
      </c>
      <c r="Y471">
        <f>HYPERLINK("https://klasma.github.io/Logging_HOGSBY/tillsynsmail/A 3518-2021.docx", "A 3518-2021")</f>
        <v/>
      </c>
    </row>
    <row r="472" ht="15" customHeight="1">
      <c r="A472" t="inlineStr">
        <is>
          <t>A 3871-2021</t>
        </is>
      </c>
      <c r="B472" s="1" t="n">
        <v>44222</v>
      </c>
      <c r="C472" s="1" t="n">
        <v>45205</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HYPERLINK("https://klasma.github.io/Logging_BORGHOLM/artfynd/A 3871-2021.xlsx", "A 3871-2021")</f>
        <v/>
      </c>
      <c r="T472">
        <f>HYPERLINK("https://klasma.github.io/Logging_BORGHOLM/kartor/A 3871-2021.png", "A 3871-2021")</f>
        <v/>
      </c>
      <c r="V472">
        <f>HYPERLINK("https://klasma.github.io/Logging_BORGHOLM/klagomål/A 3871-2021.docx", "A 3871-2021")</f>
        <v/>
      </c>
      <c r="W472">
        <f>HYPERLINK("https://klasma.github.io/Logging_BORGHOLM/klagomålsmail/A 3871-2021.docx", "A 3871-2021")</f>
        <v/>
      </c>
      <c r="X472">
        <f>HYPERLINK("https://klasma.github.io/Logging_BORGHOLM/tillsyn/A 3871-2021.docx", "A 3871-2021")</f>
        <v/>
      </c>
      <c r="Y472">
        <f>HYPERLINK("https://klasma.github.io/Logging_BORGHOLM/tillsynsmail/A 3871-2021.docx", "A 3871-2021")</f>
        <v/>
      </c>
    </row>
    <row r="473" ht="15" customHeight="1">
      <c r="A473" t="inlineStr">
        <is>
          <t>A 4313-2021</t>
        </is>
      </c>
      <c r="B473" s="1" t="n">
        <v>44223</v>
      </c>
      <c r="C473" s="1" t="n">
        <v>45205</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HYPERLINK("https://klasma.github.io/Logging_MONSTERAS/artfynd/A 4313-2021.xlsx", "A 4313-2021")</f>
        <v/>
      </c>
      <c r="T473">
        <f>HYPERLINK("https://klasma.github.io/Logging_MONSTERAS/kartor/A 4313-2021.png", "A 4313-2021")</f>
        <v/>
      </c>
      <c r="U473">
        <f>HYPERLINK("https://klasma.github.io/Logging_MONSTERAS/knärot/A 4313-2021.png", "A 4313-2021")</f>
        <v/>
      </c>
      <c r="V473">
        <f>HYPERLINK("https://klasma.github.io/Logging_MONSTERAS/klagomål/A 4313-2021.docx", "A 4313-2021")</f>
        <v/>
      </c>
      <c r="W473">
        <f>HYPERLINK("https://klasma.github.io/Logging_MONSTERAS/klagomålsmail/A 4313-2021.docx", "A 4313-2021")</f>
        <v/>
      </c>
      <c r="X473">
        <f>HYPERLINK("https://klasma.github.io/Logging_MONSTERAS/tillsyn/A 4313-2021.docx", "A 4313-2021")</f>
        <v/>
      </c>
      <c r="Y473">
        <f>HYPERLINK("https://klasma.github.io/Logging_MONSTERAS/tillsynsmail/A 4313-2021.docx", "A 4313-2021")</f>
        <v/>
      </c>
    </row>
    <row r="474" ht="15" customHeight="1">
      <c r="A474" t="inlineStr">
        <is>
          <t>A 5861-2021</t>
        </is>
      </c>
      <c r="B474" s="1" t="n">
        <v>44231</v>
      </c>
      <c r="C474" s="1" t="n">
        <v>45205</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HYPERLINK("https://klasma.github.io/Logging_TORSAS/artfynd/A 5861-2021.xlsx", "A 5861-2021")</f>
        <v/>
      </c>
      <c r="T474">
        <f>HYPERLINK("https://klasma.github.io/Logging_TORSAS/kartor/A 5861-2021.png", "A 5861-2021")</f>
        <v/>
      </c>
      <c r="V474">
        <f>HYPERLINK("https://klasma.github.io/Logging_TORSAS/klagomål/A 5861-2021.docx", "A 5861-2021")</f>
        <v/>
      </c>
      <c r="W474">
        <f>HYPERLINK("https://klasma.github.io/Logging_TORSAS/klagomålsmail/A 5861-2021.docx", "A 5861-2021")</f>
        <v/>
      </c>
      <c r="X474">
        <f>HYPERLINK("https://klasma.github.io/Logging_TORSAS/tillsyn/A 5861-2021.docx", "A 5861-2021")</f>
        <v/>
      </c>
      <c r="Y474">
        <f>HYPERLINK("https://klasma.github.io/Logging_TORSAS/tillsynsmail/A 5861-2021.docx", "A 5861-2021")</f>
        <v/>
      </c>
    </row>
    <row r="475" ht="15" customHeight="1">
      <c r="A475" t="inlineStr">
        <is>
          <t>A 10962-2021</t>
        </is>
      </c>
      <c r="B475" s="1" t="n">
        <v>44260</v>
      </c>
      <c r="C475" s="1" t="n">
        <v>45205</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HYPERLINK("https://klasma.github.io/Logging_KALMAR/artfynd/A 10962-2021.xlsx", "A 10962-2021")</f>
        <v/>
      </c>
      <c r="T475">
        <f>HYPERLINK("https://klasma.github.io/Logging_KALMAR/kartor/A 10962-2021.png", "A 10962-2021")</f>
        <v/>
      </c>
      <c r="V475">
        <f>HYPERLINK("https://klasma.github.io/Logging_KALMAR/klagomål/A 10962-2021.docx", "A 10962-2021")</f>
        <v/>
      </c>
      <c r="W475">
        <f>HYPERLINK("https://klasma.github.io/Logging_KALMAR/klagomålsmail/A 10962-2021.docx", "A 10962-2021")</f>
        <v/>
      </c>
      <c r="X475">
        <f>HYPERLINK("https://klasma.github.io/Logging_KALMAR/tillsyn/A 10962-2021.docx", "A 10962-2021")</f>
        <v/>
      </c>
      <c r="Y475">
        <f>HYPERLINK("https://klasma.github.io/Logging_KALMAR/tillsynsmail/A 10962-2021.docx", "A 10962-2021")</f>
        <v/>
      </c>
    </row>
    <row r="476" ht="15" customHeight="1">
      <c r="A476" t="inlineStr">
        <is>
          <t>A 10947-2021</t>
        </is>
      </c>
      <c r="B476" s="1" t="n">
        <v>44260</v>
      </c>
      <c r="C476" s="1" t="n">
        <v>45205</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HYPERLINK("https://klasma.github.io/Logging_HOGSBY/artfynd/A 10947-2021.xlsx", "A 10947-2021")</f>
        <v/>
      </c>
      <c r="T476">
        <f>HYPERLINK("https://klasma.github.io/Logging_HOGSBY/kartor/A 10947-2021.png", "A 10947-2021")</f>
        <v/>
      </c>
      <c r="V476">
        <f>HYPERLINK("https://klasma.github.io/Logging_HOGSBY/klagomål/A 10947-2021.docx", "A 10947-2021")</f>
        <v/>
      </c>
      <c r="W476">
        <f>HYPERLINK("https://klasma.github.io/Logging_HOGSBY/klagomålsmail/A 10947-2021.docx", "A 10947-2021")</f>
        <v/>
      </c>
      <c r="X476">
        <f>HYPERLINK("https://klasma.github.io/Logging_HOGSBY/tillsyn/A 10947-2021.docx", "A 10947-2021")</f>
        <v/>
      </c>
      <c r="Y476">
        <f>HYPERLINK("https://klasma.github.io/Logging_HOGSBY/tillsynsmail/A 10947-2021.docx", "A 10947-2021")</f>
        <v/>
      </c>
    </row>
    <row r="477" ht="15" customHeight="1">
      <c r="A477" t="inlineStr">
        <is>
          <t>A 11221-2021</t>
        </is>
      </c>
      <c r="B477" s="1" t="n">
        <v>44263</v>
      </c>
      <c r="C477" s="1" t="n">
        <v>45205</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HYPERLINK("https://klasma.github.io/Logging_TORSAS/artfynd/A 11221-2021.xlsx", "A 11221-2021")</f>
        <v/>
      </c>
      <c r="T477">
        <f>HYPERLINK("https://klasma.github.io/Logging_TORSAS/kartor/A 11221-2021.png", "A 11221-2021")</f>
        <v/>
      </c>
      <c r="V477">
        <f>HYPERLINK("https://klasma.github.io/Logging_TORSAS/klagomål/A 11221-2021.docx", "A 11221-2021")</f>
        <v/>
      </c>
      <c r="W477">
        <f>HYPERLINK("https://klasma.github.io/Logging_TORSAS/klagomålsmail/A 11221-2021.docx", "A 11221-2021")</f>
        <v/>
      </c>
      <c r="X477">
        <f>HYPERLINK("https://klasma.github.io/Logging_TORSAS/tillsyn/A 11221-2021.docx", "A 11221-2021")</f>
        <v/>
      </c>
      <c r="Y477">
        <f>HYPERLINK("https://klasma.github.io/Logging_TORSAS/tillsynsmail/A 11221-2021.docx", "A 11221-2021")</f>
        <v/>
      </c>
    </row>
    <row r="478" ht="15" customHeight="1">
      <c r="A478" t="inlineStr">
        <is>
          <t>A 12329-2021</t>
        </is>
      </c>
      <c r="B478" s="1" t="n">
        <v>44267</v>
      </c>
      <c r="C478" s="1" t="n">
        <v>45205</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HYPERLINK("https://klasma.github.io/Logging_OSKARSHAMN/artfynd/A 12329-2021.xlsx", "A 12329-2021")</f>
        <v/>
      </c>
      <c r="T478">
        <f>HYPERLINK("https://klasma.github.io/Logging_OSKARSHAMN/kartor/A 12329-2021.png", "A 12329-2021")</f>
        <v/>
      </c>
      <c r="V478">
        <f>HYPERLINK("https://klasma.github.io/Logging_OSKARSHAMN/klagomål/A 12329-2021.docx", "A 12329-2021")</f>
        <v/>
      </c>
      <c r="W478">
        <f>HYPERLINK("https://klasma.github.io/Logging_OSKARSHAMN/klagomålsmail/A 12329-2021.docx", "A 12329-2021")</f>
        <v/>
      </c>
      <c r="X478">
        <f>HYPERLINK("https://klasma.github.io/Logging_OSKARSHAMN/tillsyn/A 12329-2021.docx", "A 12329-2021")</f>
        <v/>
      </c>
      <c r="Y478">
        <f>HYPERLINK("https://klasma.github.io/Logging_OSKARSHAMN/tillsynsmail/A 12329-2021.docx", "A 12329-2021")</f>
        <v/>
      </c>
    </row>
    <row r="479" ht="15" customHeight="1">
      <c r="A479" t="inlineStr">
        <is>
          <t>A 12785-2021</t>
        </is>
      </c>
      <c r="B479" s="1" t="n">
        <v>44270</v>
      </c>
      <c r="C479" s="1" t="n">
        <v>45205</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HYPERLINK("https://klasma.github.io/Logging_BORGHOLM/artfynd/A 12785-2021.xlsx", "A 12785-2021")</f>
        <v/>
      </c>
      <c r="T479">
        <f>HYPERLINK("https://klasma.github.io/Logging_BORGHOLM/kartor/A 12785-2021.png", "A 12785-2021")</f>
        <v/>
      </c>
      <c r="V479">
        <f>HYPERLINK("https://klasma.github.io/Logging_BORGHOLM/klagomål/A 12785-2021.docx", "A 12785-2021")</f>
        <v/>
      </c>
      <c r="W479">
        <f>HYPERLINK("https://klasma.github.io/Logging_BORGHOLM/klagomålsmail/A 12785-2021.docx", "A 12785-2021")</f>
        <v/>
      </c>
      <c r="X479">
        <f>HYPERLINK("https://klasma.github.io/Logging_BORGHOLM/tillsyn/A 12785-2021.docx", "A 12785-2021")</f>
        <v/>
      </c>
      <c r="Y479">
        <f>HYPERLINK("https://klasma.github.io/Logging_BORGHOLM/tillsynsmail/A 12785-2021.docx", "A 12785-2021")</f>
        <v/>
      </c>
    </row>
    <row r="480" ht="15" customHeight="1">
      <c r="A480" t="inlineStr">
        <is>
          <t>A 14343-2021</t>
        </is>
      </c>
      <c r="B480" s="1" t="n">
        <v>44279</v>
      </c>
      <c r="C480" s="1" t="n">
        <v>45205</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HYPERLINK("https://klasma.github.io/Logging_KALMAR/artfynd/A 14343-2021.xlsx", "A 14343-2021")</f>
        <v/>
      </c>
      <c r="T480">
        <f>HYPERLINK("https://klasma.github.io/Logging_KALMAR/kartor/A 14343-2021.png", "A 14343-2021")</f>
        <v/>
      </c>
      <c r="V480">
        <f>HYPERLINK("https://klasma.github.io/Logging_KALMAR/klagomål/A 14343-2021.docx", "A 14343-2021")</f>
        <v/>
      </c>
      <c r="W480">
        <f>HYPERLINK("https://klasma.github.io/Logging_KALMAR/klagomålsmail/A 14343-2021.docx", "A 14343-2021")</f>
        <v/>
      </c>
      <c r="X480">
        <f>HYPERLINK("https://klasma.github.io/Logging_KALMAR/tillsyn/A 14343-2021.docx", "A 14343-2021")</f>
        <v/>
      </c>
      <c r="Y480">
        <f>HYPERLINK("https://klasma.github.io/Logging_KALMAR/tillsynsmail/A 14343-2021.docx", "A 14343-2021")</f>
        <v/>
      </c>
    </row>
    <row r="481" ht="15" customHeight="1">
      <c r="A481" t="inlineStr">
        <is>
          <t>A 14789-2021</t>
        </is>
      </c>
      <c r="B481" s="1" t="n">
        <v>44280</v>
      </c>
      <c r="C481" s="1" t="n">
        <v>45205</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HYPERLINK("https://klasma.github.io/Logging_BORGHOLM/artfynd/A 14789-2021.xlsx", "A 14789-2021")</f>
        <v/>
      </c>
      <c r="T481">
        <f>HYPERLINK("https://klasma.github.io/Logging_BORGHOLM/kartor/A 14789-2021.png", "A 14789-2021")</f>
        <v/>
      </c>
      <c r="V481">
        <f>HYPERLINK("https://klasma.github.io/Logging_BORGHOLM/klagomål/A 14789-2021.docx", "A 14789-2021")</f>
        <v/>
      </c>
      <c r="W481">
        <f>HYPERLINK("https://klasma.github.io/Logging_BORGHOLM/klagomålsmail/A 14789-2021.docx", "A 14789-2021")</f>
        <v/>
      </c>
      <c r="X481">
        <f>HYPERLINK("https://klasma.github.io/Logging_BORGHOLM/tillsyn/A 14789-2021.docx", "A 14789-2021")</f>
        <v/>
      </c>
      <c r="Y481">
        <f>HYPERLINK("https://klasma.github.io/Logging_BORGHOLM/tillsynsmail/A 14789-2021.docx", "A 14789-2021")</f>
        <v/>
      </c>
    </row>
    <row r="482" ht="15" customHeight="1">
      <c r="A482" t="inlineStr">
        <is>
          <t>A 16824-2021</t>
        </is>
      </c>
      <c r="B482" s="1" t="n">
        <v>44295</v>
      </c>
      <c r="C482" s="1" t="n">
        <v>45205</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HYPERLINK("https://klasma.github.io/Logging_HULTSFRED/artfynd/A 16824-2021.xlsx", "A 16824-2021")</f>
        <v/>
      </c>
      <c r="T482">
        <f>HYPERLINK("https://klasma.github.io/Logging_HULTSFRED/kartor/A 16824-2021.png", "A 16824-2021")</f>
        <v/>
      </c>
      <c r="V482">
        <f>HYPERLINK("https://klasma.github.io/Logging_HULTSFRED/klagomål/A 16824-2021.docx", "A 16824-2021")</f>
        <v/>
      </c>
      <c r="W482">
        <f>HYPERLINK("https://klasma.github.io/Logging_HULTSFRED/klagomålsmail/A 16824-2021.docx", "A 16824-2021")</f>
        <v/>
      </c>
      <c r="X482">
        <f>HYPERLINK("https://klasma.github.io/Logging_HULTSFRED/tillsyn/A 16824-2021.docx", "A 16824-2021")</f>
        <v/>
      </c>
      <c r="Y482">
        <f>HYPERLINK("https://klasma.github.io/Logging_HULTSFRED/tillsynsmail/A 16824-2021.docx", "A 16824-2021")</f>
        <v/>
      </c>
    </row>
    <row r="483" ht="15" customHeight="1">
      <c r="A483" t="inlineStr">
        <is>
          <t>A 20129-2021</t>
        </is>
      </c>
      <c r="B483" s="1" t="n">
        <v>44314</v>
      </c>
      <c r="C483" s="1" t="n">
        <v>45205</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HYPERLINK("https://klasma.github.io/Logging_EMMABODA/artfynd/A 20129-2021.xlsx", "A 20129-2021")</f>
        <v/>
      </c>
      <c r="T483">
        <f>HYPERLINK("https://klasma.github.io/Logging_EMMABODA/kartor/A 20129-2021.png", "A 20129-2021")</f>
        <v/>
      </c>
      <c r="V483">
        <f>HYPERLINK("https://klasma.github.io/Logging_EMMABODA/klagomål/A 20129-2021.docx", "A 20129-2021")</f>
        <v/>
      </c>
      <c r="W483">
        <f>HYPERLINK("https://klasma.github.io/Logging_EMMABODA/klagomålsmail/A 20129-2021.docx", "A 20129-2021")</f>
        <v/>
      </c>
      <c r="X483">
        <f>HYPERLINK("https://klasma.github.io/Logging_EMMABODA/tillsyn/A 20129-2021.docx", "A 20129-2021")</f>
        <v/>
      </c>
      <c r="Y483">
        <f>HYPERLINK("https://klasma.github.io/Logging_EMMABODA/tillsynsmail/A 20129-2021.docx", "A 20129-2021")</f>
        <v/>
      </c>
    </row>
    <row r="484" ht="15" customHeight="1">
      <c r="A484" t="inlineStr">
        <is>
          <t>A 20233-2021</t>
        </is>
      </c>
      <c r="B484" s="1" t="n">
        <v>44314</v>
      </c>
      <c r="C484" s="1" t="n">
        <v>45205</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HYPERLINK("https://klasma.github.io/Logging_VASTERVIK/artfynd/A 20233-2021.xlsx", "A 20233-2021")</f>
        <v/>
      </c>
      <c r="T484">
        <f>HYPERLINK("https://klasma.github.io/Logging_VASTERVIK/kartor/A 20233-2021.png", "A 20233-2021")</f>
        <v/>
      </c>
      <c r="V484">
        <f>HYPERLINK("https://klasma.github.io/Logging_VASTERVIK/klagomål/A 20233-2021.docx", "A 20233-2021")</f>
        <v/>
      </c>
      <c r="W484">
        <f>HYPERLINK("https://klasma.github.io/Logging_VASTERVIK/klagomålsmail/A 20233-2021.docx", "A 20233-2021")</f>
        <v/>
      </c>
      <c r="X484">
        <f>HYPERLINK("https://klasma.github.io/Logging_VASTERVIK/tillsyn/A 20233-2021.docx", "A 20233-2021")</f>
        <v/>
      </c>
      <c r="Y484">
        <f>HYPERLINK("https://klasma.github.io/Logging_VASTERVIK/tillsynsmail/A 20233-2021.docx", "A 20233-2021")</f>
        <v/>
      </c>
    </row>
    <row r="485" ht="15" customHeight="1">
      <c r="A485" t="inlineStr">
        <is>
          <t>A 20941-2021</t>
        </is>
      </c>
      <c r="B485" s="1" t="n">
        <v>44319</v>
      </c>
      <c r="C485" s="1" t="n">
        <v>45205</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HYPERLINK("https://klasma.github.io/Logging_NYBRO/artfynd/A 20941-2021.xlsx", "A 20941-2021")</f>
        <v/>
      </c>
      <c r="T485">
        <f>HYPERLINK("https://klasma.github.io/Logging_NYBRO/kartor/A 20941-2021.png", "A 20941-2021")</f>
        <v/>
      </c>
      <c r="V485">
        <f>HYPERLINK("https://klasma.github.io/Logging_NYBRO/klagomål/A 20941-2021.docx", "A 20941-2021")</f>
        <v/>
      </c>
      <c r="W485">
        <f>HYPERLINK("https://klasma.github.io/Logging_NYBRO/klagomålsmail/A 20941-2021.docx", "A 20941-2021")</f>
        <v/>
      </c>
      <c r="X485">
        <f>HYPERLINK("https://klasma.github.io/Logging_NYBRO/tillsyn/A 20941-2021.docx", "A 20941-2021")</f>
        <v/>
      </c>
      <c r="Y485">
        <f>HYPERLINK("https://klasma.github.io/Logging_NYBRO/tillsynsmail/A 20941-2021.docx", "A 20941-2021")</f>
        <v/>
      </c>
    </row>
    <row r="486" ht="15" customHeight="1">
      <c r="A486" t="inlineStr">
        <is>
          <t>A 24048-2021</t>
        </is>
      </c>
      <c r="B486" s="1" t="n">
        <v>44336</v>
      </c>
      <c r="C486" s="1" t="n">
        <v>45205</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HYPERLINK("https://klasma.github.io/Logging_VASTERVIK/artfynd/A 24048-2021.xlsx", "A 24048-2021")</f>
        <v/>
      </c>
      <c r="T486">
        <f>HYPERLINK("https://klasma.github.io/Logging_VASTERVIK/kartor/A 24048-2021.png", "A 24048-2021")</f>
        <v/>
      </c>
      <c r="U486">
        <f>HYPERLINK("https://klasma.github.io/Logging_VASTERVIK/knärot/A 24048-2021.png", "A 24048-2021")</f>
        <v/>
      </c>
      <c r="V486">
        <f>HYPERLINK("https://klasma.github.io/Logging_VASTERVIK/klagomål/A 24048-2021.docx", "A 24048-2021")</f>
        <v/>
      </c>
      <c r="W486">
        <f>HYPERLINK("https://klasma.github.io/Logging_VASTERVIK/klagomålsmail/A 24048-2021.docx", "A 24048-2021")</f>
        <v/>
      </c>
      <c r="X486">
        <f>HYPERLINK("https://klasma.github.io/Logging_VASTERVIK/tillsyn/A 24048-2021.docx", "A 24048-2021")</f>
        <v/>
      </c>
      <c r="Y486">
        <f>HYPERLINK("https://klasma.github.io/Logging_VASTERVIK/tillsynsmail/A 24048-2021.docx", "A 24048-2021")</f>
        <v/>
      </c>
    </row>
    <row r="487" ht="15" customHeight="1">
      <c r="A487" t="inlineStr">
        <is>
          <t>A 25131-2021</t>
        </is>
      </c>
      <c r="B487" s="1" t="n">
        <v>44341</v>
      </c>
      <c r="C487" s="1" t="n">
        <v>45205</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HYPERLINK("https://klasma.github.io/Logging_HOGSBY/artfynd/A 25131-2021.xlsx", "A 25131-2021")</f>
        <v/>
      </c>
      <c r="T487">
        <f>HYPERLINK("https://klasma.github.io/Logging_HOGSBY/kartor/A 25131-2021.png", "A 25131-2021")</f>
        <v/>
      </c>
      <c r="V487">
        <f>HYPERLINK("https://klasma.github.io/Logging_HOGSBY/klagomål/A 25131-2021.docx", "A 25131-2021")</f>
        <v/>
      </c>
      <c r="W487">
        <f>HYPERLINK("https://klasma.github.io/Logging_HOGSBY/klagomålsmail/A 25131-2021.docx", "A 25131-2021")</f>
        <v/>
      </c>
      <c r="X487">
        <f>HYPERLINK("https://klasma.github.io/Logging_HOGSBY/tillsyn/A 25131-2021.docx", "A 25131-2021")</f>
        <v/>
      </c>
      <c r="Y487">
        <f>HYPERLINK("https://klasma.github.io/Logging_HOGSBY/tillsynsmail/A 25131-2021.docx", "A 25131-2021")</f>
        <v/>
      </c>
    </row>
    <row r="488" ht="15" customHeight="1">
      <c r="A488" t="inlineStr">
        <is>
          <t>A 24939-2021</t>
        </is>
      </c>
      <c r="B488" s="1" t="n">
        <v>44341</v>
      </c>
      <c r="C488" s="1" t="n">
        <v>45205</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HYPERLINK("https://klasma.github.io/Logging_HULTSFRED/artfynd/A 24939-2021.xlsx", "A 24939-2021")</f>
        <v/>
      </c>
      <c r="T488">
        <f>HYPERLINK("https://klasma.github.io/Logging_HULTSFRED/kartor/A 24939-2021.png", "A 24939-2021")</f>
        <v/>
      </c>
      <c r="V488">
        <f>HYPERLINK("https://klasma.github.io/Logging_HULTSFRED/klagomål/A 24939-2021.docx", "A 24939-2021")</f>
        <v/>
      </c>
      <c r="W488">
        <f>HYPERLINK("https://klasma.github.io/Logging_HULTSFRED/klagomålsmail/A 24939-2021.docx", "A 24939-2021")</f>
        <v/>
      </c>
      <c r="X488">
        <f>HYPERLINK("https://klasma.github.io/Logging_HULTSFRED/tillsyn/A 24939-2021.docx", "A 24939-2021")</f>
        <v/>
      </c>
      <c r="Y488">
        <f>HYPERLINK("https://klasma.github.io/Logging_HULTSFRED/tillsynsmail/A 24939-2021.docx", "A 24939-2021")</f>
        <v/>
      </c>
    </row>
    <row r="489" ht="15" customHeight="1">
      <c r="A489" t="inlineStr">
        <is>
          <t>A 25447-2021</t>
        </is>
      </c>
      <c r="B489" s="1" t="n">
        <v>44342</v>
      </c>
      <c r="C489" s="1" t="n">
        <v>45205</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HYPERLINK("https://klasma.github.io/Logging_VASTERVIK/artfynd/A 25447-2021.xlsx", "A 25447-2021")</f>
        <v/>
      </c>
      <c r="T489">
        <f>HYPERLINK("https://klasma.github.io/Logging_VASTERVIK/kartor/A 25447-2021.png", "A 25447-2021")</f>
        <v/>
      </c>
      <c r="U489">
        <f>HYPERLINK("https://klasma.github.io/Logging_VASTERVIK/knärot/A 25447-2021.png", "A 25447-2021")</f>
        <v/>
      </c>
      <c r="V489">
        <f>HYPERLINK("https://klasma.github.io/Logging_VASTERVIK/klagomål/A 25447-2021.docx", "A 25447-2021")</f>
        <v/>
      </c>
      <c r="W489">
        <f>HYPERLINK("https://klasma.github.io/Logging_VASTERVIK/klagomålsmail/A 25447-2021.docx", "A 25447-2021")</f>
        <v/>
      </c>
      <c r="X489">
        <f>HYPERLINK("https://klasma.github.io/Logging_VASTERVIK/tillsyn/A 25447-2021.docx", "A 25447-2021")</f>
        <v/>
      </c>
      <c r="Y489">
        <f>HYPERLINK("https://klasma.github.io/Logging_VASTERVIK/tillsynsmail/A 25447-2021.docx", "A 25447-2021")</f>
        <v/>
      </c>
    </row>
    <row r="490" ht="15" customHeight="1">
      <c r="A490" t="inlineStr">
        <is>
          <t>A 25380-2021</t>
        </is>
      </c>
      <c r="B490" s="1" t="n">
        <v>44342</v>
      </c>
      <c r="C490" s="1" t="n">
        <v>45205</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HYPERLINK("https://klasma.github.io/Logging_OSKARSHAMN/artfynd/A 25380-2021.xlsx", "A 25380-2021")</f>
        <v/>
      </c>
      <c r="T490">
        <f>HYPERLINK("https://klasma.github.io/Logging_OSKARSHAMN/kartor/A 25380-2021.png", "A 25380-2021")</f>
        <v/>
      </c>
      <c r="V490">
        <f>HYPERLINK("https://klasma.github.io/Logging_OSKARSHAMN/klagomål/A 25380-2021.docx", "A 25380-2021")</f>
        <v/>
      </c>
      <c r="W490">
        <f>HYPERLINK("https://klasma.github.io/Logging_OSKARSHAMN/klagomålsmail/A 25380-2021.docx", "A 25380-2021")</f>
        <v/>
      </c>
      <c r="X490">
        <f>HYPERLINK("https://klasma.github.io/Logging_OSKARSHAMN/tillsyn/A 25380-2021.docx", "A 25380-2021")</f>
        <v/>
      </c>
      <c r="Y490">
        <f>HYPERLINK("https://klasma.github.io/Logging_OSKARSHAMN/tillsynsmail/A 25380-2021.docx", "A 25380-2021")</f>
        <v/>
      </c>
    </row>
    <row r="491" ht="15" customHeight="1">
      <c r="A491" t="inlineStr">
        <is>
          <t>A 25439-2021</t>
        </is>
      </c>
      <c r="B491" s="1" t="n">
        <v>44342</v>
      </c>
      <c r="C491" s="1" t="n">
        <v>45205</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HYPERLINK("https://klasma.github.io/Logging_VASTERVIK/artfynd/A 25439-2021.xlsx", "A 25439-2021")</f>
        <v/>
      </c>
      <c r="T491">
        <f>HYPERLINK("https://klasma.github.io/Logging_VASTERVIK/kartor/A 25439-2021.png", "A 25439-2021")</f>
        <v/>
      </c>
      <c r="V491">
        <f>HYPERLINK("https://klasma.github.io/Logging_VASTERVIK/klagomål/A 25439-2021.docx", "A 25439-2021")</f>
        <v/>
      </c>
      <c r="W491">
        <f>HYPERLINK("https://klasma.github.io/Logging_VASTERVIK/klagomålsmail/A 25439-2021.docx", "A 25439-2021")</f>
        <v/>
      </c>
      <c r="X491">
        <f>HYPERLINK("https://klasma.github.io/Logging_VASTERVIK/tillsyn/A 25439-2021.docx", "A 25439-2021")</f>
        <v/>
      </c>
      <c r="Y491">
        <f>HYPERLINK("https://klasma.github.io/Logging_VASTERVIK/tillsynsmail/A 25439-2021.docx", "A 25439-2021")</f>
        <v/>
      </c>
    </row>
    <row r="492" ht="15" customHeight="1">
      <c r="A492" t="inlineStr">
        <is>
          <t>A 25594-2021</t>
        </is>
      </c>
      <c r="B492" s="1" t="n">
        <v>44343</v>
      </c>
      <c r="C492" s="1" t="n">
        <v>45205</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HYPERLINK("https://klasma.github.io/Logging_VASTERVIK/artfynd/A 25594-2021.xlsx", "A 25594-2021")</f>
        <v/>
      </c>
      <c r="T492">
        <f>HYPERLINK("https://klasma.github.io/Logging_VASTERVIK/kartor/A 25594-2021.png", "A 25594-2021")</f>
        <v/>
      </c>
      <c r="U492">
        <f>HYPERLINK("https://klasma.github.io/Logging_VASTERVIK/knärot/A 25594-2021.png", "A 25594-2021")</f>
        <v/>
      </c>
      <c r="V492">
        <f>HYPERLINK("https://klasma.github.io/Logging_VASTERVIK/klagomål/A 25594-2021.docx", "A 25594-2021")</f>
        <v/>
      </c>
      <c r="W492">
        <f>HYPERLINK("https://klasma.github.io/Logging_VASTERVIK/klagomålsmail/A 25594-2021.docx", "A 25594-2021")</f>
        <v/>
      </c>
      <c r="X492">
        <f>HYPERLINK("https://klasma.github.io/Logging_VASTERVIK/tillsyn/A 25594-2021.docx", "A 25594-2021")</f>
        <v/>
      </c>
      <c r="Y492">
        <f>HYPERLINK("https://klasma.github.io/Logging_VASTERVIK/tillsynsmail/A 25594-2021.docx", "A 25594-2021")</f>
        <v/>
      </c>
    </row>
    <row r="493" ht="15" customHeight="1">
      <c r="A493" t="inlineStr">
        <is>
          <t>A 25677-2021</t>
        </is>
      </c>
      <c r="B493" s="1" t="n">
        <v>44343</v>
      </c>
      <c r="C493" s="1" t="n">
        <v>45205</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HYPERLINK("https://klasma.github.io/Logging_OSKARSHAMN/artfynd/A 25677-2021.xlsx", "A 25677-2021")</f>
        <v/>
      </c>
      <c r="T493">
        <f>HYPERLINK("https://klasma.github.io/Logging_OSKARSHAMN/kartor/A 25677-2021.png", "A 25677-2021")</f>
        <v/>
      </c>
      <c r="V493">
        <f>HYPERLINK("https://klasma.github.io/Logging_OSKARSHAMN/klagomål/A 25677-2021.docx", "A 25677-2021")</f>
        <v/>
      </c>
      <c r="W493">
        <f>HYPERLINK("https://klasma.github.io/Logging_OSKARSHAMN/klagomålsmail/A 25677-2021.docx", "A 25677-2021")</f>
        <v/>
      </c>
      <c r="X493">
        <f>HYPERLINK("https://klasma.github.io/Logging_OSKARSHAMN/tillsyn/A 25677-2021.docx", "A 25677-2021")</f>
        <v/>
      </c>
      <c r="Y493">
        <f>HYPERLINK("https://klasma.github.io/Logging_OSKARSHAMN/tillsynsmail/A 25677-2021.docx", "A 25677-2021")</f>
        <v/>
      </c>
    </row>
    <row r="494" ht="15" customHeight="1">
      <c r="A494" t="inlineStr">
        <is>
          <t>A 28298-2021</t>
        </is>
      </c>
      <c r="B494" s="1" t="n">
        <v>44356</v>
      </c>
      <c r="C494" s="1" t="n">
        <v>45205</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HYPERLINK("https://klasma.github.io/Logging_OSKARSHAMN/artfynd/A 28298-2021.xlsx", "A 28298-2021")</f>
        <v/>
      </c>
      <c r="T494">
        <f>HYPERLINK("https://klasma.github.io/Logging_OSKARSHAMN/kartor/A 28298-2021.png", "A 28298-2021")</f>
        <v/>
      </c>
      <c r="V494">
        <f>HYPERLINK("https://klasma.github.io/Logging_OSKARSHAMN/klagomål/A 28298-2021.docx", "A 28298-2021")</f>
        <v/>
      </c>
      <c r="W494">
        <f>HYPERLINK("https://klasma.github.io/Logging_OSKARSHAMN/klagomålsmail/A 28298-2021.docx", "A 28298-2021")</f>
        <v/>
      </c>
      <c r="X494">
        <f>HYPERLINK("https://klasma.github.io/Logging_OSKARSHAMN/tillsyn/A 28298-2021.docx", "A 28298-2021")</f>
        <v/>
      </c>
      <c r="Y494">
        <f>HYPERLINK("https://klasma.github.io/Logging_OSKARSHAMN/tillsynsmail/A 28298-2021.docx", "A 28298-2021")</f>
        <v/>
      </c>
    </row>
    <row r="495" ht="15" customHeight="1">
      <c r="A495" t="inlineStr">
        <is>
          <t>A 28299-2021</t>
        </is>
      </c>
      <c r="B495" s="1" t="n">
        <v>44356</v>
      </c>
      <c r="C495" s="1" t="n">
        <v>45205</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HYPERLINK("https://klasma.github.io/Logging_OSKARSHAMN/artfynd/A 28299-2021.xlsx", "A 28299-2021")</f>
        <v/>
      </c>
      <c r="T495">
        <f>HYPERLINK("https://klasma.github.io/Logging_OSKARSHAMN/kartor/A 28299-2021.png", "A 28299-2021")</f>
        <v/>
      </c>
      <c r="V495">
        <f>HYPERLINK("https://klasma.github.io/Logging_OSKARSHAMN/klagomål/A 28299-2021.docx", "A 28299-2021")</f>
        <v/>
      </c>
      <c r="W495">
        <f>HYPERLINK("https://klasma.github.io/Logging_OSKARSHAMN/klagomålsmail/A 28299-2021.docx", "A 28299-2021")</f>
        <v/>
      </c>
      <c r="X495">
        <f>HYPERLINK("https://klasma.github.io/Logging_OSKARSHAMN/tillsyn/A 28299-2021.docx", "A 28299-2021")</f>
        <v/>
      </c>
      <c r="Y495">
        <f>HYPERLINK("https://klasma.github.io/Logging_OSKARSHAMN/tillsynsmail/A 28299-2021.docx", "A 28299-2021")</f>
        <v/>
      </c>
    </row>
    <row r="496" ht="15" customHeight="1">
      <c r="A496" t="inlineStr">
        <is>
          <t>A 29455-2021</t>
        </is>
      </c>
      <c r="B496" s="1" t="n">
        <v>44361</v>
      </c>
      <c r="C496" s="1" t="n">
        <v>45205</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HYPERLINK("https://klasma.github.io/Logging_VASTERVIK/artfynd/A 29455-2021.xlsx", "A 29455-2021")</f>
        <v/>
      </c>
      <c r="T496">
        <f>HYPERLINK("https://klasma.github.io/Logging_VASTERVIK/kartor/A 29455-2021.png", "A 29455-2021")</f>
        <v/>
      </c>
      <c r="U496">
        <f>HYPERLINK("https://klasma.github.io/Logging_VASTERVIK/knärot/A 29455-2021.png", "A 29455-2021")</f>
        <v/>
      </c>
      <c r="V496">
        <f>HYPERLINK("https://klasma.github.io/Logging_VASTERVIK/klagomål/A 29455-2021.docx", "A 29455-2021")</f>
        <v/>
      </c>
      <c r="W496">
        <f>HYPERLINK("https://klasma.github.io/Logging_VASTERVIK/klagomålsmail/A 29455-2021.docx", "A 29455-2021")</f>
        <v/>
      </c>
      <c r="X496">
        <f>HYPERLINK("https://klasma.github.io/Logging_VASTERVIK/tillsyn/A 29455-2021.docx", "A 29455-2021")</f>
        <v/>
      </c>
      <c r="Y496">
        <f>HYPERLINK("https://klasma.github.io/Logging_VASTERVIK/tillsynsmail/A 29455-2021.docx", "A 29455-2021")</f>
        <v/>
      </c>
    </row>
    <row r="497" ht="15" customHeight="1">
      <c r="A497" t="inlineStr">
        <is>
          <t>A 30666-2021</t>
        </is>
      </c>
      <c r="B497" s="1" t="n">
        <v>44365</v>
      </c>
      <c r="C497" s="1" t="n">
        <v>45205</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HYPERLINK("https://klasma.github.io/Logging_NYBRO/artfynd/A 30666-2021.xlsx", "A 30666-2021")</f>
        <v/>
      </c>
      <c r="T497">
        <f>HYPERLINK("https://klasma.github.io/Logging_NYBRO/kartor/A 30666-2021.png", "A 30666-2021")</f>
        <v/>
      </c>
      <c r="V497">
        <f>HYPERLINK("https://klasma.github.io/Logging_NYBRO/klagomål/A 30666-2021.docx", "A 30666-2021")</f>
        <v/>
      </c>
      <c r="W497">
        <f>HYPERLINK("https://klasma.github.io/Logging_NYBRO/klagomålsmail/A 30666-2021.docx", "A 30666-2021")</f>
        <v/>
      </c>
      <c r="X497">
        <f>HYPERLINK("https://klasma.github.io/Logging_NYBRO/tillsyn/A 30666-2021.docx", "A 30666-2021")</f>
        <v/>
      </c>
      <c r="Y497">
        <f>HYPERLINK("https://klasma.github.io/Logging_NYBRO/tillsynsmail/A 30666-2021.docx", "A 30666-2021")</f>
        <v/>
      </c>
    </row>
    <row r="498" ht="15" customHeight="1">
      <c r="A498" t="inlineStr">
        <is>
          <t>A 31315-2021</t>
        </is>
      </c>
      <c r="B498" s="1" t="n">
        <v>44368</v>
      </c>
      <c r="C498" s="1" t="n">
        <v>45205</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HYPERLINK("https://klasma.github.io/Logging_VASTERVIK/artfynd/A 31315-2021.xlsx", "A 31315-2021")</f>
        <v/>
      </c>
      <c r="T498">
        <f>HYPERLINK("https://klasma.github.io/Logging_VASTERVIK/kartor/A 31315-2021.png", "A 31315-2021")</f>
        <v/>
      </c>
      <c r="U498">
        <f>HYPERLINK("https://klasma.github.io/Logging_VASTERVIK/knärot/A 31315-2021.png", "A 31315-2021")</f>
        <v/>
      </c>
      <c r="V498">
        <f>HYPERLINK("https://klasma.github.io/Logging_VASTERVIK/klagomål/A 31315-2021.docx", "A 31315-2021")</f>
        <v/>
      </c>
      <c r="W498">
        <f>HYPERLINK("https://klasma.github.io/Logging_VASTERVIK/klagomålsmail/A 31315-2021.docx", "A 31315-2021")</f>
        <v/>
      </c>
      <c r="X498">
        <f>HYPERLINK("https://klasma.github.io/Logging_VASTERVIK/tillsyn/A 31315-2021.docx", "A 31315-2021")</f>
        <v/>
      </c>
      <c r="Y498">
        <f>HYPERLINK("https://klasma.github.io/Logging_VASTERVIK/tillsynsmail/A 31315-2021.docx", "A 31315-2021")</f>
        <v/>
      </c>
    </row>
    <row r="499" ht="15" customHeight="1">
      <c r="A499" t="inlineStr">
        <is>
          <t>A 31170-2021</t>
        </is>
      </c>
      <c r="B499" s="1" t="n">
        <v>44368</v>
      </c>
      <c r="C499" s="1" t="n">
        <v>45205</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HYPERLINK("https://klasma.github.io/Logging_MONSTERAS/artfynd/A 31170-2021.xlsx", "A 31170-2021")</f>
        <v/>
      </c>
      <c r="T499">
        <f>HYPERLINK("https://klasma.github.io/Logging_MONSTERAS/kartor/A 31170-2021.png", "A 31170-2021")</f>
        <v/>
      </c>
      <c r="U499">
        <f>HYPERLINK("https://klasma.github.io/Logging_MONSTERAS/knärot/A 31170-2021.png", "A 31170-2021")</f>
        <v/>
      </c>
      <c r="V499">
        <f>HYPERLINK("https://klasma.github.io/Logging_MONSTERAS/klagomål/A 31170-2021.docx", "A 31170-2021")</f>
        <v/>
      </c>
      <c r="W499">
        <f>HYPERLINK("https://klasma.github.io/Logging_MONSTERAS/klagomålsmail/A 31170-2021.docx", "A 31170-2021")</f>
        <v/>
      </c>
      <c r="X499">
        <f>HYPERLINK("https://klasma.github.io/Logging_MONSTERAS/tillsyn/A 31170-2021.docx", "A 31170-2021")</f>
        <v/>
      </c>
      <c r="Y499">
        <f>HYPERLINK("https://klasma.github.io/Logging_MONSTERAS/tillsynsmail/A 31170-2021.docx", "A 31170-2021")</f>
        <v/>
      </c>
    </row>
    <row r="500" ht="15" customHeight="1">
      <c r="A500" t="inlineStr">
        <is>
          <t>A 32396-2021</t>
        </is>
      </c>
      <c r="B500" s="1" t="n">
        <v>44371</v>
      </c>
      <c r="C500" s="1" t="n">
        <v>45205</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HYPERLINK("https://klasma.github.io/Logging_VIMMERBY/artfynd/A 32396-2021.xlsx", "A 32396-2021")</f>
        <v/>
      </c>
      <c r="T500">
        <f>HYPERLINK("https://klasma.github.io/Logging_VIMMERBY/kartor/A 32396-2021.png", "A 32396-2021")</f>
        <v/>
      </c>
      <c r="V500">
        <f>HYPERLINK("https://klasma.github.io/Logging_VIMMERBY/klagomål/A 32396-2021.docx", "A 32396-2021")</f>
        <v/>
      </c>
      <c r="W500">
        <f>HYPERLINK("https://klasma.github.io/Logging_VIMMERBY/klagomålsmail/A 32396-2021.docx", "A 32396-2021")</f>
        <v/>
      </c>
      <c r="X500">
        <f>HYPERLINK("https://klasma.github.io/Logging_VIMMERBY/tillsyn/A 32396-2021.docx", "A 32396-2021")</f>
        <v/>
      </c>
      <c r="Y500">
        <f>HYPERLINK("https://klasma.github.io/Logging_VIMMERBY/tillsynsmail/A 32396-2021.docx", "A 32396-2021")</f>
        <v/>
      </c>
    </row>
    <row r="501" ht="15" customHeight="1">
      <c r="A501" t="inlineStr">
        <is>
          <t>A 32768-2021</t>
        </is>
      </c>
      <c r="B501" s="1" t="n">
        <v>44375</v>
      </c>
      <c r="C501" s="1" t="n">
        <v>45205</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HYPERLINK("https://klasma.github.io/Logging_HULTSFRED/artfynd/A 32768-2021.xlsx", "A 32768-2021")</f>
        <v/>
      </c>
      <c r="T501">
        <f>HYPERLINK("https://klasma.github.io/Logging_HULTSFRED/kartor/A 32768-2021.png", "A 32768-2021")</f>
        <v/>
      </c>
      <c r="V501">
        <f>HYPERLINK("https://klasma.github.io/Logging_HULTSFRED/klagomål/A 32768-2021.docx", "A 32768-2021")</f>
        <v/>
      </c>
      <c r="W501">
        <f>HYPERLINK("https://klasma.github.io/Logging_HULTSFRED/klagomålsmail/A 32768-2021.docx", "A 32768-2021")</f>
        <v/>
      </c>
      <c r="X501">
        <f>HYPERLINK("https://klasma.github.io/Logging_HULTSFRED/tillsyn/A 32768-2021.docx", "A 32768-2021")</f>
        <v/>
      </c>
      <c r="Y501">
        <f>HYPERLINK("https://klasma.github.io/Logging_HULTSFRED/tillsynsmail/A 32768-2021.docx", "A 32768-2021")</f>
        <v/>
      </c>
    </row>
    <row r="502" ht="15" customHeight="1">
      <c r="A502" t="inlineStr">
        <is>
          <t>A 33837-2021</t>
        </is>
      </c>
      <c r="B502" s="1" t="n">
        <v>44378</v>
      </c>
      <c r="C502" s="1" t="n">
        <v>45205</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HYPERLINK("https://klasma.github.io/Logging_OSKARSHAMN/artfynd/A 33837-2021.xlsx", "A 33837-2021")</f>
        <v/>
      </c>
      <c r="T502">
        <f>HYPERLINK("https://klasma.github.io/Logging_OSKARSHAMN/kartor/A 33837-2021.png", "A 33837-2021")</f>
        <v/>
      </c>
      <c r="V502">
        <f>HYPERLINK("https://klasma.github.io/Logging_OSKARSHAMN/klagomål/A 33837-2021.docx", "A 33837-2021")</f>
        <v/>
      </c>
      <c r="W502">
        <f>HYPERLINK("https://klasma.github.io/Logging_OSKARSHAMN/klagomålsmail/A 33837-2021.docx", "A 33837-2021")</f>
        <v/>
      </c>
      <c r="X502">
        <f>HYPERLINK("https://klasma.github.io/Logging_OSKARSHAMN/tillsyn/A 33837-2021.docx", "A 33837-2021")</f>
        <v/>
      </c>
      <c r="Y502">
        <f>HYPERLINK("https://klasma.github.io/Logging_OSKARSHAMN/tillsynsmail/A 33837-2021.docx", "A 33837-2021")</f>
        <v/>
      </c>
    </row>
    <row r="503" ht="15" customHeight="1">
      <c r="A503" t="inlineStr">
        <is>
          <t>A 37438-2021</t>
        </is>
      </c>
      <c r="B503" s="1" t="n">
        <v>44398</v>
      </c>
      <c r="C503" s="1" t="n">
        <v>45205</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HYPERLINK("https://klasma.github.io/Logging_VASTERVIK/artfynd/A 37438-2021.xlsx", "A 37438-2021")</f>
        <v/>
      </c>
      <c r="T503">
        <f>HYPERLINK("https://klasma.github.io/Logging_VASTERVIK/kartor/A 37438-2021.png", "A 37438-2021")</f>
        <v/>
      </c>
      <c r="U503">
        <f>HYPERLINK("https://klasma.github.io/Logging_VASTERVIK/knärot/A 37438-2021.png", "A 37438-2021")</f>
        <v/>
      </c>
      <c r="V503">
        <f>HYPERLINK("https://klasma.github.io/Logging_VASTERVIK/klagomål/A 37438-2021.docx", "A 37438-2021")</f>
        <v/>
      </c>
      <c r="W503">
        <f>HYPERLINK("https://klasma.github.io/Logging_VASTERVIK/klagomålsmail/A 37438-2021.docx", "A 37438-2021")</f>
        <v/>
      </c>
      <c r="X503">
        <f>HYPERLINK("https://klasma.github.io/Logging_VASTERVIK/tillsyn/A 37438-2021.docx", "A 37438-2021")</f>
        <v/>
      </c>
      <c r="Y503">
        <f>HYPERLINK("https://klasma.github.io/Logging_VASTERVIK/tillsynsmail/A 37438-2021.docx", "A 37438-2021")</f>
        <v/>
      </c>
    </row>
    <row r="504" ht="15" customHeight="1">
      <c r="A504" t="inlineStr">
        <is>
          <t>A 37930-2021</t>
        </is>
      </c>
      <c r="B504" s="1" t="n">
        <v>44403</v>
      </c>
      <c r="C504" s="1" t="n">
        <v>45205</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HYPERLINK("https://klasma.github.io/Logging_VIMMERBY/artfynd/A 37930-2021.xlsx", "A 37930-2021")</f>
        <v/>
      </c>
      <c r="T504">
        <f>HYPERLINK("https://klasma.github.io/Logging_VIMMERBY/kartor/A 37930-2021.png", "A 37930-2021")</f>
        <v/>
      </c>
      <c r="V504">
        <f>HYPERLINK("https://klasma.github.io/Logging_VIMMERBY/klagomål/A 37930-2021.docx", "A 37930-2021")</f>
        <v/>
      </c>
      <c r="W504">
        <f>HYPERLINK("https://klasma.github.io/Logging_VIMMERBY/klagomålsmail/A 37930-2021.docx", "A 37930-2021")</f>
        <v/>
      </c>
      <c r="X504">
        <f>HYPERLINK("https://klasma.github.io/Logging_VIMMERBY/tillsyn/A 37930-2021.docx", "A 37930-2021")</f>
        <v/>
      </c>
      <c r="Y504">
        <f>HYPERLINK("https://klasma.github.io/Logging_VIMMERBY/tillsynsmail/A 37930-2021.docx", "A 37930-2021")</f>
        <v/>
      </c>
    </row>
    <row r="505" ht="15" customHeight="1">
      <c r="A505" t="inlineStr">
        <is>
          <t>A 39875-2021</t>
        </is>
      </c>
      <c r="B505" s="1" t="n">
        <v>44417</v>
      </c>
      <c r="C505" s="1" t="n">
        <v>45205</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HYPERLINK("https://klasma.github.io/Logging_HULTSFRED/artfynd/A 39875-2021.xlsx", "A 39875-2021")</f>
        <v/>
      </c>
      <c r="T505">
        <f>HYPERLINK("https://klasma.github.io/Logging_HULTSFRED/kartor/A 39875-2021.png", "A 39875-2021")</f>
        <v/>
      </c>
      <c r="V505">
        <f>HYPERLINK("https://klasma.github.io/Logging_HULTSFRED/klagomål/A 39875-2021.docx", "A 39875-2021")</f>
        <v/>
      </c>
      <c r="W505">
        <f>HYPERLINK("https://klasma.github.io/Logging_HULTSFRED/klagomålsmail/A 39875-2021.docx", "A 39875-2021")</f>
        <v/>
      </c>
      <c r="X505">
        <f>HYPERLINK("https://klasma.github.io/Logging_HULTSFRED/tillsyn/A 39875-2021.docx", "A 39875-2021")</f>
        <v/>
      </c>
      <c r="Y505">
        <f>HYPERLINK("https://klasma.github.io/Logging_HULTSFRED/tillsynsmail/A 39875-2021.docx", "A 39875-2021")</f>
        <v/>
      </c>
    </row>
    <row r="506" ht="15" customHeight="1">
      <c r="A506" t="inlineStr">
        <is>
          <t>A 41263-2021</t>
        </is>
      </c>
      <c r="B506" s="1" t="n">
        <v>44424</v>
      </c>
      <c r="C506" s="1" t="n">
        <v>45205</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HYPERLINK("https://klasma.github.io/Logging_MONSTERAS/artfynd/A 41263-2021.xlsx", "A 41263-2021")</f>
        <v/>
      </c>
      <c r="T506">
        <f>HYPERLINK("https://klasma.github.io/Logging_MONSTERAS/kartor/A 41263-2021.png", "A 41263-2021")</f>
        <v/>
      </c>
      <c r="V506">
        <f>HYPERLINK("https://klasma.github.io/Logging_MONSTERAS/klagomål/A 41263-2021.docx", "A 41263-2021")</f>
        <v/>
      </c>
      <c r="W506">
        <f>HYPERLINK("https://klasma.github.io/Logging_MONSTERAS/klagomålsmail/A 41263-2021.docx", "A 41263-2021")</f>
        <v/>
      </c>
      <c r="X506">
        <f>HYPERLINK("https://klasma.github.io/Logging_MONSTERAS/tillsyn/A 41263-2021.docx", "A 41263-2021")</f>
        <v/>
      </c>
      <c r="Y506">
        <f>HYPERLINK("https://klasma.github.io/Logging_MONSTERAS/tillsynsmail/A 41263-2021.docx", "A 41263-2021")</f>
        <v/>
      </c>
    </row>
    <row r="507" ht="15" customHeight="1">
      <c r="A507" t="inlineStr">
        <is>
          <t>A 42374-2021</t>
        </is>
      </c>
      <c r="B507" s="1" t="n">
        <v>44427</v>
      </c>
      <c r="C507" s="1" t="n">
        <v>45205</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HYPERLINK("https://klasma.github.io/Logging_OSKARSHAMN/artfynd/A 42374-2021.xlsx", "A 42374-2021")</f>
        <v/>
      </c>
      <c r="T507">
        <f>HYPERLINK("https://klasma.github.io/Logging_OSKARSHAMN/kartor/A 42374-2021.png", "A 42374-2021")</f>
        <v/>
      </c>
      <c r="V507">
        <f>HYPERLINK("https://klasma.github.io/Logging_OSKARSHAMN/klagomål/A 42374-2021.docx", "A 42374-2021")</f>
        <v/>
      </c>
      <c r="W507">
        <f>HYPERLINK("https://klasma.github.io/Logging_OSKARSHAMN/klagomålsmail/A 42374-2021.docx", "A 42374-2021")</f>
        <v/>
      </c>
      <c r="X507">
        <f>HYPERLINK("https://klasma.github.io/Logging_OSKARSHAMN/tillsyn/A 42374-2021.docx", "A 42374-2021")</f>
        <v/>
      </c>
      <c r="Y507">
        <f>HYPERLINK("https://klasma.github.io/Logging_OSKARSHAMN/tillsynsmail/A 42374-2021.docx", "A 42374-2021")</f>
        <v/>
      </c>
    </row>
    <row r="508" ht="15" customHeight="1">
      <c r="A508" t="inlineStr">
        <is>
          <t>A 44635-2021</t>
        </is>
      </c>
      <c r="B508" s="1" t="n">
        <v>44437</v>
      </c>
      <c r="C508" s="1" t="n">
        <v>45205</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HYPERLINK("https://klasma.github.io/Logging_VASTERVIK/artfynd/A 44635-2021.xlsx", "A 44635-2021")</f>
        <v/>
      </c>
      <c r="T508">
        <f>HYPERLINK("https://klasma.github.io/Logging_VASTERVIK/kartor/A 44635-2021.png", "A 44635-2021")</f>
        <v/>
      </c>
      <c r="V508">
        <f>HYPERLINK("https://klasma.github.io/Logging_VASTERVIK/klagomål/A 44635-2021.docx", "A 44635-2021")</f>
        <v/>
      </c>
      <c r="W508">
        <f>HYPERLINK("https://klasma.github.io/Logging_VASTERVIK/klagomålsmail/A 44635-2021.docx", "A 44635-2021")</f>
        <v/>
      </c>
      <c r="X508">
        <f>HYPERLINK("https://klasma.github.io/Logging_VASTERVIK/tillsyn/A 44635-2021.docx", "A 44635-2021")</f>
        <v/>
      </c>
      <c r="Y508">
        <f>HYPERLINK("https://klasma.github.io/Logging_VASTERVIK/tillsynsmail/A 44635-2021.docx", "A 44635-2021")</f>
        <v/>
      </c>
    </row>
    <row r="509" ht="15" customHeight="1">
      <c r="A509" t="inlineStr">
        <is>
          <t>A 46550-2021</t>
        </is>
      </c>
      <c r="B509" s="1" t="n">
        <v>44445</v>
      </c>
      <c r="C509" s="1" t="n">
        <v>45205</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HYPERLINK("https://klasma.github.io/Logging_EMMABODA/artfynd/A 46550-2021.xlsx", "A 46550-2021")</f>
        <v/>
      </c>
      <c r="T509">
        <f>HYPERLINK("https://klasma.github.io/Logging_EMMABODA/kartor/A 46550-2021.png", "A 46550-2021")</f>
        <v/>
      </c>
      <c r="V509">
        <f>HYPERLINK("https://klasma.github.io/Logging_EMMABODA/klagomål/A 46550-2021.docx", "A 46550-2021")</f>
        <v/>
      </c>
      <c r="W509">
        <f>HYPERLINK("https://klasma.github.io/Logging_EMMABODA/klagomålsmail/A 46550-2021.docx", "A 46550-2021")</f>
        <v/>
      </c>
      <c r="X509">
        <f>HYPERLINK("https://klasma.github.io/Logging_EMMABODA/tillsyn/A 46550-2021.docx", "A 46550-2021")</f>
        <v/>
      </c>
      <c r="Y509">
        <f>HYPERLINK("https://klasma.github.io/Logging_EMMABODA/tillsynsmail/A 46550-2021.docx", "A 46550-2021")</f>
        <v/>
      </c>
    </row>
    <row r="510" ht="15" customHeight="1">
      <c r="A510" t="inlineStr">
        <is>
          <t>A 47860-2021</t>
        </is>
      </c>
      <c r="B510" s="1" t="n">
        <v>44448</v>
      </c>
      <c r="C510" s="1" t="n">
        <v>45205</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HYPERLINK("https://klasma.github.io/Logging_VASTERVIK/artfynd/A 47860-2021.xlsx", "A 47860-2021")</f>
        <v/>
      </c>
      <c r="T510">
        <f>HYPERLINK("https://klasma.github.io/Logging_VASTERVIK/kartor/A 47860-2021.png", "A 47860-2021")</f>
        <v/>
      </c>
      <c r="V510">
        <f>HYPERLINK("https://klasma.github.io/Logging_VASTERVIK/klagomål/A 47860-2021.docx", "A 47860-2021")</f>
        <v/>
      </c>
      <c r="W510">
        <f>HYPERLINK("https://klasma.github.io/Logging_VASTERVIK/klagomålsmail/A 47860-2021.docx", "A 47860-2021")</f>
        <v/>
      </c>
      <c r="X510">
        <f>HYPERLINK("https://klasma.github.io/Logging_VASTERVIK/tillsyn/A 47860-2021.docx", "A 47860-2021")</f>
        <v/>
      </c>
      <c r="Y510">
        <f>HYPERLINK("https://klasma.github.io/Logging_VASTERVIK/tillsynsmail/A 47860-2021.docx", "A 47860-2021")</f>
        <v/>
      </c>
    </row>
    <row r="511" ht="15" customHeight="1">
      <c r="A511" t="inlineStr">
        <is>
          <t>A 48006-2021</t>
        </is>
      </c>
      <c r="B511" s="1" t="n">
        <v>44449</v>
      </c>
      <c r="C511" s="1" t="n">
        <v>45205</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HYPERLINK("https://klasma.github.io/Logging_NYBRO/artfynd/A 48006-2021.xlsx", "A 48006-2021")</f>
        <v/>
      </c>
      <c r="T511">
        <f>HYPERLINK("https://klasma.github.io/Logging_NYBRO/kartor/A 48006-2021.png", "A 48006-2021")</f>
        <v/>
      </c>
      <c r="V511">
        <f>HYPERLINK("https://klasma.github.io/Logging_NYBRO/klagomål/A 48006-2021.docx", "A 48006-2021")</f>
        <v/>
      </c>
      <c r="W511">
        <f>HYPERLINK("https://klasma.github.io/Logging_NYBRO/klagomålsmail/A 48006-2021.docx", "A 48006-2021")</f>
        <v/>
      </c>
      <c r="X511">
        <f>HYPERLINK("https://klasma.github.io/Logging_NYBRO/tillsyn/A 48006-2021.docx", "A 48006-2021")</f>
        <v/>
      </c>
      <c r="Y511">
        <f>HYPERLINK("https://klasma.github.io/Logging_NYBRO/tillsynsmail/A 48006-2021.docx", "A 48006-2021")</f>
        <v/>
      </c>
    </row>
    <row r="512" ht="15" customHeight="1">
      <c r="A512" t="inlineStr">
        <is>
          <t>A 49001-2021</t>
        </is>
      </c>
      <c r="B512" s="1" t="n">
        <v>44453</v>
      </c>
      <c r="C512" s="1" t="n">
        <v>45205</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HYPERLINK("https://klasma.github.io/Logging_TORSAS/artfynd/A 49001-2021.xlsx", "A 49001-2021")</f>
        <v/>
      </c>
      <c r="T512">
        <f>HYPERLINK("https://klasma.github.io/Logging_TORSAS/kartor/A 49001-2021.png", "A 49001-2021")</f>
        <v/>
      </c>
      <c r="V512">
        <f>HYPERLINK("https://klasma.github.io/Logging_TORSAS/klagomål/A 49001-2021.docx", "A 49001-2021")</f>
        <v/>
      </c>
      <c r="W512">
        <f>HYPERLINK("https://klasma.github.io/Logging_TORSAS/klagomålsmail/A 49001-2021.docx", "A 49001-2021")</f>
        <v/>
      </c>
      <c r="X512">
        <f>HYPERLINK("https://klasma.github.io/Logging_TORSAS/tillsyn/A 49001-2021.docx", "A 49001-2021")</f>
        <v/>
      </c>
      <c r="Y512">
        <f>HYPERLINK("https://klasma.github.io/Logging_TORSAS/tillsynsmail/A 49001-2021.docx", "A 49001-2021")</f>
        <v/>
      </c>
    </row>
    <row r="513" ht="15" customHeight="1">
      <c r="A513" t="inlineStr">
        <is>
          <t>A 49410-2021</t>
        </is>
      </c>
      <c r="B513" s="1" t="n">
        <v>44454</v>
      </c>
      <c r="C513" s="1" t="n">
        <v>45205</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HYPERLINK("https://klasma.github.io/Logging_TORSAS/artfynd/A 49410-2021.xlsx", "A 49410-2021")</f>
        <v/>
      </c>
      <c r="T513">
        <f>HYPERLINK("https://klasma.github.io/Logging_TORSAS/kartor/A 49410-2021.png", "A 49410-2021")</f>
        <v/>
      </c>
      <c r="V513">
        <f>HYPERLINK("https://klasma.github.io/Logging_TORSAS/klagomål/A 49410-2021.docx", "A 49410-2021")</f>
        <v/>
      </c>
      <c r="W513">
        <f>HYPERLINK("https://klasma.github.io/Logging_TORSAS/klagomålsmail/A 49410-2021.docx", "A 49410-2021")</f>
        <v/>
      </c>
      <c r="X513">
        <f>HYPERLINK("https://klasma.github.io/Logging_TORSAS/tillsyn/A 49410-2021.docx", "A 49410-2021")</f>
        <v/>
      </c>
      <c r="Y513">
        <f>HYPERLINK("https://klasma.github.io/Logging_TORSAS/tillsynsmail/A 49410-2021.docx", "A 49410-2021")</f>
        <v/>
      </c>
    </row>
    <row r="514" ht="15" customHeight="1">
      <c r="A514" t="inlineStr">
        <is>
          <t>A 49919-2021</t>
        </is>
      </c>
      <c r="B514" s="1" t="n">
        <v>44455</v>
      </c>
      <c r="C514" s="1" t="n">
        <v>45205</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HYPERLINK("https://klasma.github.io/Logging_HULTSFRED/artfynd/A 49919-2021.xlsx", "A 49919-2021")</f>
        <v/>
      </c>
      <c r="T514">
        <f>HYPERLINK("https://klasma.github.io/Logging_HULTSFRED/kartor/A 49919-2021.png", "A 49919-2021")</f>
        <v/>
      </c>
      <c r="V514">
        <f>HYPERLINK("https://klasma.github.io/Logging_HULTSFRED/klagomål/A 49919-2021.docx", "A 49919-2021")</f>
        <v/>
      </c>
      <c r="W514">
        <f>HYPERLINK("https://klasma.github.io/Logging_HULTSFRED/klagomålsmail/A 49919-2021.docx", "A 49919-2021")</f>
        <v/>
      </c>
      <c r="X514">
        <f>HYPERLINK("https://klasma.github.io/Logging_HULTSFRED/tillsyn/A 49919-2021.docx", "A 49919-2021")</f>
        <v/>
      </c>
      <c r="Y514">
        <f>HYPERLINK("https://klasma.github.io/Logging_HULTSFRED/tillsynsmail/A 49919-2021.docx", "A 49919-2021")</f>
        <v/>
      </c>
    </row>
    <row r="515" ht="15" customHeight="1">
      <c r="A515" t="inlineStr">
        <is>
          <t>A 51244-2021</t>
        </is>
      </c>
      <c r="B515" s="1" t="n">
        <v>44460</v>
      </c>
      <c r="C515" s="1" t="n">
        <v>45205</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HYPERLINK("https://klasma.github.io/Logging_MORBYLANGA/artfynd/A 51244-2021.xlsx", "A 51244-2021")</f>
        <v/>
      </c>
      <c r="T515">
        <f>HYPERLINK("https://klasma.github.io/Logging_MORBYLANGA/kartor/A 51244-2021.png", "A 51244-2021")</f>
        <v/>
      </c>
      <c r="V515">
        <f>HYPERLINK("https://klasma.github.io/Logging_MORBYLANGA/klagomål/A 51244-2021.docx", "A 51244-2021")</f>
        <v/>
      </c>
      <c r="W515">
        <f>HYPERLINK("https://klasma.github.io/Logging_MORBYLANGA/klagomålsmail/A 51244-2021.docx", "A 51244-2021")</f>
        <v/>
      </c>
      <c r="X515">
        <f>HYPERLINK("https://klasma.github.io/Logging_MORBYLANGA/tillsyn/A 51244-2021.docx", "A 51244-2021")</f>
        <v/>
      </c>
      <c r="Y515">
        <f>HYPERLINK("https://klasma.github.io/Logging_MORBYLANGA/tillsynsmail/A 51244-2021.docx", "A 51244-2021")</f>
        <v/>
      </c>
    </row>
    <row r="516" ht="15" customHeight="1">
      <c r="A516" t="inlineStr">
        <is>
          <t>A 52162-2021</t>
        </is>
      </c>
      <c r="B516" s="1" t="n">
        <v>44463</v>
      </c>
      <c r="C516" s="1" t="n">
        <v>45205</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HYPERLINK("https://klasma.github.io/Logging_OSKARSHAMN/artfynd/A 52162-2021.xlsx", "A 52162-2021")</f>
        <v/>
      </c>
      <c r="T516">
        <f>HYPERLINK("https://klasma.github.io/Logging_OSKARSHAMN/kartor/A 52162-2021.png", "A 52162-2021")</f>
        <v/>
      </c>
      <c r="V516">
        <f>HYPERLINK("https://klasma.github.io/Logging_OSKARSHAMN/klagomål/A 52162-2021.docx", "A 52162-2021")</f>
        <v/>
      </c>
      <c r="W516">
        <f>HYPERLINK("https://klasma.github.io/Logging_OSKARSHAMN/klagomålsmail/A 52162-2021.docx", "A 52162-2021")</f>
        <v/>
      </c>
      <c r="X516">
        <f>HYPERLINK("https://klasma.github.io/Logging_OSKARSHAMN/tillsyn/A 52162-2021.docx", "A 52162-2021")</f>
        <v/>
      </c>
      <c r="Y516">
        <f>HYPERLINK("https://klasma.github.io/Logging_OSKARSHAMN/tillsynsmail/A 52162-2021.docx", "A 52162-2021")</f>
        <v/>
      </c>
    </row>
    <row r="517" ht="15" customHeight="1">
      <c r="A517" t="inlineStr">
        <is>
          <t>A 52670-2021</t>
        </is>
      </c>
      <c r="B517" s="1" t="n">
        <v>44466</v>
      </c>
      <c r="C517" s="1" t="n">
        <v>45205</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HYPERLINK("https://klasma.github.io/Logging_KALMAR/artfynd/A 52670-2021.xlsx", "A 52670-2021")</f>
        <v/>
      </c>
      <c r="T517">
        <f>HYPERLINK("https://klasma.github.io/Logging_KALMAR/kartor/A 52670-2021.png", "A 52670-2021")</f>
        <v/>
      </c>
      <c r="U517">
        <f>HYPERLINK("https://klasma.github.io/Logging_KALMAR/knärot/A 52670-2021.png", "A 52670-2021")</f>
        <v/>
      </c>
      <c r="V517">
        <f>HYPERLINK("https://klasma.github.io/Logging_KALMAR/klagomål/A 52670-2021.docx", "A 52670-2021")</f>
        <v/>
      </c>
      <c r="W517">
        <f>HYPERLINK("https://klasma.github.io/Logging_KALMAR/klagomålsmail/A 52670-2021.docx", "A 52670-2021")</f>
        <v/>
      </c>
      <c r="X517">
        <f>HYPERLINK("https://klasma.github.io/Logging_KALMAR/tillsyn/A 52670-2021.docx", "A 52670-2021")</f>
        <v/>
      </c>
      <c r="Y517">
        <f>HYPERLINK("https://klasma.github.io/Logging_KALMAR/tillsynsmail/A 52670-2021.docx", "A 52670-2021")</f>
        <v/>
      </c>
    </row>
    <row r="518" ht="15" customHeight="1">
      <c r="A518" t="inlineStr">
        <is>
          <t>A 52831-2021</t>
        </is>
      </c>
      <c r="B518" s="1" t="n">
        <v>44467</v>
      </c>
      <c r="C518" s="1" t="n">
        <v>45205</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52831-2021.xlsx", "A 52831-2021")</f>
        <v/>
      </c>
      <c r="T518">
        <f>HYPERLINK("https://klasma.github.io/Logging_VASTERVIK/kartor/A 52831-2021.png", "A 52831-2021")</f>
        <v/>
      </c>
      <c r="V518">
        <f>HYPERLINK("https://klasma.github.io/Logging_VASTERVIK/klagomål/A 52831-2021.docx", "A 52831-2021")</f>
        <v/>
      </c>
      <c r="W518">
        <f>HYPERLINK("https://klasma.github.io/Logging_VASTERVIK/klagomålsmail/A 52831-2021.docx", "A 52831-2021")</f>
        <v/>
      </c>
      <c r="X518">
        <f>HYPERLINK("https://klasma.github.io/Logging_VASTERVIK/tillsyn/A 52831-2021.docx", "A 52831-2021")</f>
        <v/>
      </c>
      <c r="Y518">
        <f>HYPERLINK("https://klasma.github.io/Logging_VASTERVIK/tillsynsmail/A 52831-2021.docx", "A 52831-2021")</f>
        <v/>
      </c>
    </row>
    <row r="519" ht="15" customHeight="1">
      <c r="A519" t="inlineStr">
        <is>
          <t>A 53738-2021</t>
        </is>
      </c>
      <c r="B519" s="1" t="n">
        <v>44467</v>
      </c>
      <c r="C519" s="1" t="n">
        <v>45205</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HYPERLINK("https://klasma.github.io/Logging_VASTERVIK/artfynd/A 53738-2021.xlsx", "A 53738-2021")</f>
        <v/>
      </c>
      <c r="T519">
        <f>HYPERLINK("https://klasma.github.io/Logging_VASTERVIK/kartor/A 53738-2021.png", "A 53738-2021")</f>
        <v/>
      </c>
      <c r="U519">
        <f>HYPERLINK("https://klasma.github.io/Logging_VASTERVIK/knärot/A 53738-2021.png", "A 53738-2021")</f>
        <v/>
      </c>
      <c r="V519">
        <f>HYPERLINK("https://klasma.github.io/Logging_VASTERVIK/klagomål/A 53738-2021.docx", "A 53738-2021")</f>
        <v/>
      </c>
      <c r="W519">
        <f>HYPERLINK("https://klasma.github.io/Logging_VASTERVIK/klagomålsmail/A 53738-2021.docx", "A 53738-2021")</f>
        <v/>
      </c>
      <c r="X519">
        <f>HYPERLINK("https://klasma.github.io/Logging_VASTERVIK/tillsyn/A 53738-2021.docx", "A 53738-2021")</f>
        <v/>
      </c>
      <c r="Y519">
        <f>HYPERLINK("https://klasma.github.io/Logging_VASTERVIK/tillsynsmail/A 53738-2021.docx", "A 53738-2021")</f>
        <v/>
      </c>
    </row>
    <row r="520" ht="15" customHeight="1">
      <c r="A520" t="inlineStr">
        <is>
          <t>A 54192-2021</t>
        </is>
      </c>
      <c r="B520" s="1" t="n">
        <v>44470</v>
      </c>
      <c r="C520" s="1" t="n">
        <v>45205</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HYPERLINK("https://klasma.github.io/Logging_MORBYLANGA/artfynd/A 54192-2021.xlsx", "A 54192-2021")</f>
        <v/>
      </c>
      <c r="T520">
        <f>HYPERLINK("https://klasma.github.io/Logging_MORBYLANGA/kartor/A 54192-2021.png", "A 54192-2021")</f>
        <v/>
      </c>
      <c r="V520">
        <f>HYPERLINK("https://klasma.github.io/Logging_MORBYLANGA/klagomål/A 54192-2021.docx", "A 54192-2021")</f>
        <v/>
      </c>
      <c r="W520">
        <f>HYPERLINK("https://klasma.github.io/Logging_MORBYLANGA/klagomålsmail/A 54192-2021.docx", "A 54192-2021")</f>
        <v/>
      </c>
      <c r="X520">
        <f>HYPERLINK("https://klasma.github.io/Logging_MORBYLANGA/tillsyn/A 54192-2021.docx", "A 54192-2021")</f>
        <v/>
      </c>
      <c r="Y520">
        <f>HYPERLINK("https://klasma.github.io/Logging_MORBYLANGA/tillsynsmail/A 54192-2021.docx", "A 54192-2021")</f>
        <v/>
      </c>
    </row>
    <row r="521" ht="15" customHeight="1">
      <c r="A521" t="inlineStr">
        <is>
          <t>A 56618-2021</t>
        </is>
      </c>
      <c r="B521" s="1" t="n">
        <v>44480</v>
      </c>
      <c r="C521" s="1" t="n">
        <v>45205</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HYPERLINK("https://klasma.github.io/Logging_VASTERVIK/artfynd/A 56618-2021.xlsx", "A 56618-2021")</f>
        <v/>
      </c>
      <c r="T521">
        <f>HYPERLINK("https://klasma.github.io/Logging_VASTERVIK/kartor/A 56618-2021.png", "A 56618-2021")</f>
        <v/>
      </c>
      <c r="V521">
        <f>HYPERLINK("https://klasma.github.io/Logging_VASTERVIK/klagomål/A 56618-2021.docx", "A 56618-2021")</f>
        <v/>
      </c>
      <c r="W521">
        <f>HYPERLINK("https://klasma.github.io/Logging_VASTERVIK/klagomålsmail/A 56618-2021.docx", "A 56618-2021")</f>
        <v/>
      </c>
      <c r="X521">
        <f>HYPERLINK("https://klasma.github.io/Logging_VASTERVIK/tillsyn/A 56618-2021.docx", "A 56618-2021")</f>
        <v/>
      </c>
      <c r="Y521">
        <f>HYPERLINK("https://klasma.github.io/Logging_VASTERVIK/tillsynsmail/A 56618-2021.docx", "A 56618-2021")</f>
        <v/>
      </c>
    </row>
    <row r="522" ht="15" customHeight="1">
      <c r="A522" t="inlineStr">
        <is>
          <t>A 57058-2021</t>
        </is>
      </c>
      <c r="B522" s="1" t="n">
        <v>44482</v>
      </c>
      <c r="C522" s="1" t="n">
        <v>45205</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HYPERLINK("https://klasma.github.io/Logging_KALMAR/artfynd/A 57058-2021.xlsx", "A 57058-2021")</f>
        <v/>
      </c>
      <c r="T522">
        <f>HYPERLINK("https://klasma.github.io/Logging_KALMAR/kartor/A 57058-2021.png", "A 57058-2021")</f>
        <v/>
      </c>
      <c r="U522">
        <f>HYPERLINK("https://klasma.github.io/Logging_KALMAR/knärot/A 57058-2021.png", "A 57058-2021")</f>
        <v/>
      </c>
      <c r="V522">
        <f>HYPERLINK("https://klasma.github.io/Logging_KALMAR/klagomål/A 57058-2021.docx", "A 57058-2021")</f>
        <v/>
      </c>
      <c r="W522">
        <f>HYPERLINK("https://klasma.github.io/Logging_KALMAR/klagomålsmail/A 57058-2021.docx", "A 57058-2021")</f>
        <v/>
      </c>
      <c r="X522">
        <f>HYPERLINK("https://klasma.github.io/Logging_KALMAR/tillsyn/A 57058-2021.docx", "A 57058-2021")</f>
        <v/>
      </c>
      <c r="Y522">
        <f>HYPERLINK("https://klasma.github.io/Logging_KALMAR/tillsynsmail/A 57058-2021.docx", "A 57058-2021")</f>
        <v/>
      </c>
    </row>
    <row r="523" ht="15" customHeight="1">
      <c r="A523" t="inlineStr">
        <is>
          <t>A 58044-2021</t>
        </is>
      </c>
      <c r="B523" s="1" t="n">
        <v>44487</v>
      </c>
      <c r="C523" s="1" t="n">
        <v>45205</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HYPERLINK("https://klasma.github.io/Logging_KALMAR/artfynd/A 58044-2021.xlsx", "A 58044-2021")</f>
        <v/>
      </c>
      <c r="T523">
        <f>HYPERLINK("https://klasma.github.io/Logging_KALMAR/kartor/A 58044-2021.png", "A 58044-2021")</f>
        <v/>
      </c>
      <c r="U523">
        <f>HYPERLINK("https://klasma.github.io/Logging_KALMAR/knärot/A 58044-2021.png", "A 58044-2021")</f>
        <v/>
      </c>
      <c r="V523">
        <f>HYPERLINK("https://klasma.github.io/Logging_KALMAR/klagomål/A 58044-2021.docx", "A 58044-2021")</f>
        <v/>
      </c>
      <c r="W523">
        <f>HYPERLINK("https://klasma.github.io/Logging_KALMAR/klagomålsmail/A 58044-2021.docx", "A 58044-2021")</f>
        <v/>
      </c>
      <c r="X523">
        <f>HYPERLINK("https://klasma.github.io/Logging_KALMAR/tillsyn/A 58044-2021.docx", "A 58044-2021")</f>
        <v/>
      </c>
      <c r="Y523">
        <f>HYPERLINK("https://klasma.github.io/Logging_KALMAR/tillsynsmail/A 58044-2021.docx", "A 58044-2021")</f>
        <v/>
      </c>
    </row>
    <row r="524" ht="15" customHeight="1">
      <c r="A524" t="inlineStr">
        <is>
          <t>A 58297-2021</t>
        </is>
      </c>
      <c r="B524" s="1" t="n">
        <v>44488</v>
      </c>
      <c r="C524" s="1" t="n">
        <v>45205</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HYPERLINK("https://klasma.github.io/Logging_EMMABODA/artfynd/A 58297-2021.xlsx", "A 58297-2021")</f>
        <v/>
      </c>
      <c r="T524">
        <f>HYPERLINK("https://klasma.github.io/Logging_EMMABODA/kartor/A 58297-2021.png", "A 58297-2021")</f>
        <v/>
      </c>
      <c r="V524">
        <f>HYPERLINK("https://klasma.github.io/Logging_EMMABODA/klagomål/A 58297-2021.docx", "A 58297-2021")</f>
        <v/>
      </c>
      <c r="W524">
        <f>HYPERLINK("https://klasma.github.io/Logging_EMMABODA/klagomålsmail/A 58297-2021.docx", "A 58297-2021")</f>
        <v/>
      </c>
      <c r="X524">
        <f>HYPERLINK("https://klasma.github.io/Logging_EMMABODA/tillsyn/A 58297-2021.docx", "A 58297-2021")</f>
        <v/>
      </c>
      <c r="Y524">
        <f>HYPERLINK("https://klasma.github.io/Logging_EMMABODA/tillsynsmail/A 58297-2021.docx", "A 58297-2021")</f>
        <v/>
      </c>
    </row>
    <row r="525" ht="15" customHeight="1">
      <c r="A525" t="inlineStr">
        <is>
          <t>A 58765-2021</t>
        </is>
      </c>
      <c r="B525" s="1" t="n">
        <v>44489</v>
      </c>
      <c r="C525" s="1" t="n">
        <v>45205</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HYPERLINK("https://klasma.github.io/Logging_NYBRO/artfynd/A 58765-2021.xlsx", "A 58765-2021")</f>
        <v/>
      </c>
      <c r="T525">
        <f>HYPERLINK("https://klasma.github.io/Logging_NYBRO/kartor/A 58765-2021.png", "A 58765-2021")</f>
        <v/>
      </c>
      <c r="V525">
        <f>HYPERLINK("https://klasma.github.io/Logging_NYBRO/klagomål/A 58765-2021.docx", "A 58765-2021")</f>
        <v/>
      </c>
      <c r="W525">
        <f>HYPERLINK("https://klasma.github.io/Logging_NYBRO/klagomålsmail/A 58765-2021.docx", "A 58765-2021")</f>
        <v/>
      </c>
      <c r="X525">
        <f>HYPERLINK("https://klasma.github.io/Logging_NYBRO/tillsyn/A 58765-2021.docx", "A 58765-2021")</f>
        <v/>
      </c>
      <c r="Y525">
        <f>HYPERLINK("https://klasma.github.io/Logging_NYBRO/tillsynsmail/A 58765-2021.docx", "A 58765-2021")</f>
        <v/>
      </c>
    </row>
    <row r="526" ht="15" customHeight="1">
      <c r="A526" t="inlineStr">
        <is>
          <t>A 58927-2021</t>
        </is>
      </c>
      <c r="B526" s="1" t="n">
        <v>44489</v>
      </c>
      <c r="C526" s="1" t="n">
        <v>45205</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HYPERLINK("https://klasma.github.io/Logging_KALMAR/artfynd/A 58927-2021.xlsx", "A 58927-2021")</f>
        <v/>
      </c>
      <c r="T526">
        <f>HYPERLINK("https://klasma.github.io/Logging_KALMAR/kartor/A 58927-2021.png", "A 58927-2021")</f>
        <v/>
      </c>
      <c r="V526">
        <f>HYPERLINK("https://klasma.github.io/Logging_KALMAR/klagomål/A 58927-2021.docx", "A 58927-2021")</f>
        <v/>
      </c>
      <c r="W526">
        <f>HYPERLINK("https://klasma.github.io/Logging_KALMAR/klagomålsmail/A 58927-2021.docx", "A 58927-2021")</f>
        <v/>
      </c>
      <c r="X526">
        <f>HYPERLINK("https://klasma.github.io/Logging_KALMAR/tillsyn/A 58927-2021.docx", "A 58927-2021")</f>
        <v/>
      </c>
      <c r="Y526">
        <f>HYPERLINK("https://klasma.github.io/Logging_KALMAR/tillsynsmail/A 58927-2021.docx", "A 58927-2021")</f>
        <v/>
      </c>
    </row>
    <row r="527" ht="15" customHeight="1">
      <c r="A527" t="inlineStr">
        <is>
          <t>A 59683-2021</t>
        </is>
      </c>
      <c r="B527" s="1" t="n">
        <v>44494</v>
      </c>
      <c r="C527" s="1" t="n">
        <v>45205</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HYPERLINK("https://klasma.github.io/Logging_OSKARSHAMN/artfynd/A 59683-2021.xlsx", "A 59683-2021")</f>
        <v/>
      </c>
      <c r="T527">
        <f>HYPERLINK("https://klasma.github.io/Logging_OSKARSHAMN/kartor/A 59683-2021.png", "A 59683-2021")</f>
        <v/>
      </c>
      <c r="V527">
        <f>HYPERLINK("https://klasma.github.io/Logging_OSKARSHAMN/klagomål/A 59683-2021.docx", "A 59683-2021")</f>
        <v/>
      </c>
      <c r="W527">
        <f>HYPERLINK("https://klasma.github.io/Logging_OSKARSHAMN/klagomålsmail/A 59683-2021.docx", "A 59683-2021")</f>
        <v/>
      </c>
      <c r="X527">
        <f>HYPERLINK("https://klasma.github.io/Logging_OSKARSHAMN/tillsyn/A 59683-2021.docx", "A 59683-2021")</f>
        <v/>
      </c>
      <c r="Y527">
        <f>HYPERLINK("https://klasma.github.io/Logging_OSKARSHAMN/tillsynsmail/A 59683-2021.docx", "A 59683-2021")</f>
        <v/>
      </c>
    </row>
    <row r="528" ht="15" customHeight="1">
      <c r="A528" t="inlineStr">
        <is>
          <t>A 60257-2021</t>
        </is>
      </c>
      <c r="B528" s="1" t="n">
        <v>44495</v>
      </c>
      <c r="C528" s="1" t="n">
        <v>45205</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HYPERLINK("https://klasma.github.io/Logging_EMMABODA/artfynd/A 60257-2021.xlsx", "A 60257-2021")</f>
        <v/>
      </c>
      <c r="T528">
        <f>HYPERLINK("https://klasma.github.io/Logging_EMMABODA/kartor/A 60257-2021.png", "A 60257-2021")</f>
        <v/>
      </c>
      <c r="U528">
        <f>HYPERLINK("https://klasma.github.io/Logging_EMMABODA/knärot/A 60257-2021.png", "A 60257-2021")</f>
        <v/>
      </c>
      <c r="V528">
        <f>HYPERLINK("https://klasma.github.io/Logging_EMMABODA/klagomål/A 60257-2021.docx", "A 60257-2021")</f>
        <v/>
      </c>
      <c r="W528">
        <f>HYPERLINK("https://klasma.github.io/Logging_EMMABODA/klagomålsmail/A 60257-2021.docx", "A 60257-2021")</f>
        <v/>
      </c>
      <c r="X528">
        <f>HYPERLINK("https://klasma.github.io/Logging_EMMABODA/tillsyn/A 60257-2021.docx", "A 60257-2021")</f>
        <v/>
      </c>
      <c r="Y528">
        <f>HYPERLINK("https://klasma.github.io/Logging_EMMABODA/tillsynsmail/A 60257-2021.docx", "A 60257-2021")</f>
        <v/>
      </c>
    </row>
    <row r="529" ht="15" customHeight="1">
      <c r="A529" t="inlineStr">
        <is>
          <t>A 61319-2021</t>
        </is>
      </c>
      <c r="B529" s="1" t="n">
        <v>44498</v>
      </c>
      <c r="C529" s="1" t="n">
        <v>45205</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HYPERLINK("https://klasma.github.io/Logging_VASTERVIK/artfynd/A 61319-2021.xlsx", "A 61319-2021")</f>
        <v/>
      </c>
      <c r="T529">
        <f>HYPERLINK("https://klasma.github.io/Logging_VASTERVIK/kartor/A 61319-2021.png", "A 61319-2021")</f>
        <v/>
      </c>
      <c r="V529">
        <f>HYPERLINK("https://klasma.github.io/Logging_VASTERVIK/klagomål/A 61319-2021.docx", "A 61319-2021")</f>
        <v/>
      </c>
      <c r="W529">
        <f>HYPERLINK("https://klasma.github.io/Logging_VASTERVIK/klagomålsmail/A 61319-2021.docx", "A 61319-2021")</f>
        <v/>
      </c>
      <c r="X529">
        <f>HYPERLINK("https://klasma.github.io/Logging_VASTERVIK/tillsyn/A 61319-2021.docx", "A 61319-2021")</f>
        <v/>
      </c>
      <c r="Y529">
        <f>HYPERLINK("https://klasma.github.io/Logging_VASTERVIK/tillsynsmail/A 61319-2021.docx", "A 61319-2021")</f>
        <v/>
      </c>
    </row>
    <row r="530" ht="15" customHeight="1">
      <c r="A530" t="inlineStr">
        <is>
          <t>A 68096-2021</t>
        </is>
      </c>
      <c r="B530" s="1" t="n">
        <v>44526</v>
      </c>
      <c r="C530" s="1" t="n">
        <v>45205</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HYPERLINK("https://klasma.github.io/Logging_HULTSFRED/artfynd/A 68096-2021.xlsx", "A 68096-2021")</f>
        <v/>
      </c>
      <c r="T530">
        <f>HYPERLINK("https://klasma.github.io/Logging_HULTSFRED/kartor/A 68096-2021.png", "A 68096-2021")</f>
        <v/>
      </c>
      <c r="U530">
        <f>HYPERLINK("https://klasma.github.io/Logging_HULTSFRED/knärot/A 68096-2021.png", "A 68096-2021")</f>
        <v/>
      </c>
      <c r="V530">
        <f>HYPERLINK("https://klasma.github.io/Logging_HULTSFRED/klagomål/A 68096-2021.docx", "A 68096-2021")</f>
        <v/>
      </c>
      <c r="W530">
        <f>HYPERLINK("https://klasma.github.io/Logging_HULTSFRED/klagomålsmail/A 68096-2021.docx", "A 68096-2021")</f>
        <v/>
      </c>
      <c r="X530">
        <f>HYPERLINK("https://klasma.github.io/Logging_HULTSFRED/tillsyn/A 68096-2021.docx", "A 68096-2021")</f>
        <v/>
      </c>
      <c r="Y530">
        <f>HYPERLINK("https://klasma.github.io/Logging_HULTSFRED/tillsynsmail/A 68096-2021.docx", "A 68096-2021")</f>
        <v/>
      </c>
    </row>
    <row r="531" ht="15" customHeight="1">
      <c r="A531" t="inlineStr">
        <is>
          <t>A 68563-2021</t>
        </is>
      </c>
      <c r="B531" s="1" t="n">
        <v>44529</v>
      </c>
      <c r="C531" s="1" t="n">
        <v>45205</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HYPERLINK("https://klasma.github.io/Logging_HOGSBY/artfynd/A 68563-2021.xlsx", "A 68563-2021")</f>
        <v/>
      </c>
      <c r="T531">
        <f>HYPERLINK("https://klasma.github.io/Logging_HOGSBY/kartor/A 68563-2021.png", "A 68563-2021")</f>
        <v/>
      </c>
      <c r="V531">
        <f>HYPERLINK("https://klasma.github.io/Logging_HOGSBY/klagomål/A 68563-2021.docx", "A 68563-2021")</f>
        <v/>
      </c>
      <c r="W531">
        <f>HYPERLINK("https://klasma.github.io/Logging_HOGSBY/klagomålsmail/A 68563-2021.docx", "A 68563-2021")</f>
        <v/>
      </c>
      <c r="X531">
        <f>HYPERLINK("https://klasma.github.io/Logging_HOGSBY/tillsyn/A 68563-2021.docx", "A 68563-2021")</f>
        <v/>
      </c>
      <c r="Y531">
        <f>HYPERLINK("https://klasma.github.io/Logging_HOGSBY/tillsynsmail/A 68563-2021.docx", "A 68563-2021")</f>
        <v/>
      </c>
    </row>
    <row r="532" ht="15" customHeight="1">
      <c r="A532" t="inlineStr">
        <is>
          <t>A 71785-2021</t>
        </is>
      </c>
      <c r="B532" s="1" t="n">
        <v>44539</v>
      </c>
      <c r="C532" s="1" t="n">
        <v>45205</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HYPERLINK("https://klasma.github.io/Logging_VIMMERBY/artfynd/A 71785-2021.xlsx", "A 71785-2021")</f>
        <v/>
      </c>
      <c r="T532">
        <f>HYPERLINK("https://klasma.github.io/Logging_VIMMERBY/kartor/A 71785-2021.png", "A 71785-2021")</f>
        <v/>
      </c>
      <c r="V532">
        <f>HYPERLINK("https://klasma.github.io/Logging_VIMMERBY/klagomål/A 71785-2021.docx", "A 71785-2021")</f>
        <v/>
      </c>
      <c r="W532">
        <f>HYPERLINK("https://klasma.github.io/Logging_VIMMERBY/klagomålsmail/A 71785-2021.docx", "A 71785-2021")</f>
        <v/>
      </c>
      <c r="X532">
        <f>HYPERLINK("https://klasma.github.io/Logging_VIMMERBY/tillsyn/A 71785-2021.docx", "A 71785-2021")</f>
        <v/>
      </c>
      <c r="Y532">
        <f>HYPERLINK("https://klasma.github.io/Logging_VIMMERBY/tillsynsmail/A 71785-2021.docx", "A 71785-2021")</f>
        <v/>
      </c>
    </row>
    <row r="533" ht="15" customHeight="1">
      <c r="A533" t="inlineStr">
        <is>
          <t>A 84-2022</t>
        </is>
      </c>
      <c r="B533" s="1" t="n">
        <v>44564</v>
      </c>
      <c r="C533" s="1" t="n">
        <v>45205</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HYPERLINK("https://klasma.github.io/Logging_NYBRO/artfynd/A 84-2022.xlsx", "A 84-2022")</f>
        <v/>
      </c>
      <c r="T533">
        <f>HYPERLINK("https://klasma.github.io/Logging_NYBRO/kartor/A 84-2022.png", "A 84-2022")</f>
        <v/>
      </c>
      <c r="V533">
        <f>HYPERLINK("https://klasma.github.io/Logging_NYBRO/klagomål/A 84-2022.docx", "A 84-2022")</f>
        <v/>
      </c>
      <c r="W533">
        <f>HYPERLINK("https://klasma.github.io/Logging_NYBRO/klagomålsmail/A 84-2022.docx", "A 84-2022")</f>
        <v/>
      </c>
      <c r="X533">
        <f>HYPERLINK("https://klasma.github.io/Logging_NYBRO/tillsyn/A 84-2022.docx", "A 84-2022")</f>
        <v/>
      </c>
      <c r="Y533">
        <f>HYPERLINK("https://klasma.github.io/Logging_NYBRO/tillsynsmail/A 84-2022.docx", "A 84-2022")</f>
        <v/>
      </c>
    </row>
    <row r="534" ht="15" customHeight="1">
      <c r="A534" t="inlineStr">
        <is>
          <t>A 1519-2022</t>
        </is>
      </c>
      <c r="B534" s="1" t="n">
        <v>44573</v>
      </c>
      <c r="C534" s="1" t="n">
        <v>45205</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HYPERLINK("https://klasma.github.io/Logging_HOGSBY/artfynd/A 1519-2022.xlsx", "A 1519-2022")</f>
        <v/>
      </c>
      <c r="T534">
        <f>HYPERLINK("https://klasma.github.io/Logging_HOGSBY/kartor/A 1519-2022.png", "A 1519-2022")</f>
        <v/>
      </c>
      <c r="V534">
        <f>HYPERLINK("https://klasma.github.io/Logging_HOGSBY/klagomål/A 1519-2022.docx", "A 1519-2022")</f>
        <v/>
      </c>
      <c r="W534">
        <f>HYPERLINK("https://klasma.github.io/Logging_HOGSBY/klagomålsmail/A 1519-2022.docx", "A 1519-2022")</f>
        <v/>
      </c>
      <c r="X534">
        <f>HYPERLINK("https://klasma.github.io/Logging_HOGSBY/tillsyn/A 1519-2022.docx", "A 1519-2022")</f>
        <v/>
      </c>
      <c r="Y534">
        <f>HYPERLINK("https://klasma.github.io/Logging_HOGSBY/tillsynsmail/A 1519-2022.docx", "A 1519-2022")</f>
        <v/>
      </c>
    </row>
    <row r="535" ht="15" customHeight="1">
      <c r="A535" t="inlineStr">
        <is>
          <t>A 1677-2022</t>
        </is>
      </c>
      <c r="B535" s="1" t="n">
        <v>44574</v>
      </c>
      <c r="C535" s="1" t="n">
        <v>45205</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HYPERLINK("https://klasma.github.io/Logging_VASTERVIK/artfynd/A 1677-2022.xlsx", "A 1677-2022")</f>
        <v/>
      </c>
      <c r="T535">
        <f>HYPERLINK("https://klasma.github.io/Logging_VASTERVIK/kartor/A 1677-2022.png", "A 1677-2022")</f>
        <v/>
      </c>
      <c r="U535">
        <f>HYPERLINK("https://klasma.github.io/Logging_VASTERVIK/knärot/A 1677-2022.png", "A 1677-2022")</f>
        <v/>
      </c>
      <c r="V535">
        <f>HYPERLINK("https://klasma.github.io/Logging_VASTERVIK/klagomål/A 1677-2022.docx", "A 1677-2022")</f>
        <v/>
      </c>
      <c r="W535">
        <f>HYPERLINK("https://klasma.github.io/Logging_VASTERVIK/klagomålsmail/A 1677-2022.docx", "A 1677-2022")</f>
        <v/>
      </c>
      <c r="X535">
        <f>HYPERLINK("https://klasma.github.io/Logging_VASTERVIK/tillsyn/A 1677-2022.docx", "A 1677-2022")</f>
        <v/>
      </c>
      <c r="Y535">
        <f>HYPERLINK("https://klasma.github.io/Logging_VASTERVIK/tillsynsmail/A 1677-2022.docx", "A 1677-2022")</f>
        <v/>
      </c>
    </row>
    <row r="536" ht="15" customHeight="1">
      <c r="A536" t="inlineStr">
        <is>
          <t>A 6849-2022</t>
        </is>
      </c>
      <c r="B536" s="1" t="n">
        <v>44602</v>
      </c>
      <c r="C536" s="1" t="n">
        <v>45205</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HYPERLINK("https://klasma.github.io/Logging_NYBRO/artfynd/A 6849-2022.xlsx", "A 6849-2022")</f>
        <v/>
      </c>
      <c r="T536">
        <f>HYPERLINK("https://klasma.github.io/Logging_NYBRO/kartor/A 6849-2022.png", "A 6849-2022")</f>
        <v/>
      </c>
      <c r="V536">
        <f>HYPERLINK("https://klasma.github.io/Logging_NYBRO/klagomål/A 6849-2022.docx", "A 6849-2022")</f>
        <v/>
      </c>
      <c r="W536">
        <f>HYPERLINK("https://klasma.github.io/Logging_NYBRO/klagomålsmail/A 6849-2022.docx", "A 6849-2022")</f>
        <v/>
      </c>
      <c r="X536">
        <f>HYPERLINK("https://klasma.github.io/Logging_NYBRO/tillsyn/A 6849-2022.docx", "A 6849-2022")</f>
        <v/>
      </c>
      <c r="Y536">
        <f>HYPERLINK("https://klasma.github.io/Logging_NYBRO/tillsynsmail/A 6849-2022.docx", "A 6849-2022")</f>
        <v/>
      </c>
    </row>
    <row r="537" ht="15" customHeight="1">
      <c r="A537" t="inlineStr">
        <is>
          <t>A 7032-2022</t>
        </is>
      </c>
      <c r="B537" s="1" t="n">
        <v>44603</v>
      </c>
      <c r="C537" s="1" t="n">
        <v>45205</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HYPERLINK("https://klasma.github.io/Logging_HOGSBY/artfynd/A 7032-2022.xlsx", "A 7032-2022")</f>
        <v/>
      </c>
      <c r="T537">
        <f>HYPERLINK("https://klasma.github.io/Logging_HOGSBY/kartor/A 7032-2022.png", "A 7032-2022")</f>
        <v/>
      </c>
      <c r="V537">
        <f>HYPERLINK("https://klasma.github.io/Logging_HOGSBY/klagomål/A 7032-2022.docx", "A 7032-2022")</f>
        <v/>
      </c>
      <c r="W537">
        <f>HYPERLINK("https://klasma.github.io/Logging_HOGSBY/klagomålsmail/A 7032-2022.docx", "A 7032-2022")</f>
        <v/>
      </c>
      <c r="X537">
        <f>HYPERLINK("https://klasma.github.io/Logging_HOGSBY/tillsyn/A 7032-2022.docx", "A 7032-2022")</f>
        <v/>
      </c>
      <c r="Y537">
        <f>HYPERLINK("https://klasma.github.io/Logging_HOGSBY/tillsynsmail/A 7032-2022.docx", "A 7032-2022")</f>
        <v/>
      </c>
    </row>
    <row r="538" ht="15" customHeight="1">
      <c r="A538" t="inlineStr">
        <is>
          <t>A 9518-2022</t>
        </is>
      </c>
      <c r="B538" s="1" t="n">
        <v>44616</v>
      </c>
      <c r="C538" s="1" t="n">
        <v>45205</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HYPERLINK("https://klasma.github.io/Logging_OSKARSHAMN/artfynd/A 9518-2022.xlsx", "A 9518-2022")</f>
        <v/>
      </c>
      <c r="T538">
        <f>HYPERLINK("https://klasma.github.io/Logging_OSKARSHAMN/kartor/A 9518-2022.png", "A 9518-2022")</f>
        <v/>
      </c>
      <c r="V538">
        <f>HYPERLINK("https://klasma.github.io/Logging_OSKARSHAMN/klagomål/A 9518-2022.docx", "A 9518-2022")</f>
        <v/>
      </c>
      <c r="W538">
        <f>HYPERLINK("https://klasma.github.io/Logging_OSKARSHAMN/klagomålsmail/A 9518-2022.docx", "A 9518-2022")</f>
        <v/>
      </c>
      <c r="X538">
        <f>HYPERLINK("https://klasma.github.io/Logging_OSKARSHAMN/tillsyn/A 9518-2022.docx", "A 9518-2022")</f>
        <v/>
      </c>
      <c r="Y538">
        <f>HYPERLINK("https://klasma.github.io/Logging_OSKARSHAMN/tillsynsmail/A 9518-2022.docx", "A 9518-2022")</f>
        <v/>
      </c>
    </row>
    <row r="539" ht="15" customHeight="1">
      <c r="A539" t="inlineStr">
        <is>
          <t>A 10292-2022</t>
        </is>
      </c>
      <c r="B539" s="1" t="n">
        <v>44622</v>
      </c>
      <c r="C539" s="1" t="n">
        <v>45205</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HYPERLINK("https://klasma.github.io/Logging_BORGHOLM/artfynd/A 10292-2022.xlsx", "A 10292-2022")</f>
        <v/>
      </c>
      <c r="T539">
        <f>HYPERLINK("https://klasma.github.io/Logging_BORGHOLM/kartor/A 10292-2022.png", "A 10292-2022")</f>
        <v/>
      </c>
      <c r="V539">
        <f>HYPERLINK("https://klasma.github.io/Logging_BORGHOLM/klagomål/A 10292-2022.docx", "A 10292-2022")</f>
        <v/>
      </c>
      <c r="W539">
        <f>HYPERLINK("https://klasma.github.io/Logging_BORGHOLM/klagomålsmail/A 10292-2022.docx", "A 10292-2022")</f>
        <v/>
      </c>
      <c r="X539">
        <f>HYPERLINK("https://klasma.github.io/Logging_BORGHOLM/tillsyn/A 10292-2022.docx", "A 10292-2022")</f>
        <v/>
      </c>
      <c r="Y539">
        <f>HYPERLINK("https://klasma.github.io/Logging_BORGHOLM/tillsynsmail/A 10292-2022.docx", "A 10292-2022")</f>
        <v/>
      </c>
    </row>
    <row r="540" ht="15" customHeight="1">
      <c r="A540" t="inlineStr">
        <is>
          <t>A 10989-2022</t>
        </is>
      </c>
      <c r="B540" s="1" t="n">
        <v>44628</v>
      </c>
      <c r="C540" s="1" t="n">
        <v>45205</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HYPERLINK("https://klasma.github.io/Logging_HOGSBY/artfynd/A 10989-2022.xlsx", "A 10989-2022")</f>
        <v/>
      </c>
      <c r="T540">
        <f>HYPERLINK("https://klasma.github.io/Logging_HOGSBY/kartor/A 10989-2022.png", "A 10989-2022")</f>
        <v/>
      </c>
      <c r="V540">
        <f>HYPERLINK("https://klasma.github.io/Logging_HOGSBY/klagomål/A 10989-2022.docx", "A 10989-2022")</f>
        <v/>
      </c>
      <c r="W540">
        <f>HYPERLINK("https://klasma.github.io/Logging_HOGSBY/klagomålsmail/A 10989-2022.docx", "A 10989-2022")</f>
        <v/>
      </c>
      <c r="X540">
        <f>HYPERLINK("https://klasma.github.io/Logging_HOGSBY/tillsyn/A 10989-2022.docx", "A 10989-2022")</f>
        <v/>
      </c>
      <c r="Y540">
        <f>HYPERLINK("https://klasma.github.io/Logging_HOGSBY/tillsynsmail/A 10989-2022.docx", "A 10989-2022")</f>
        <v/>
      </c>
    </row>
    <row r="541" ht="15" customHeight="1">
      <c r="A541" t="inlineStr">
        <is>
          <t>A 11823-2022</t>
        </is>
      </c>
      <c r="B541" s="1" t="n">
        <v>44634</v>
      </c>
      <c r="C541" s="1" t="n">
        <v>45205</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HYPERLINK("https://klasma.github.io/Logging_NYBRO/artfynd/A 11823-2022.xlsx", "A 11823-2022")</f>
        <v/>
      </c>
      <c r="T541">
        <f>HYPERLINK("https://klasma.github.io/Logging_NYBRO/kartor/A 11823-2022.png", "A 11823-2022")</f>
        <v/>
      </c>
      <c r="V541">
        <f>HYPERLINK("https://klasma.github.io/Logging_NYBRO/klagomål/A 11823-2022.docx", "A 11823-2022")</f>
        <v/>
      </c>
      <c r="W541">
        <f>HYPERLINK("https://klasma.github.io/Logging_NYBRO/klagomålsmail/A 11823-2022.docx", "A 11823-2022")</f>
        <v/>
      </c>
      <c r="X541">
        <f>HYPERLINK("https://klasma.github.io/Logging_NYBRO/tillsyn/A 11823-2022.docx", "A 11823-2022")</f>
        <v/>
      </c>
      <c r="Y541">
        <f>HYPERLINK("https://klasma.github.io/Logging_NYBRO/tillsynsmail/A 11823-2022.docx", "A 11823-2022")</f>
        <v/>
      </c>
    </row>
    <row r="542" ht="15" customHeight="1">
      <c r="A542" t="inlineStr">
        <is>
          <t>A 11995-2022</t>
        </is>
      </c>
      <c r="B542" s="1" t="n">
        <v>44635</v>
      </c>
      <c r="C542" s="1" t="n">
        <v>45205</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HYPERLINK("https://klasma.github.io/Logging_HOGSBY/artfynd/A 11995-2022.xlsx", "A 11995-2022")</f>
        <v/>
      </c>
      <c r="T542">
        <f>HYPERLINK("https://klasma.github.io/Logging_HOGSBY/kartor/A 11995-2022.png", "A 11995-2022")</f>
        <v/>
      </c>
      <c r="V542">
        <f>HYPERLINK("https://klasma.github.io/Logging_HOGSBY/klagomål/A 11995-2022.docx", "A 11995-2022")</f>
        <v/>
      </c>
      <c r="W542">
        <f>HYPERLINK("https://klasma.github.io/Logging_HOGSBY/klagomålsmail/A 11995-2022.docx", "A 11995-2022")</f>
        <v/>
      </c>
      <c r="X542">
        <f>HYPERLINK("https://klasma.github.io/Logging_HOGSBY/tillsyn/A 11995-2022.docx", "A 11995-2022")</f>
        <v/>
      </c>
      <c r="Y542">
        <f>HYPERLINK("https://klasma.github.io/Logging_HOGSBY/tillsynsmail/A 11995-2022.docx", "A 11995-2022")</f>
        <v/>
      </c>
    </row>
    <row r="543" ht="15" customHeight="1">
      <c r="A543" t="inlineStr">
        <is>
          <t>A 12662-2022</t>
        </is>
      </c>
      <c r="B543" s="1" t="n">
        <v>44641</v>
      </c>
      <c r="C543" s="1" t="n">
        <v>45205</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HYPERLINK("https://klasma.github.io/Logging_VASTERVIK/artfynd/A 12662-2022.xlsx", "A 12662-2022")</f>
        <v/>
      </c>
      <c r="T543">
        <f>HYPERLINK("https://klasma.github.io/Logging_VASTERVIK/kartor/A 12662-2022.png", "A 12662-2022")</f>
        <v/>
      </c>
      <c r="V543">
        <f>HYPERLINK("https://klasma.github.io/Logging_VASTERVIK/klagomål/A 12662-2022.docx", "A 12662-2022")</f>
        <v/>
      </c>
      <c r="W543">
        <f>HYPERLINK("https://klasma.github.io/Logging_VASTERVIK/klagomålsmail/A 12662-2022.docx", "A 12662-2022")</f>
        <v/>
      </c>
      <c r="X543">
        <f>HYPERLINK("https://klasma.github.io/Logging_VASTERVIK/tillsyn/A 12662-2022.docx", "A 12662-2022")</f>
        <v/>
      </c>
      <c r="Y543">
        <f>HYPERLINK("https://klasma.github.io/Logging_VASTERVIK/tillsynsmail/A 12662-2022.docx", "A 12662-2022")</f>
        <v/>
      </c>
    </row>
    <row r="544" ht="15" customHeight="1">
      <c r="A544" t="inlineStr">
        <is>
          <t>A 13690-2022</t>
        </is>
      </c>
      <c r="B544" s="1" t="n">
        <v>44648</v>
      </c>
      <c r="C544" s="1" t="n">
        <v>45205</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HYPERLINK("https://klasma.github.io/Logging_NYBRO/artfynd/A 13690-2022.xlsx", "A 13690-2022")</f>
        <v/>
      </c>
      <c r="T544">
        <f>HYPERLINK("https://klasma.github.io/Logging_NYBRO/kartor/A 13690-2022.png", "A 13690-2022")</f>
        <v/>
      </c>
      <c r="U544">
        <f>HYPERLINK("https://klasma.github.io/Logging_NYBRO/knärot/A 13690-2022.png", "A 13690-2022")</f>
        <v/>
      </c>
      <c r="V544">
        <f>HYPERLINK("https://klasma.github.io/Logging_NYBRO/klagomål/A 13690-2022.docx", "A 13690-2022")</f>
        <v/>
      </c>
      <c r="W544">
        <f>HYPERLINK("https://klasma.github.io/Logging_NYBRO/klagomålsmail/A 13690-2022.docx", "A 13690-2022")</f>
        <v/>
      </c>
      <c r="X544">
        <f>HYPERLINK("https://klasma.github.io/Logging_NYBRO/tillsyn/A 13690-2022.docx", "A 13690-2022")</f>
        <v/>
      </c>
      <c r="Y544">
        <f>HYPERLINK("https://klasma.github.io/Logging_NYBRO/tillsynsmail/A 13690-2022.docx", "A 13690-2022")</f>
        <v/>
      </c>
    </row>
    <row r="545" ht="15" customHeight="1">
      <c r="A545" t="inlineStr">
        <is>
          <t>A 14858-2022</t>
        </is>
      </c>
      <c r="B545" s="1" t="n">
        <v>44656</v>
      </c>
      <c r="C545" s="1" t="n">
        <v>45205</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HYPERLINK("https://klasma.github.io/Logging_NYBRO/artfynd/A 14858-2022.xlsx", "A 14858-2022")</f>
        <v/>
      </c>
      <c r="T545">
        <f>HYPERLINK("https://klasma.github.io/Logging_NYBRO/kartor/A 14858-2022.png", "A 14858-2022")</f>
        <v/>
      </c>
      <c r="V545">
        <f>HYPERLINK("https://klasma.github.io/Logging_NYBRO/klagomål/A 14858-2022.docx", "A 14858-2022")</f>
        <v/>
      </c>
      <c r="W545">
        <f>HYPERLINK("https://klasma.github.io/Logging_NYBRO/klagomålsmail/A 14858-2022.docx", "A 14858-2022")</f>
        <v/>
      </c>
      <c r="X545">
        <f>HYPERLINK("https://klasma.github.io/Logging_NYBRO/tillsyn/A 14858-2022.docx", "A 14858-2022")</f>
        <v/>
      </c>
      <c r="Y545">
        <f>HYPERLINK("https://klasma.github.io/Logging_NYBRO/tillsynsmail/A 14858-2022.docx", "A 14858-2022")</f>
        <v/>
      </c>
    </row>
    <row r="546" ht="15" customHeight="1">
      <c r="A546" t="inlineStr">
        <is>
          <t>A 15378-2022</t>
        </is>
      </c>
      <c r="B546" s="1" t="n">
        <v>44659</v>
      </c>
      <c r="C546" s="1" t="n">
        <v>45205</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HYPERLINK("https://klasma.github.io/Logging_VASTERVIK/artfynd/A 15378-2022.xlsx", "A 15378-2022")</f>
        <v/>
      </c>
      <c r="T546">
        <f>HYPERLINK("https://klasma.github.io/Logging_VASTERVIK/kartor/A 15378-2022.png", "A 15378-2022")</f>
        <v/>
      </c>
      <c r="V546">
        <f>HYPERLINK("https://klasma.github.io/Logging_VASTERVIK/klagomål/A 15378-2022.docx", "A 15378-2022")</f>
        <v/>
      </c>
      <c r="W546">
        <f>HYPERLINK("https://klasma.github.io/Logging_VASTERVIK/klagomålsmail/A 15378-2022.docx", "A 15378-2022")</f>
        <v/>
      </c>
      <c r="X546">
        <f>HYPERLINK("https://klasma.github.io/Logging_VASTERVIK/tillsyn/A 15378-2022.docx", "A 15378-2022")</f>
        <v/>
      </c>
      <c r="Y546">
        <f>HYPERLINK("https://klasma.github.io/Logging_VASTERVIK/tillsynsmail/A 15378-2022.docx", "A 15378-2022")</f>
        <v/>
      </c>
    </row>
    <row r="547" ht="15" customHeight="1">
      <c r="A547" t="inlineStr">
        <is>
          <t>A 19384-2022</t>
        </is>
      </c>
      <c r="B547" s="1" t="n">
        <v>44692</v>
      </c>
      <c r="C547" s="1" t="n">
        <v>45205</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HYPERLINK("https://klasma.github.io/Logging_NYBRO/artfynd/A 19384-2022.xlsx", "A 19384-2022")</f>
        <v/>
      </c>
      <c r="T547">
        <f>HYPERLINK("https://klasma.github.io/Logging_NYBRO/kartor/A 19384-2022.png", "A 19384-2022")</f>
        <v/>
      </c>
      <c r="V547">
        <f>HYPERLINK("https://klasma.github.io/Logging_NYBRO/klagomål/A 19384-2022.docx", "A 19384-2022")</f>
        <v/>
      </c>
      <c r="W547">
        <f>HYPERLINK("https://klasma.github.io/Logging_NYBRO/klagomålsmail/A 19384-2022.docx", "A 19384-2022")</f>
        <v/>
      </c>
      <c r="X547">
        <f>HYPERLINK("https://klasma.github.io/Logging_NYBRO/tillsyn/A 19384-2022.docx", "A 19384-2022")</f>
        <v/>
      </c>
      <c r="Y547">
        <f>HYPERLINK("https://klasma.github.io/Logging_NYBRO/tillsynsmail/A 19384-2022.docx", "A 19384-2022")</f>
        <v/>
      </c>
    </row>
    <row r="548" ht="15" customHeight="1">
      <c r="A548" t="inlineStr">
        <is>
          <t>A 19900-2022</t>
        </is>
      </c>
      <c r="B548" s="1" t="n">
        <v>44697</v>
      </c>
      <c r="C548" s="1" t="n">
        <v>45205</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HYPERLINK("https://klasma.github.io/Logging_VASTERVIK/artfynd/A 19900-2022.xlsx", "A 19900-2022")</f>
        <v/>
      </c>
      <c r="T548">
        <f>HYPERLINK("https://klasma.github.io/Logging_VASTERVIK/kartor/A 19900-2022.png", "A 19900-2022")</f>
        <v/>
      </c>
      <c r="U548">
        <f>HYPERLINK("https://klasma.github.io/Logging_VASTERVIK/knärot/A 19900-2022.png", "A 19900-2022")</f>
        <v/>
      </c>
      <c r="V548">
        <f>HYPERLINK("https://klasma.github.io/Logging_VASTERVIK/klagomål/A 19900-2022.docx", "A 19900-2022")</f>
        <v/>
      </c>
      <c r="W548">
        <f>HYPERLINK("https://klasma.github.io/Logging_VASTERVIK/klagomålsmail/A 19900-2022.docx", "A 19900-2022")</f>
        <v/>
      </c>
      <c r="X548">
        <f>HYPERLINK("https://klasma.github.io/Logging_VASTERVIK/tillsyn/A 19900-2022.docx", "A 19900-2022")</f>
        <v/>
      </c>
      <c r="Y548">
        <f>HYPERLINK("https://klasma.github.io/Logging_VASTERVIK/tillsynsmail/A 19900-2022.docx", "A 19900-2022")</f>
        <v/>
      </c>
    </row>
    <row r="549" ht="15" customHeight="1">
      <c r="A549" t="inlineStr">
        <is>
          <t>A 24096-2022</t>
        </is>
      </c>
      <c r="B549" s="1" t="n">
        <v>44725</v>
      </c>
      <c r="C549" s="1" t="n">
        <v>45205</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HYPERLINK("https://klasma.github.io/Logging_BORGHOLM/artfynd/A 24096-2022.xlsx", "A 24096-2022")</f>
        <v/>
      </c>
      <c r="T549">
        <f>HYPERLINK("https://klasma.github.io/Logging_BORGHOLM/kartor/A 24096-2022.png", "A 24096-2022")</f>
        <v/>
      </c>
      <c r="V549">
        <f>HYPERLINK("https://klasma.github.io/Logging_BORGHOLM/klagomål/A 24096-2022.docx", "A 24096-2022")</f>
        <v/>
      </c>
      <c r="W549">
        <f>HYPERLINK("https://klasma.github.io/Logging_BORGHOLM/klagomålsmail/A 24096-2022.docx", "A 24096-2022")</f>
        <v/>
      </c>
      <c r="X549">
        <f>HYPERLINK("https://klasma.github.io/Logging_BORGHOLM/tillsyn/A 24096-2022.docx", "A 24096-2022")</f>
        <v/>
      </c>
      <c r="Y549">
        <f>HYPERLINK("https://klasma.github.io/Logging_BORGHOLM/tillsynsmail/A 24096-2022.docx", "A 24096-2022")</f>
        <v/>
      </c>
    </row>
    <row r="550" ht="15" customHeight="1">
      <c r="A550" t="inlineStr">
        <is>
          <t>A 24437-2022</t>
        </is>
      </c>
      <c r="B550" s="1" t="n">
        <v>44726</v>
      </c>
      <c r="C550" s="1" t="n">
        <v>45205</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HYPERLINK("https://klasma.github.io/Logging_KALMAR/artfynd/A 24437-2022.xlsx", "A 24437-2022")</f>
        <v/>
      </c>
      <c r="T550">
        <f>HYPERLINK("https://klasma.github.io/Logging_KALMAR/kartor/A 24437-2022.png", "A 24437-2022")</f>
        <v/>
      </c>
      <c r="V550">
        <f>HYPERLINK("https://klasma.github.io/Logging_KALMAR/klagomål/A 24437-2022.docx", "A 24437-2022")</f>
        <v/>
      </c>
      <c r="W550">
        <f>HYPERLINK("https://klasma.github.io/Logging_KALMAR/klagomålsmail/A 24437-2022.docx", "A 24437-2022")</f>
        <v/>
      </c>
      <c r="X550">
        <f>HYPERLINK("https://klasma.github.io/Logging_KALMAR/tillsyn/A 24437-2022.docx", "A 24437-2022")</f>
        <v/>
      </c>
      <c r="Y550">
        <f>HYPERLINK("https://klasma.github.io/Logging_KALMAR/tillsynsmail/A 24437-2022.docx", "A 24437-2022")</f>
        <v/>
      </c>
    </row>
    <row r="551" ht="15" customHeight="1">
      <c r="A551" t="inlineStr">
        <is>
          <t>A 26056-2022</t>
        </is>
      </c>
      <c r="B551" s="1" t="n">
        <v>44734</v>
      </c>
      <c r="C551" s="1" t="n">
        <v>45205</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HYPERLINK("https://klasma.github.io/Logging_VASTERVIK/artfynd/A 26056-2022.xlsx", "A 26056-2022")</f>
        <v/>
      </c>
      <c r="T551">
        <f>HYPERLINK("https://klasma.github.io/Logging_VASTERVIK/kartor/A 26056-2022.png", "A 26056-2022")</f>
        <v/>
      </c>
      <c r="V551">
        <f>HYPERLINK("https://klasma.github.io/Logging_VASTERVIK/klagomål/A 26056-2022.docx", "A 26056-2022")</f>
        <v/>
      </c>
      <c r="W551">
        <f>HYPERLINK("https://klasma.github.io/Logging_VASTERVIK/klagomålsmail/A 26056-2022.docx", "A 26056-2022")</f>
        <v/>
      </c>
      <c r="X551">
        <f>HYPERLINK("https://klasma.github.io/Logging_VASTERVIK/tillsyn/A 26056-2022.docx", "A 26056-2022")</f>
        <v/>
      </c>
      <c r="Y551">
        <f>HYPERLINK("https://klasma.github.io/Logging_VASTERVIK/tillsynsmail/A 26056-2022.docx", "A 26056-2022")</f>
        <v/>
      </c>
    </row>
    <row r="552" ht="15" customHeight="1">
      <c r="A552" t="inlineStr">
        <is>
          <t>A 30597-2022</t>
        </is>
      </c>
      <c r="B552" s="1" t="n">
        <v>44762</v>
      </c>
      <c r="C552" s="1" t="n">
        <v>45205</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HYPERLINK("https://klasma.github.io/Logging_EMMABODA/artfynd/A 30597-2022.xlsx", "A 30597-2022")</f>
        <v/>
      </c>
      <c r="T552">
        <f>HYPERLINK("https://klasma.github.io/Logging_EMMABODA/kartor/A 30597-2022.png", "A 30597-2022")</f>
        <v/>
      </c>
      <c r="V552">
        <f>HYPERLINK("https://klasma.github.io/Logging_EMMABODA/klagomål/A 30597-2022.docx", "A 30597-2022")</f>
        <v/>
      </c>
      <c r="W552">
        <f>HYPERLINK("https://klasma.github.io/Logging_EMMABODA/klagomålsmail/A 30597-2022.docx", "A 30597-2022")</f>
        <v/>
      </c>
      <c r="X552">
        <f>HYPERLINK("https://klasma.github.io/Logging_EMMABODA/tillsyn/A 30597-2022.docx", "A 30597-2022")</f>
        <v/>
      </c>
      <c r="Y552">
        <f>HYPERLINK("https://klasma.github.io/Logging_EMMABODA/tillsynsmail/A 30597-2022.docx", "A 30597-2022")</f>
        <v/>
      </c>
    </row>
    <row r="553" ht="15" customHeight="1">
      <c r="A553" t="inlineStr">
        <is>
          <t>A 31295-2022</t>
        </is>
      </c>
      <c r="B553" s="1" t="n">
        <v>44772</v>
      </c>
      <c r="C553" s="1" t="n">
        <v>45205</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HYPERLINK("https://klasma.github.io/Logging_BORGHOLM/artfynd/A 31295-2022.xlsx", "A 31295-2022")</f>
        <v/>
      </c>
      <c r="T553">
        <f>HYPERLINK("https://klasma.github.io/Logging_BORGHOLM/kartor/A 31295-2022.png", "A 31295-2022")</f>
        <v/>
      </c>
      <c r="V553">
        <f>HYPERLINK("https://klasma.github.io/Logging_BORGHOLM/klagomål/A 31295-2022.docx", "A 31295-2022")</f>
        <v/>
      </c>
      <c r="W553">
        <f>HYPERLINK("https://klasma.github.io/Logging_BORGHOLM/klagomålsmail/A 31295-2022.docx", "A 31295-2022")</f>
        <v/>
      </c>
      <c r="X553">
        <f>HYPERLINK("https://klasma.github.io/Logging_BORGHOLM/tillsyn/A 31295-2022.docx", "A 31295-2022")</f>
        <v/>
      </c>
      <c r="Y553">
        <f>HYPERLINK("https://klasma.github.io/Logging_BORGHOLM/tillsynsmail/A 31295-2022.docx", "A 31295-2022")</f>
        <v/>
      </c>
    </row>
    <row r="554" ht="15" customHeight="1">
      <c r="A554" t="inlineStr">
        <is>
          <t>A 32030-2022</t>
        </is>
      </c>
      <c r="B554" s="1" t="n">
        <v>44778</v>
      </c>
      <c r="C554" s="1" t="n">
        <v>45205</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HYPERLINK("https://klasma.github.io/Logging_OSKARSHAMN/artfynd/A 32030-2022.xlsx", "A 32030-2022")</f>
        <v/>
      </c>
      <c r="T554">
        <f>HYPERLINK("https://klasma.github.io/Logging_OSKARSHAMN/kartor/A 32030-2022.png", "A 32030-2022")</f>
        <v/>
      </c>
      <c r="V554">
        <f>HYPERLINK("https://klasma.github.io/Logging_OSKARSHAMN/klagomål/A 32030-2022.docx", "A 32030-2022")</f>
        <v/>
      </c>
      <c r="W554">
        <f>HYPERLINK("https://klasma.github.io/Logging_OSKARSHAMN/klagomålsmail/A 32030-2022.docx", "A 32030-2022")</f>
        <v/>
      </c>
      <c r="X554">
        <f>HYPERLINK("https://klasma.github.io/Logging_OSKARSHAMN/tillsyn/A 32030-2022.docx", "A 32030-2022")</f>
        <v/>
      </c>
      <c r="Y554">
        <f>HYPERLINK("https://klasma.github.io/Logging_OSKARSHAMN/tillsynsmail/A 32030-2022.docx", "A 32030-2022")</f>
        <v/>
      </c>
    </row>
    <row r="555" ht="15" customHeight="1">
      <c r="A555" t="inlineStr">
        <is>
          <t>A 33241-2022</t>
        </is>
      </c>
      <c r="B555" s="1" t="n">
        <v>44786</v>
      </c>
      <c r="C555" s="1" t="n">
        <v>45205</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HYPERLINK("https://klasma.github.io/Logging_OSKARSHAMN/artfynd/A 33241-2022.xlsx", "A 33241-2022")</f>
        <v/>
      </c>
      <c r="T555">
        <f>HYPERLINK("https://klasma.github.io/Logging_OSKARSHAMN/kartor/A 33241-2022.png", "A 33241-2022")</f>
        <v/>
      </c>
      <c r="V555">
        <f>HYPERLINK("https://klasma.github.io/Logging_OSKARSHAMN/klagomål/A 33241-2022.docx", "A 33241-2022")</f>
        <v/>
      </c>
      <c r="W555">
        <f>HYPERLINK("https://klasma.github.io/Logging_OSKARSHAMN/klagomålsmail/A 33241-2022.docx", "A 33241-2022")</f>
        <v/>
      </c>
      <c r="X555">
        <f>HYPERLINK("https://klasma.github.io/Logging_OSKARSHAMN/tillsyn/A 33241-2022.docx", "A 33241-2022")</f>
        <v/>
      </c>
      <c r="Y555">
        <f>HYPERLINK("https://klasma.github.io/Logging_OSKARSHAMN/tillsynsmail/A 33241-2022.docx", "A 33241-2022")</f>
        <v/>
      </c>
    </row>
    <row r="556" ht="15" customHeight="1">
      <c r="A556" t="inlineStr">
        <is>
          <t>A 34081-2022</t>
        </is>
      </c>
      <c r="B556" s="1" t="n">
        <v>44791</v>
      </c>
      <c r="C556" s="1" t="n">
        <v>45205</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HYPERLINK("https://klasma.github.io/Logging_MONSTERAS/artfynd/A 34081-2022.xlsx", "A 34081-2022")</f>
        <v/>
      </c>
      <c r="T556">
        <f>HYPERLINK("https://klasma.github.io/Logging_MONSTERAS/kartor/A 34081-2022.png", "A 34081-2022")</f>
        <v/>
      </c>
      <c r="U556">
        <f>HYPERLINK("https://klasma.github.io/Logging_MONSTERAS/knärot/A 34081-2022.png", "A 34081-2022")</f>
        <v/>
      </c>
      <c r="V556">
        <f>HYPERLINK("https://klasma.github.io/Logging_MONSTERAS/klagomål/A 34081-2022.docx", "A 34081-2022")</f>
        <v/>
      </c>
      <c r="W556">
        <f>HYPERLINK("https://klasma.github.io/Logging_MONSTERAS/klagomålsmail/A 34081-2022.docx", "A 34081-2022")</f>
        <v/>
      </c>
      <c r="X556">
        <f>HYPERLINK("https://klasma.github.io/Logging_MONSTERAS/tillsyn/A 34081-2022.docx", "A 34081-2022")</f>
        <v/>
      </c>
      <c r="Y556">
        <f>HYPERLINK("https://klasma.github.io/Logging_MONSTERAS/tillsynsmail/A 34081-2022.docx", "A 34081-2022")</f>
        <v/>
      </c>
    </row>
    <row r="557" ht="15" customHeight="1">
      <c r="A557" t="inlineStr">
        <is>
          <t>A 36625-2022</t>
        </is>
      </c>
      <c r="B557" s="1" t="n">
        <v>44804</v>
      </c>
      <c r="C557" s="1" t="n">
        <v>45205</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HYPERLINK("https://klasma.github.io/Logging_TORSAS/artfynd/A 36625-2022.xlsx", "A 36625-2022")</f>
        <v/>
      </c>
      <c r="T557">
        <f>HYPERLINK("https://klasma.github.io/Logging_TORSAS/kartor/A 36625-2022.png", "A 36625-2022")</f>
        <v/>
      </c>
      <c r="V557">
        <f>HYPERLINK("https://klasma.github.io/Logging_TORSAS/klagomål/A 36625-2022.docx", "A 36625-2022")</f>
        <v/>
      </c>
      <c r="W557">
        <f>HYPERLINK("https://klasma.github.io/Logging_TORSAS/klagomålsmail/A 36625-2022.docx", "A 36625-2022")</f>
        <v/>
      </c>
      <c r="X557">
        <f>HYPERLINK("https://klasma.github.io/Logging_TORSAS/tillsyn/A 36625-2022.docx", "A 36625-2022")</f>
        <v/>
      </c>
      <c r="Y557">
        <f>HYPERLINK("https://klasma.github.io/Logging_TORSAS/tillsynsmail/A 36625-2022.docx", "A 36625-2022")</f>
        <v/>
      </c>
    </row>
    <row r="558" ht="15" customHeight="1">
      <c r="A558" t="inlineStr">
        <is>
          <t>A 39199-2022</t>
        </is>
      </c>
      <c r="B558" s="1" t="n">
        <v>44817</v>
      </c>
      <c r="C558" s="1" t="n">
        <v>45205</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HYPERLINK("https://klasma.github.io/Logging_MONSTERAS/artfynd/A 39199-2022.xlsx", "A 39199-2022")</f>
        <v/>
      </c>
      <c r="T558">
        <f>HYPERLINK("https://klasma.github.io/Logging_MONSTERAS/kartor/A 39199-2022.png", "A 39199-2022")</f>
        <v/>
      </c>
      <c r="V558">
        <f>HYPERLINK("https://klasma.github.io/Logging_MONSTERAS/klagomål/A 39199-2022.docx", "A 39199-2022")</f>
        <v/>
      </c>
      <c r="W558">
        <f>HYPERLINK("https://klasma.github.io/Logging_MONSTERAS/klagomålsmail/A 39199-2022.docx", "A 39199-2022")</f>
        <v/>
      </c>
      <c r="X558">
        <f>HYPERLINK("https://klasma.github.io/Logging_MONSTERAS/tillsyn/A 39199-2022.docx", "A 39199-2022")</f>
        <v/>
      </c>
      <c r="Y558">
        <f>HYPERLINK("https://klasma.github.io/Logging_MONSTERAS/tillsynsmail/A 39199-2022.docx", "A 39199-2022")</f>
        <v/>
      </c>
    </row>
    <row r="559" ht="15" customHeight="1">
      <c r="A559" t="inlineStr">
        <is>
          <t>A 40258-2022</t>
        </is>
      </c>
      <c r="B559" s="1" t="n">
        <v>44820</v>
      </c>
      <c r="C559" s="1" t="n">
        <v>45205</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HYPERLINK("https://klasma.github.io/Logging_OSKARSHAMN/artfynd/A 40258-2022.xlsx", "A 40258-2022")</f>
        <v/>
      </c>
      <c r="T559">
        <f>HYPERLINK("https://klasma.github.io/Logging_OSKARSHAMN/kartor/A 40258-2022.png", "A 40258-2022")</f>
        <v/>
      </c>
      <c r="V559">
        <f>HYPERLINK("https://klasma.github.io/Logging_OSKARSHAMN/klagomål/A 40258-2022.docx", "A 40258-2022")</f>
        <v/>
      </c>
      <c r="W559">
        <f>HYPERLINK("https://klasma.github.io/Logging_OSKARSHAMN/klagomålsmail/A 40258-2022.docx", "A 40258-2022")</f>
        <v/>
      </c>
      <c r="X559">
        <f>HYPERLINK("https://klasma.github.io/Logging_OSKARSHAMN/tillsyn/A 40258-2022.docx", "A 40258-2022")</f>
        <v/>
      </c>
      <c r="Y559">
        <f>HYPERLINK("https://klasma.github.io/Logging_OSKARSHAMN/tillsynsmail/A 40258-2022.docx", "A 40258-2022")</f>
        <v/>
      </c>
    </row>
    <row r="560" ht="15" customHeight="1">
      <c r="A560" t="inlineStr">
        <is>
          <t>A 40924-2022</t>
        </is>
      </c>
      <c r="B560" s="1" t="n">
        <v>44825</v>
      </c>
      <c r="C560" s="1" t="n">
        <v>45205</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HYPERLINK("https://klasma.github.io/Logging_VASTERVIK/artfynd/A 40924-2022.xlsx", "A 40924-2022")</f>
        <v/>
      </c>
      <c r="T560">
        <f>HYPERLINK("https://klasma.github.io/Logging_VASTERVIK/kartor/A 40924-2022.png", "A 40924-2022")</f>
        <v/>
      </c>
      <c r="V560">
        <f>HYPERLINK("https://klasma.github.io/Logging_VASTERVIK/klagomål/A 40924-2022.docx", "A 40924-2022")</f>
        <v/>
      </c>
      <c r="W560">
        <f>HYPERLINK("https://klasma.github.io/Logging_VASTERVIK/klagomålsmail/A 40924-2022.docx", "A 40924-2022")</f>
        <v/>
      </c>
      <c r="X560">
        <f>HYPERLINK("https://klasma.github.io/Logging_VASTERVIK/tillsyn/A 40924-2022.docx", "A 40924-2022")</f>
        <v/>
      </c>
      <c r="Y560">
        <f>HYPERLINK("https://klasma.github.io/Logging_VASTERVIK/tillsynsmail/A 40924-2022.docx", "A 40924-2022")</f>
        <v/>
      </c>
    </row>
    <row r="561" ht="15" customHeight="1">
      <c r="A561" t="inlineStr">
        <is>
          <t>A 41879-2022</t>
        </is>
      </c>
      <c r="B561" s="1" t="n">
        <v>44827</v>
      </c>
      <c r="C561" s="1" t="n">
        <v>45205</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HYPERLINK("https://klasma.github.io/Logging_MONSTERAS/artfynd/A 41879-2022.xlsx", "A 41879-2022")</f>
        <v/>
      </c>
      <c r="T561">
        <f>HYPERLINK("https://klasma.github.io/Logging_MONSTERAS/kartor/A 41879-2022.png", "A 41879-2022")</f>
        <v/>
      </c>
      <c r="V561">
        <f>HYPERLINK("https://klasma.github.io/Logging_MONSTERAS/klagomål/A 41879-2022.docx", "A 41879-2022")</f>
        <v/>
      </c>
      <c r="W561">
        <f>HYPERLINK("https://klasma.github.io/Logging_MONSTERAS/klagomålsmail/A 41879-2022.docx", "A 41879-2022")</f>
        <v/>
      </c>
      <c r="X561">
        <f>HYPERLINK("https://klasma.github.io/Logging_MONSTERAS/tillsyn/A 41879-2022.docx", "A 41879-2022")</f>
        <v/>
      </c>
      <c r="Y561">
        <f>HYPERLINK("https://klasma.github.io/Logging_MONSTERAS/tillsynsmail/A 41879-2022.docx", "A 41879-2022")</f>
        <v/>
      </c>
    </row>
    <row r="562" ht="15" customHeight="1">
      <c r="A562" t="inlineStr">
        <is>
          <t>A 42052-2022</t>
        </is>
      </c>
      <c r="B562" s="1" t="n">
        <v>44830</v>
      </c>
      <c r="C562" s="1" t="n">
        <v>45205</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HYPERLINK("https://klasma.github.io/Logging_KALMAR/artfynd/A 42052-2022.xlsx", "A 42052-2022")</f>
        <v/>
      </c>
      <c r="T562">
        <f>HYPERLINK("https://klasma.github.io/Logging_KALMAR/kartor/A 42052-2022.png", "A 42052-2022")</f>
        <v/>
      </c>
      <c r="V562">
        <f>HYPERLINK("https://klasma.github.io/Logging_KALMAR/klagomål/A 42052-2022.docx", "A 42052-2022")</f>
        <v/>
      </c>
      <c r="W562">
        <f>HYPERLINK("https://klasma.github.io/Logging_KALMAR/klagomålsmail/A 42052-2022.docx", "A 42052-2022")</f>
        <v/>
      </c>
      <c r="X562">
        <f>HYPERLINK("https://klasma.github.io/Logging_KALMAR/tillsyn/A 42052-2022.docx", "A 42052-2022")</f>
        <v/>
      </c>
      <c r="Y562">
        <f>HYPERLINK("https://klasma.github.io/Logging_KALMAR/tillsynsmail/A 42052-2022.docx", "A 42052-2022")</f>
        <v/>
      </c>
    </row>
    <row r="563" ht="15" customHeight="1">
      <c r="A563" t="inlineStr">
        <is>
          <t>A 46556-2022</t>
        </is>
      </c>
      <c r="B563" s="1" t="n">
        <v>44848</v>
      </c>
      <c r="C563" s="1" t="n">
        <v>45205</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HYPERLINK("https://klasma.github.io/Logging_VASTERVIK/artfynd/A 46556-2022.xlsx", "A 46556-2022")</f>
        <v/>
      </c>
      <c r="T563">
        <f>HYPERLINK("https://klasma.github.io/Logging_VASTERVIK/kartor/A 46556-2022.png", "A 46556-2022")</f>
        <v/>
      </c>
      <c r="V563">
        <f>HYPERLINK("https://klasma.github.io/Logging_VASTERVIK/klagomål/A 46556-2022.docx", "A 46556-2022")</f>
        <v/>
      </c>
      <c r="W563">
        <f>HYPERLINK("https://klasma.github.io/Logging_VASTERVIK/klagomålsmail/A 46556-2022.docx", "A 46556-2022")</f>
        <v/>
      </c>
      <c r="X563">
        <f>HYPERLINK("https://klasma.github.io/Logging_VASTERVIK/tillsyn/A 46556-2022.docx", "A 46556-2022")</f>
        <v/>
      </c>
      <c r="Y563">
        <f>HYPERLINK("https://klasma.github.io/Logging_VASTERVIK/tillsynsmail/A 46556-2022.docx", "A 46556-2022")</f>
        <v/>
      </c>
    </row>
    <row r="564" ht="15" customHeight="1">
      <c r="A564" t="inlineStr">
        <is>
          <t>A 46559-2022</t>
        </is>
      </c>
      <c r="B564" s="1" t="n">
        <v>44848</v>
      </c>
      <c r="C564" s="1" t="n">
        <v>45205</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HYPERLINK("https://klasma.github.io/Logging_VASTERVIK/artfynd/A 46559-2022.xlsx", "A 46559-2022")</f>
        <v/>
      </c>
      <c r="T564">
        <f>HYPERLINK("https://klasma.github.io/Logging_VASTERVIK/kartor/A 46559-2022.png", "A 46559-2022")</f>
        <v/>
      </c>
      <c r="V564">
        <f>HYPERLINK("https://klasma.github.io/Logging_VASTERVIK/klagomål/A 46559-2022.docx", "A 46559-2022")</f>
        <v/>
      </c>
      <c r="W564">
        <f>HYPERLINK("https://klasma.github.io/Logging_VASTERVIK/klagomålsmail/A 46559-2022.docx", "A 46559-2022")</f>
        <v/>
      </c>
      <c r="X564">
        <f>HYPERLINK("https://klasma.github.io/Logging_VASTERVIK/tillsyn/A 46559-2022.docx", "A 46559-2022")</f>
        <v/>
      </c>
      <c r="Y564">
        <f>HYPERLINK("https://klasma.github.io/Logging_VASTERVIK/tillsynsmail/A 46559-2022.docx", "A 46559-2022")</f>
        <v/>
      </c>
    </row>
    <row r="565" ht="15" customHeight="1">
      <c r="A565" t="inlineStr">
        <is>
          <t>A 48263-2022</t>
        </is>
      </c>
      <c r="B565" s="1" t="n">
        <v>44853</v>
      </c>
      <c r="C565" s="1" t="n">
        <v>45205</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HYPERLINK("https://klasma.github.io/Logging_HOGSBY/artfynd/A 48263-2022.xlsx", "A 48263-2022")</f>
        <v/>
      </c>
      <c r="T565">
        <f>HYPERLINK("https://klasma.github.io/Logging_HOGSBY/kartor/A 48263-2022.png", "A 48263-2022")</f>
        <v/>
      </c>
      <c r="V565">
        <f>HYPERLINK("https://klasma.github.io/Logging_HOGSBY/klagomål/A 48263-2022.docx", "A 48263-2022")</f>
        <v/>
      </c>
      <c r="W565">
        <f>HYPERLINK("https://klasma.github.io/Logging_HOGSBY/klagomålsmail/A 48263-2022.docx", "A 48263-2022")</f>
        <v/>
      </c>
      <c r="X565">
        <f>HYPERLINK("https://klasma.github.io/Logging_HOGSBY/tillsyn/A 48263-2022.docx", "A 48263-2022")</f>
        <v/>
      </c>
      <c r="Y565">
        <f>HYPERLINK("https://klasma.github.io/Logging_HOGSBY/tillsynsmail/A 48263-2022.docx", "A 48263-2022")</f>
        <v/>
      </c>
    </row>
    <row r="566" ht="15" customHeight="1">
      <c r="A566" t="inlineStr">
        <is>
          <t>A 47672-2022</t>
        </is>
      </c>
      <c r="B566" s="1" t="n">
        <v>44854</v>
      </c>
      <c r="C566" s="1" t="n">
        <v>45205</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HYPERLINK("https://klasma.github.io/Logging_MONSTERAS/artfynd/A 47672-2022.xlsx", "A 47672-2022")</f>
        <v/>
      </c>
      <c r="T566">
        <f>HYPERLINK("https://klasma.github.io/Logging_MONSTERAS/kartor/A 47672-2022.png", "A 47672-2022")</f>
        <v/>
      </c>
      <c r="U566">
        <f>HYPERLINK("https://klasma.github.io/Logging_MONSTERAS/knärot/A 47672-2022.png", "A 47672-2022")</f>
        <v/>
      </c>
      <c r="V566">
        <f>HYPERLINK("https://klasma.github.io/Logging_MONSTERAS/klagomål/A 47672-2022.docx", "A 47672-2022")</f>
        <v/>
      </c>
      <c r="W566">
        <f>HYPERLINK("https://klasma.github.io/Logging_MONSTERAS/klagomålsmail/A 47672-2022.docx", "A 47672-2022")</f>
        <v/>
      </c>
      <c r="X566">
        <f>HYPERLINK("https://klasma.github.io/Logging_MONSTERAS/tillsyn/A 47672-2022.docx", "A 47672-2022")</f>
        <v/>
      </c>
      <c r="Y566">
        <f>HYPERLINK("https://klasma.github.io/Logging_MONSTERAS/tillsynsmail/A 47672-2022.docx", "A 47672-2022")</f>
        <v/>
      </c>
    </row>
    <row r="567" ht="15" customHeight="1">
      <c r="A567" t="inlineStr">
        <is>
          <t>A 48442-2022</t>
        </is>
      </c>
      <c r="B567" s="1" t="n">
        <v>44858</v>
      </c>
      <c r="C567" s="1" t="n">
        <v>45205</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HYPERLINK("https://klasma.github.io/Logging_OSKARSHAMN/artfynd/A 48442-2022.xlsx", "A 48442-2022")</f>
        <v/>
      </c>
      <c r="T567">
        <f>HYPERLINK("https://klasma.github.io/Logging_OSKARSHAMN/kartor/A 48442-2022.png", "A 48442-2022")</f>
        <v/>
      </c>
      <c r="V567">
        <f>HYPERLINK("https://klasma.github.io/Logging_OSKARSHAMN/klagomål/A 48442-2022.docx", "A 48442-2022")</f>
        <v/>
      </c>
      <c r="W567">
        <f>HYPERLINK("https://klasma.github.io/Logging_OSKARSHAMN/klagomålsmail/A 48442-2022.docx", "A 48442-2022")</f>
        <v/>
      </c>
      <c r="X567">
        <f>HYPERLINK("https://klasma.github.io/Logging_OSKARSHAMN/tillsyn/A 48442-2022.docx", "A 48442-2022")</f>
        <v/>
      </c>
      <c r="Y567">
        <f>HYPERLINK("https://klasma.github.io/Logging_OSKARSHAMN/tillsynsmail/A 48442-2022.docx", "A 48442-2022")</f>
        <v/>
      </c>
    </row>
    <row r="568" ht="15" customHeight="1">
      <c r="A568" t="inlineStr">
        <is>
          <t>A 51024-2022</t>
        </is>
      </c>
      <c r="B568" s="1" t="n">
        <v>44867</v>
      </c>
      <c r="C568" s="1" t="n">
        <v>45205</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HYPERLINK("https://klasma.github.io/Logging_VASTERVIK/artfynd/A 51024-2022.xlsx", "A 51024-2022")</f>
        <v/>
      </c>
      <c r="T568">
        <f>HYPERLINK("https://klasma.github.io/Logging_VASTERVIK/kartor/A 51024-2022.png", "A 51024-2022")</f>
        <v/>
      </c>
      <c r="V568">
        <f>HYPERLINK("https://klasma.github.io/Logging_VASTERVIK/klagomål/A 51024-2022.docx", "A 51024-2022")</f>
        <v/>
      </c>
      <c r="W568">
        <f>HYPERLINK("https://klasma.github.io/Logging_VASTERVIK/klagomålsmail/A 51024-2022.docx", "A 51024-2022")</f>
        <v/>
      </c>
      <c r="X568">
        <f>HYPERLINK("https://klasma.github.io/Logging_VASTERVIK/tillsyn/A 51024-2022.docx", "A 51024-2022")</f>
        <v/>
      </c>
      <c r="Y568">
        <f>HYPERLINK("https://klasma.github.io/Logging_VASTERVIK/tillsynsmail/A 51024-2022.docx", "A 51024-2022")</f>
        <v/>
      </c>
    </row>
    <row r="569" ht="15" customHeight="1">
      <c r="A569" t="inlineStr">
        <is>
          <t>A 52750-2022</t>
        </is>
      </c>
      <c r="B569" s="1" t="n">
        <v>44874</v>
      </c>
      <c r="C569" s="1" t="n">
        <v>45205</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HYPERLINK("https://klasma.github.io/Logging_NYBRO/artfynd/A 52750-2022.xlsx", "A 52750-2022")</f>
        <v/>
      </c>
      <c r="T569">
        <f>HYPERLINK("https://klasma.github.io/Logging_NYBRO/kartor/A 52750-2022.png", "A 52750-2022")</f>
        <v/>
      </c>
      <c r="V569">
        <f>HYPERLINK("https://klasma.github.io/Logging_NYBRO/klagomål/A 52750-2022.docx", "A 52750-2022")</f>
        <v/>
      </c>
      <c r="W569">
        <f>HYPERLINK("https://klasma.github.io/Logging_NYBRO/klagomålsmail/A 52750-2022.docx", "A 52750-2022")</f>
        <v/>
      </c>
      <c r="X569">
        <f>HYPERLINK("https://klasma.github.io/Logging_NYBRO/tillsyn/A 52750-2022.docx", "A 52750-2022")</f>
        <v/>
      </c>
      <c r="Y569">
        <f>HYPERLINK("https://klasma.github.io/Logging_NYBRO/tillsynsmail/A 52750-2022.docx", "A 52750-2022")</f>
        <v/>
      </c>
    </row>
    <row r="570" ht="15" customHeight="1">
      <c r="A570" t="inlineStr">
        <is>
          <t>A 53862-2022</t>
        </is>
      </c>
      <c r="B570" s="1" t="n">
        <v>44876</v>
      </c>
      <c r="C570" s="1" t="n">
        <v>45205</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HYPERLINK("https://klasma.github.io/Logging_HULTSFRED/artfynd/A 53862-2022.xlsx", "A 53862-2022")</f>
        <v/>
      </c>
      <c r="T570">
        <f>HYPERLINK("https://klasma.github.io/Logging_HULTSFRED/kartor/A 53862-2022.png", "A 53862-2022")</f>
        <v/>
      </c>
      <c r="V570">
        <f>HYPERLINK("https://klasma.github.io/Logging_HULTSFRED/klagomål/A 53862-2022.docx", "A 53862-2022")</f>
        <v/>
      </c>
      <c r="W570">
        <f>HYPERLINK("https://klasma.github.io/Logging_HULTSFRED/klagomålsmail/A 53862-2022.docx", "A 53862-2022")</f>
        <v/>
      </c>
      <c r="X570">
        <f>HYPERLINK("https://klasma.github.io/Logging_HULTSFRED/tillsyn/A 53862-2022.docx", "A 53862-2022")</f>
        <v/>
      </c>
      <c r="Y570">
        <f>HYPERLINK("https://klasma.github.io/Logging_HULTSFRED/tillsynsmail/A 53862-2022.docx", "A 53862-2022")</f>
        <v/>
      </c>
    </row>
    <row r="571" ht="15" customHeight="1">
      <c r="A571" t="inlineStr">
        <is>
          <t>A 54193-2022</t>
        </is>
      </c>
      <c r="B571" s="1" t="n">
        <v>44881</v>
      </c>
      <c r="C571" s="1" t="n">
        <v>45205</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HYPERLINK("https://klasma.github.io/Logging_VASTERVIK/artfynd/A 54193-2022.xlsx", "A 54193-2022")</f>
        <v/>
      </c>
      <c r="T571">
        <f>HYPERLINK("https://klasma.github.io/Logging_VASTERVIK/kartor/A 54193-2022.png", "A 54193-2022")</f>
        <v/>
      </c>
      <c r="U571">
        <f>HYPERLINK("https://klasma.github.io/Logging_VASTERVIK/knärot/A 54193-2022.png", "A 54193-2022")</f>
        <v/>
      </c>
      <c r="V571">
        <f>HYPERLINK("https://klasma.github.io/Logging_VASTERVIK/klagomål/A 54193-2022.docx", "A 54193-2022")</f>
        <v/>
      </c>
      <c r="W571">
        <f>HYPERLINK("https://klasma.github.io/Logging_VASTERVIK/klagomålsmail/A 54193-2022.docx", "A 54193-2022")</f>
        <v/>
      </c>
      <c r="X571">
        <f>HYPERLINK("https://klasma.github.io/Logging_VASTERVIK/tillsyn/A 54193-2022.docx", "A 54193-2022")</f>
        <v/>
      </c>
      <c r="Y571">
        <f>HYPERLINK("https://klasma.github.io/Logging_VASTERVIK/tillsynsmail/A 54193-2022.docx", "A 54193-2022")</f>
        <v/>
      </c>
    </row>
    <row r="572" ht="15" customHeight="1">
      <c r="A572" t="inlineStr">
        <is>
          <t>A 54924-2022</t>
        </is>
      </c>
      <c r="B572" s="1" t="n">
        <v>44886</v>
      </c>
      <c r="C572" s="1" t="n">
        <v>45205</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HYPERLINK("https://klasma.github.io/Logging_MONSTERAS/artfynd/A 54924-2022.xlsx", "A 54924-2022")</f>
        <v/>
      </c>
      <c r="T572">
        <f>HYPERLINK("https://klasma.github.io/Logging_MONSTERAS/kartor/A 54924-2022.png", "A 54924-2022")</f>
        <v/>
      </c>
      <c r="U572">
        <f>HYPERLINK("https://klasma.github.io/Logging_MONSTERAS/knärot/A 54924-2022.png", "A 54924-2022")</f>
        <v/>
      </c>
      <c r="V572">
        <f>HYPERLINK("https://klasma.github.io/Logging_MONSTERAS/klagomål/A 54924-2022.docx", "A 54924-2022")</f>
        <v/>
      </c>
      <c r="W572">
        <f>HYPERLINK("https://klasma.github.io/Logging_MONSTERAS/klagomålsmail/A 54924-2022.docx", "A 54924-2022")</f>
        <v/>
      </c>
      <c r="X572">
        <f>HYPERLINK("https://klasma.github.io/Logging_MONSTERAS/tillsyn/A 54924-2022.docx", "A 54924-2022")</f>
        <v/>
      </c>
      <c r="Y572">
        <f>HYPERLINK("https://klasma.github.io/Logging_MONSTERAS/tillsynsmail/A 54924-2022.docx", "A 54924-2022")</f>
        <v/>
      </c>
    </row>
    <row r="573" ht="15" customHeight="1">
      <c r="A573" t="inlineStr">
        <is>
          <t>A 59178-2022</t>
        </is>
      </c>
      <c r="B573" s="1" t="n">
        <v>44904</v>
      </c>
      <c r="C573" s="1" t="n">
        <v>45205</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HYPERLINK("https://klasma.github.io/Logging_VASTERVIK/artfynd/A 59178-2022.xlsx", "A 59178-2022")</f>
        <v/>
      </c>
      <c r="T573">
        <f>HYPERLINK("https://klasma.github.io/Logging_VASTERVIK/kartor/A 59178-2022.png", "A 59178-2022")</f>
        <v/>
      </c>
      <c r="V573">
        <f>HYPERLINK("https://klasma.github.io/Logging_VASTERVIK/klagomål/A 59178-2022.docx", "A 59178-2022")</f>
        <v/>
      </c>
      <c r="W573">
        <f>HYPERLINK("https://klasma.github.io/Logging_VASTERVIK/klagomålsmail/A 59178-2022.docx", "A 59178-2022")</f>
        <v/>
      </c>
      <c r="X573">
        <f>HYPERLINK("https://klasma.github.io/Logging_VASTERVIK/tillsyn/A 59178-2022.docx", "A 59178-2022")</f>
        <v/>
      </c>
      <c r="Y573">
        <f>HYPERLINK("https://klasma.github.io/Logging_VASTERVIK/tillsynsmail/A 59178-2022.docx", "A 59178-2022")</f>
        <v/>
      </c>
    </row>
    <row r="574" ht="15" customHeight="1">
      <c r="A574" t="inlineStr">
        <is>
          <t>A 59407-2022</t>
        </is>
      </c>
      <c r="B574" s="1" t="n">
        <v>44907</v>
      </c>
      <c r="C574" s="1" t="n">
        <v>45205</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HYPERLINK("https://klasma.github.io/Logging_HOGSBY/artfynd/A 59407-2022.xlsx", "A 59407-2022")</f>
        <v/>
      </c>
      <c r="T574">
        <f>HYPERLINK("https://klasma.github.io/Logging_HOGSBY/kartor/A 59407-2022.png", "A 59407-2022")</f>
        <v/>
      </c>
      <c r="V574">
        <f>HYPERLINK("https://klasma.github.io/Logging_HOGSBY/klagomål/A 59407-2022.docx", "A 59407-2022")</f>
        <v/>
      </c>
      <c r="W574">
        <f>HYPERLINK("https://klasma.github.io/Logging_HOGSBY/klagomålsmail/A 59407-2022.docx", "A 59407-2022")</f>
        <v/>
      </c>
      <c r="X574">
        <f>HYPERLINK("https://klasma.github.io/Logging_HOGSBY/tillsyn/A 59407-2022.docx", "A 59407-2022")</f>
        <v/>
      </c>
      <c r="Y574">
        <f>HYPERLINK("https://klasma.github.io/Logging_HOGSBY/tillsynsmail/A 59407-2022.docx", "A 59407-2022")</f>
        <v/>
      </c>
    </row>
    <row r="575" ht="15" customHeight="1">
      <c r="A575" t="inlineStr">
        <is>
          <t>A 60036-2022</t>
        </is>
      </c>
      <c r="B575" s="1" t="n">
        <v>44909</v>
      </c>
      <c r="C575" s="1" t="n">
        <v>45205</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HYPERLINK("https://klasma.github.io/Logging_NYBRO/artfynd/A 60036-2022.xlsx", "A 60036-2022")</f>
        <v/>
      </c>
      <c r="T575">
        <f>HYPERLINK("https://klasma.github.io/Logging_NYBRO/kartor/A 60036-2022.png", "A 60036-2022")</f>
        <v/>
      </c>
      <c r="U575">
        <f>HYPERLINK("https://klasma.github.io/Logging_NYBRO/knärot/A 60036-2022.png", "A 60036-2022")</f>
        <v/>
      </c>
      <c r="V575">
        <f>HYPERLINK("https://klasma.github.io/Logging_NYBRO/klagomål/A 60036-2022.docx", "A 60036-2022")</f>
        <v/>
      </c>
      <c r="W575">
        <f>HYPERLINK("https://klasma.github.io/Logging_NYBRO/klagomålsmail/A 60036-2022.docx", "A 60036-2022")</f>
        <v/>
      </c>
      <c r="X575">
        <f>HYPERLINK("https://klasma.github.io/Logging_NYBRO/tillsyn/A 60036-2022.docx", "A 60036-2022")</f>
        <v/>
      </c>
      <c r="Y575">
        <f>HYPERLINK("https://klasma.github.io/Logging_NYBRO/tillsynsmail/A 60036-2022.docx", "A 60036-2022")</f>
        <v/>
      </c>
    </row>
    <row r="576" ht="15" customHeight="1">
      <c r="A576" t="inlineStr">
        <is>
          <t>A 61236-2022</t>
        </is>
      </c>
      <c r="B576" s="1" t="n">
        <v>44915</v>
      </c>
      <c r="C576" s="1" t="n">
        <v>45205</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HYPERLINK("https://klasma.github.io/Logging_KALMAR/artfynd/A 61236-2022.xlsx", "A 61236-2022")</f>
        <v/>
      </c>
      <c r="T576">
        <f>HYPERLINK("https://klasma.github.io/Logging_KALMAR/kartor/A 61236-2022.png", "A 61236-2022")</f>
        <v/>
      </c>
      <c r="V576">
        <f>HYPERLINK("https://klasma.github.io/Logging_KALMAR/klagomål/A 61236-2022.docx", "A 61236-2022")</f>
        <v/>
      </c>
      <c r="W576">
        <f>HYPERLINK("https://klasma.github.io/Logging_KALMAR/klagomålsmail/A 61236-2022.docx", "A 61236-2022")</f>
        <v/>
      </c>
      <c r="X576">
        <f>HYPERLINK("https://klasma.github.io/Logging_KALMAR/tillsyn/A 61236-2022.docx", "A 61236-2022")</f>
        <v/>
      </c>
      <c r="Y576">
        <f>HYPERLINK("https://klasma.github.io/Logging_KALMAR/tillsynsmail/A 61236-2022.docx", "A 61236-2022")</f>
        <v/>
      </c>
    </row>
    <row r="577" ht="15" customHeight="1">
      <c r="A577" t="inlineStr">
        <is>
          <t>A 61771-2022</t>
        </is>
      </c>
      <c r="B577" s="1" t="n">
        <v>44917</v>
      </c>
      <c r="C577" s="1" t="n">
        <v>45205</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HYPERLINK("https://klasma.github.io/Logging_NYBRO/artfynd/A 61771-2022.xlsx", "A 61771-2022")</f>
        <v/>
      </c>
      <c r="T577">
        <f>HYPERLINK("https://klasma.github.io/Logging_NYBRO/kartor/A 61771-2022.png", "A 61771-2022")</f>
        <v/>
      </c>
      <c r="V577">
        <f>HYPERLINK("https://klasma.github.io/Logging_NYBRO/klagomål/A 61771-2022.docx", "A 61771-2022")</f>
        <v/>
      </c>
      <c r="W577">
        <f>HYPERLINK("https://klasma.github.io/Logging_NYBRO/klagomålsmail/A 61771-2022.docx", "A 61771-2022")</f>
        <v/>
      </c>
      <c r="X577">
        <f>HYPERLINK("https://klasma.github.io/Logging_NYBRO/tillsyn/A 61771-2022.docx", "A 61771-2022")</f>
        <v/>
      </c>
      <c r="Y577">
        <f>HYPERLINK("https://klasma.github.io/Logging_NYBRO/tillsynsmail/A 61771-2022.docx", "A 61771-2022")</f>
        <v/>
      </c>
    </row>
    <row r="578" ht="15" customHeight="1">
      <c r="A578" t="inlineStr">
        <is>
          <t>A 61790-2022</t>
        </is>
      </c>
      <c r="B578" s="1" t="n">
        <v>44917</v>
      </c>
      <c r="C578" s="1" t="n">
        <v>45205</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HYPERLINK("https://klasma.github.io/Logging_NYBRO/artfynd/A 61790-2022.xlsx", "A 61790-2022")</f>
        <v/>
      </c>
      <c r="T578">
        <f>HYPERLINK("https://klasma.github.io/Logging_NYBRO/kartor/A 61790-2022.png", "A 61790-2022")</f>
        <v/>
      </c>
      <c r="V578">
        <f>HYPERLINK("https://klasma.github.io/Logging_NYBRO/klagomål/A 61790-2022.docx", "A 61790-2022")</f>
        <v/>
      </c>
      <c r="W578">
        <f>HYPERLINK("https://klasma.github.io/Logging_NYBRO/klagomålsmail/A 61790-2022.docx", "A 61790-2022")</f>
        <v/>
      </c>
      <c r="X578">
        <f>HYPERLINK("https://klasma.github.io/Logging_NYBRO/tillsyn/A 61790-2022.docx", "A 61790-2022")</f>
        <v/>
      </c>
      <c r="Y578">
        <f>HYPERLINK("https://klasma.github.io/Logging_NYBRO/tillsynsmail/A 61790-2022.docx", "A 61790-2022")</f>
        <v/>
      </c>
    </row>
    <row r="579" ht="15" customHeight="1">
      <c r="A579" t="inlineStr">
        <is>
          <t>A 141-2023</t>
        </is>
      </c>
      <c r="B579" s="1" t="n">
        <v>44928</v>
      </c>
      <c r="C579" s="1" t="n">
        <v>45205</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HYPERLINK("https://klasma.github.io/Logging_HULTSFRED/artfynd/A 141-2023.xlsx", "A 141-2023")</f>
        <v/>
      </c>
      <c r="T579">
        <f>HYPERLINK("https://klasma.github.io/Logging_HULTSFRED/kartor/A 141-2023.png", "A 141-2023")</f>
        <v/>
      </c>
      <c r="V579">
        <f>HYPERLINK("https://klasma.github.io/Logging_HULTSFRED/klagomål/A 141-2023.docx", "A 141-2023")</f>
        <v/>
      </c>
      <c r="W579">
        <f>HYPERLINK("https://klasma.github.io/Logging_HULTSFRED/klagomålsmail/A 141-2023.docx", "A 141-2023")</f>
        <v/>
      </c>
      <c r="X579">
        <f>HYPERLINK("https://klasma.github.io/Logging_HULTSFRED/tillsyn/A 141-2023.docx", "A 141-2023")</f>
        <v/>
      </c>
      <c r="Y579">
        <f>HYPERLINK("https://klasma.github.io/Logging_HULTSFRED/tillsynsmail/A 141-2023.docx", "A 141-2023")</f>
        <v/>
      </c>
    </row>
    <row r="580" ht="15" customHeight="1">
      <c r="A580" t="inlineStr">
        <is>
          <t>A 183-2023</t>
        </is>
      </c>
      <c r="B580" s="1" t="n">
        <v>44928</v>
      </c>
      <c r="C580" s="1" t="n">
        <v>45205</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HYPERLINK("https://klasma.github.io/Logging_KALMAR/artfynd/A 183-2023.xlsx", "A 183-2023")</f>
        <v/>
      </c>
      <c r="T580">
        <f>HYPERLINK("https://klasma.github.io/Logging_KALMAR/kartor/A 183-2023.png", "A 183-2023")</f>
        <v/>
      </c>
      <c r="V580">
        <f>HYPERLINK("https://klasma.github.io/Logging_KALMAR/klagomål/A 183-2023.docx", "A 183-2023")</f>
        <v/>
      </c>
      <c r="W580">
        <f>HYPERLINK("https://klasma.github.io/Logging_KALMAR/klagomålsmail/A 183-2023.docx", "A 183-2023")</f>
        <v/>
      </c>
      <c r="X580">
        <f>HYPERLINK("https://klasma.github.io/Logging_KALMAR/tillsyn/A 183-2023.docx", "A 183-2023")</f>
        <v/>
      </c>
      <c r="Y580">
        <f>HYPERLINK("https://klasma.github.io/Logging_KALMAR/tillsynsmail/A 183-2023.docx", "A 183-2023")</f>
        <v/>
      </c>
    </row>
    <row r="581" ht="15" customHeight="1">
      <c r="A581" t="inlineStr">
        <is>
          <t>A 804-2023</t>
        </is>
      </c>
      <c r="B581" s="1" t="n">
        <v>44931</v>
      </c>
      <c r="C581" s="1" t="n">
        <v>45205</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HYPERLINK("https://klasma.github.io/Logging_VASTERVIK/artfynd/A 804-2023.xlsx", "A 804-2023")</f>
        <v/>
      </c>
      <c r="T581">
        <f>HYPERLINK("https://klasma.github.io/Logging_VASTERVIK/kartor/A 804-2023.png", "A 804-2023")</f>
        <v/>
      </c>
      <c r="V581">
        <f>HYPERLINK("https://klasma.github.io/Logging_VASTERVIK/klagomål/A 804-2023.docx", "A 804-2023")</f>
        <v/>
      </c>
      <c r="W581">
        <f>HYPERLINK("https://klasma.github.io/Logging_VASTERVIK/klagomålsmail/A 804-2023.docx", "A 804-2023")</f>
        <v/>
      </c>
      <c r="X581">
        <f>HYPERLINK("https://klasma.github.io/Logging_VASTERVIK/tillsyn/A 804-2023.docx", "A 804-2023")</f>
        <v/>
      </c>
      <c r="Y581">
        <f>HYPERLINK("https://klasma.github.io/Logging_VASTERVIK/tillsynsmail/A 804-2023.docx", "A 804-2023")</f>
        <v/>
      </c>
    </row>
    <row r="582" ht="15" customHeight="1">
      <c r="A582" t="inlineStr">
        <is>
          <t>A 975-2023</t>
        </is>
      </c>
      <c r="B582" s="1" t="n">
        <v>44935</v>
      </c>
      <c r="C582" s="1" t="n">
        <v>45205</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HYPERLINK("https://klasma.github.io/Logging_VASTERVIK/artfynd/A 975-2023.xlsx", "A 975-2023")</f>
        <v/>
      </c>
      <c r="T582">
        <f>HYPERLINK("https://klasma.github.io/Logging_VASTERVIK/kartor/A 975-2023.png", "A 975-2023")</f>
        <v/>
      </c>
      <c r="V582">
        <f>HYPERLINK("https://klasma.github.io/Logging_VASTERVIK/klagomål/A 975-2023.docx", "A 975-2023")</f>
        <v/>
      </c>
      <c r="W582">
        <f>HYPERLINK("https://klasma.github.io/Logging_VASTERVIK/klagomålsmail/A 975-2023.docx", "A 975-2023")</f>
        <v/>
      </c>
      <c r="X582">
        <f>HYPERLINK("https://klasma.github.io/Logging_VASTERVIK/tillsyn/A 975-2023.docx", "A 975-2023")</f>
        <v/>
      </c>
      <c r="Y582">
        <f>HYPERLINK("https://klasma.github.io/Logging_VASTERVIK/tillsynsmail/A 975-2023.docx", "A 975-2023")</f>
        <v/>
      </c>
    </row>
    <row r="583" ht="15" customHeight="1">
      <c r="A583" t="inlineStr">
        <is>
          <t>A 1024-2023</t>
        </is>
      </c>
      <c r="B583" s="1" t="n">
        <v>44935</v>
      </c>
      <c r="C583" s="1" t="n">
        <v>45205</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HYPERLINK("https://klasma.github.io/Logging_VASTERVIK/artfynd/A 1024-2023.xlsx", "A 1024-2023")</f>
        <v/>
      </c>
      <c r="T583">
        <f>HYPERLINK("https://klasma.github.io/Logging_VASTERVIK/kartor/A 1024-2023.png", "A 1024-2023")</f>
        <v/>
      </c>
      <c r="V583">
        <f>HYPERLINK("https://klasma.github.io/Logging_VASTERVIK/klagomål/A 1024-2023.docx", "A 1024-2023")</f>
        <v/>
      </c>
      <c r="W583">
        <f>HYPERLINK("https://klasma.github.io/Logging_VASTERVIK/klagomålsmail/A 1024-2023.docx", "A 1024-2023")</f>
        <v/>
      </c>
      <c r="X583">
        <f>HYPERLINK("https://klasma.github.io/Logging_VASTERVIK/tillsyn/A 1024-2023.docx", "A 1024-2023")</f>
        <v/>
      </c>
      <c r="Y583">
        <f>HYPERLINK("https://klasma.github.io/Logging_VASTERVIK/tillsynsmail/A 1024-2023.docx", "A 1024-2023")</f>
        <v/>
      </c>
    </row>
    <row r="584" ht="15" customHeight="1">
      <c r="A584" t="inlineStr">
        <is>
          <t>A 1943-2023</t>
        </is>
      </c>
      <c r="B584" s="1" t="n">
        <v>44939</v>
      </c>
      <c r="C584" s="1" t="n">
        <v>45205</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HYPERLINK("https://klasma.github.io/Logging_VIMMERBY/artfynd/A 1943-2023.xlsx", "A 1943-2023")</f>
        <v/>
      </c>
      <c r="T584">
        <f>HYPERLINK("https://klasma.github.io/Logging_VIMMERBY/kartor/A 1943-2023.png", "A 1943-2023")</f>
        <v/>
      </c>
      <c r="U584">
        <f>HYPERLINK("https://klasma.github.io/Logging_VIMMERBY/knärot/A 1943-2023.png", "A 1943-2023")</f>
        <v/>
      </c>
      <c r="V584">
        <f>HYPERLINK("https://klasma.github.io/Logging_VIMMERBY/klagomål/A 1943-2023.docx", "A 1943-2023")</f>
        <v/>
      </c>
      <c r="W584">
        <f>HYPERLINK("https://klasma.github.io/Logging_VIMMERBY/klagomålsmail/A 1943-2023.docx", "A 1943-2023")</f>
        <v/>
      </c>
      <c r="X584">
        <f>HYPERLINK("https://klasma.github.io/Logging_VIMMERBY/tillsyn/A 1943-2023.docx", "A 1943-2023")</f>
        <v/>
      </c>
      <c r="Y584">
        <f>HYPERLINK("https://klasma.github.io/Logging_VIMMERBY/tillsynsmail/A 1943-2023.docx", "A 1943-2023")</f>
        <v/>
      </c>
    </row>
    <row r="585" ht="15" customHeight="1">
      <c r="A585" t="inlineStr">
        <is>
          <t>A 3404-2023</t>
        </is>
      </c>
      <c r="B585" s="1" t="n">
        <v>44949</v>
      </c>
      <c r="C585" s="1" t="n">
        <v>45205</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HYPERLINK("https://klasma.github.io/Logging_KALMAR/artfynd/A 3404-2023.xlsx", "A 3404-2023")</f>
        <v/>
      </c>
      <c r="T585">
        <f>HYPERLINK("https://klasma.github.io/Logging_KALMAR/kartor/A 3404-2023.png", "A 3404-2023")</f>
        <v/>
      </c>
      <c r="V585">
        <f>HYPERLINK("https://klasma.github.io/Logging_KALMAR/klagomål/A 3404-2023.docx", "A 3404-2023")</f>
        <v/>
      </c>
      <c r="W585">
        <f>HYPERLINK("https://klasma.github.io/Logging_KALMAR/klagomålsmail/A 3404-2023.docx", "A 3404-2023")</f>
        <v/>
      </c>
      <c r="X585">
        <f>HYPERLINK("https://klasma.github.io/Logging_KALMAR/tillsyn/A 3404-2023.docx", "A 3404-2023")</f>
        <v/>
      </c>
      <c r="Y585">
        <f>HYPERLINK("https://klasma.github.io/Logging_KALMAR/tillsynsmail/A 3404-2023.docx", "A 3404-2023")</f>
        <v/>
      </c>
    </row>
    <row r="586" ht="15" customHeight="1">
      <c r="A586" t="inlineStr">
        <is>
          <t>A 4371-2023</t>
        </is>
      </c>
      <c r="B586" s="1" t="n">
        <v>44955</v>
      </c>
      <c r="C586" s="1" t="n">
        <v>45205</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HYPERLINK("https://klasma.github.io/Logging_MONSTERAS/artfynd/A 4371-2023.xlsx", "A 4371-2023")</f>
        <v/>
      </c>
      <c r="T586">
        <f>HYPERLINK("https://klasma.github.io/Logging_MONSTERAS/kartor/A 4371-2023.png", "A 4371-2023")</f>
        <v/>
      </c>
      <c r="V586">
        <f>HYPERLINK("https://klasma.github.io/Logging_MONSTERAS/klagomål/A 4371-2023.docx", "A 4371-2023")</f>
        <v/>
      </c>
      <c r="W586">
        <f>HYPERLINK("https://klasma.github.io/Logging_MONSTERAS/klagomålsmail/A 4371-2023.docx", "A 4371-2023")</f>
        <v/>
      </c>
      <c r="X586">
        <f>HYPERLINK("https://klasma.github.io/Logging_MONSTERAS/tillsyn/A 4371-2023.docx", "A 4371-2023")</f>
        <v/>
      </c>
      <c r="Y586">
        <f>HYPERLINK("https://klasma.github.io/Logging_MONSTERAS/tillsynsmail/A 4371-2023.docx", "A 4371-2023")</f>
        <v/>
      </c>
    </row>
    <row r="587" ht="15" customHeight="1">
      <c r="A587" t="inlineStr">
        <is>
          <t>A 8886-2023</t>
        </is>
      </c>
      <c r="B587" s="1" t="n">
        <v>44979</v>
      </c>
      <c r="C587" s="1" t="n">
        <v>45205</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HYPERLINK("https://klasma.github.io/Logging_MONSTERAS/artfynd/A 8886-2023.xlsx", "A 8886-2023")</f>
        <v/>
      </c>
      <c r="T587">
        <f>HYPERLINK("https://klasma.github.io/Logging_MONSTERAS/kartor/A 8886-2023.png", "A 8886-2023")</f>
        <v/>
      </c>
      <c r="U587">
        <f>HYPERLINK("https://klasma.github.io/Logging_MONSTERAS/knärot/A 8886-2023.png", "A 8886-2023")</f>
        <v/>
      </c>
      <c r="V587">
        <f>HYPERLINK("https://klasma.github.io/Logging_MONSTERAS/klagomål/A 8886-2023.docx", "A 8886-2023")</f>
        <v/>
      </c>
      <c r="W587">
        <f>HYPERLINK("https://klasma.github.io/Logging_MONSTERAS/klagomålsmail/A 8886-2023.docx", "A 8886-2023")</f>
        <v/>
      </c>
      <c r="X587">
        <f>HYPERLINK("https://klasma.github.io/Logging_MONSTERAS/tillsyn/A 8886-2023.docx", "A 8886-2023")</f>
        <v/>
      </c>
      <c r="Y587">
        <f>HYPERLINK("https://klasma.github.io/Logging_MONSTERAS/tillsynsmail/A 8886-2023.docx", "A 8886-2023")</f>
        <v/>
      </c>
    </row>
    <row r="588" ht="15" customHeight="1">
      <c r="A588" t="inlineStr">
        <is>
          <t>A 10333-2023</t>
        </is>
      </c>
      <c r="B588" s="1" t="n">
        <v>44980</v>
      </c>
      <c r="C588" s="1" t="n">
        <v>45205</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HYPERLINK("https://klasma.github.io/Logging_HULTSFRED/artfynd/A 10333-2023.xlsx", "A 10333-2023")</f>
        <v/>
      </c>
      <c r="T588">
        <f>HYPERLINK("https://klasma.github.io/Logging_HULTSFRED/kartor/A 10333-2023.png", "A 10333-2023")</f>
        <v/>
      </c>
      <c r="V588">
        <f>HYPERLINK("https://klasma.github.io/Logging_HULTSFRED/klagomål/A 10333-2023.docx", "A 10333-2023")</f>
        <v/>
      </c>
      <c r="W588">
        <f>HYPERLINK("https://klasma.github.io/Logging_HULTSFRED/klagomålsmail/A 10333-2023.docx", "A 10333-2023")</f>
        <v/>
      </c>
      <c r="X588">
        <f>HYPERLINK("https://klasma.github.io/Logging_HULTSFRED/tillsyn/A 10333-2023.docx", "A 10333-2023")</f>
        <v/>
      </c>
      <c r="Y588">
        <f>HYPERLINK("https://klasma.github.io/Logging_HULTSFRED/tillsynsmail/A 10333-2023.docx", "A 10333-2023")</f>
        <v/>
      </c>
    </row>
    <row r="589" ht="15" customHeight="1">
      <c r="A589" t="inlineStr">
        <is>
          <t>A 9745-2023</t>
        </is>
      </c>
      <c r="B589" s="1" t="n">
        <v>44984</v>
      </c>
      <c r="C589" s="1" t="n">
        <v>45205</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HYPERLINK("https://klasma.github.io/Logging_BORGHOLM/artfynd/A 9745-2023.xlsx", "A 9745-2023")</f>
        <v/>
      </c>
      <c r="T589">
        <f>HYPERLINK("https://klasma.github.io/Logging_BORGHOLM/kartor/A 9745-2023.png", "A 9745-2023")</f>
        <v/>
      </c>
      <c r="V589">
        <f>HYPERLINK("https://klasma.github.io/Logging_BORGHOLM/klagomål/A 9745-2023.docx", "A 9745-2023")</f>
        <v/>
      </c>
      <c r="W589">
        <f>HYPERLINK("https://klasma.github.io/Logging_BORGHOLM/klagomålsmail/A 9745-2023.docx", "A 9745-2023")</f>
        <v/>
      </c>
      <c r="X589">
        <f>HYPERLINK("https://klasma.github.io/Logging_BORGHOLM/tillsyn/A 9745-2023.docx", "A 9745-2023")</f>
        <v/>
      </c>
      <c r="Y589">
        <f>HYPERLINK("https://klasma.github.io/Logging_BORGHOLM/tillsynsmail/A 9745-2023.docx", "A 9745-2023")</f>
        <v/>
      </c>
    </row>
    <row r="590" ht="15" customHeight="1">
      <c r="A590" t="inlineStr">
        <is>
          <t>A 11729-2023</t>
        </is>
      </c>
      <c r="B590" s="1" t="n">
        <v>44994</v>
      </c>
      <c r="C590" s="1" t="n">
        <v>45205</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HYPERLINK("https://klasma.github.io/Logging_VASTERVIK/artfynd/A 11729-2023.xlsx", "A 11729-2023")</f>
        <v/>
      </c>
      <c r="T590">
        <f>HYPERLINK("https://klasma.github.io/Logging_VASTERVIK/kartor/A 11729-2023.png", "A 11729-2023")</f>
        <v/>
      </c>
      <c r="V590">
        <f>HYPERLINK("https://klasma.github.io/Logging_VASTERVIK/klagomål/A 11729-2023.docx", "A 11729-2023")</f>
        <v/>
      </c>
      <c r="W590">
        <f>HYPERLINK("https://klasma.github.io/Logging_VASTERVIK/klagomålsmail/A 11729-2023.docx", "A 11729-2023")</f>
        <v/>
      </c>
      <c r="X590">
        <f>HYPERLINK("https://klasma.github.io/Logging_VASTERVIK/tillsyn/A 11729-2023.docx", "A 11729-2023")</f>
        <v/>
      </c>
      <c r="Y590">
        <f>HYPERLINK("https://klasma.github.io/Logging_VASTERVIK/tillsynsmail/A 11729-2023.docx", "A 11729-2023")</f>
        <v/>
      </c>
    </row>
    <row r="591" ht="15" customHeight="1">
      <c r="A591" t="inlineStr">
        <is>
          <t>A 13721-2023</t>
        </is>
      </c>
      <c r="B591" s="1" t="n">
        <v>45007</v>
      </c>
      <c r="C591" s="1" t="n">
        <v>45205</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HYPERLINK("https://klasma.github.io/Logging_KALMAR/artfynd/A 13721-2023.xlsx", "A 13721-2023")</f>
        <v/>
      </c>
      <c r="T591">
        <f>HYPERLINK("https://klasma.github.io/Logging_KALMAR/kartor/A 13721-2023.png", "A 13721-2023")</f>
        <v/>
      </c>
      <c r="V591">
        <f>HYPERLINK("https://klasma.github.io/Logging_KALMAR/klagomål/A 13721-2023.docx", "A 13721-2023")</f>
        <v/>
      </c>
      <c r="W591">
        <f>HYPERLINK("https://klasma.github.io/Logging_KALMAR/klagomålsmail/A 13721-2023.docx", "A 13721-2023")</f>
        <v/>
      </c>
      <c r="X591">
        <f>HYPERLINK("https://klasma.github.io/Logging_KALMAR/tillsyn/A 13721-2023.docx", "A 13721-2023")</f>
        <v/>
      </c>
      <c r="Y591">
        <f>HYPERLINK("https://klasma.github.io/Logging_KALMAR/tillsynsmail/A 13721-2023.docx", "A 13721-2023")</f>
        <v/>
      </c>
    </row>
    <row r="592" ht="15" customHeight="1">
      <c r="A592" t="inlineStr">
        <is>
          <t>A 14720-2023</t>
        </is>
      </c>
      <c r="B592" s="1" t="n">
        <v>45014</v>
      </c>
      <c r="C592" s="1" t="n">
        <v>45205</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HYPERLINK("https://klasma.github.io/Logging_VASTERVIK/artfynd/A 14720-2023.xlsx", "A 14720-2023")</f>
        <v/>
      </c>
      <c r="T592">
        <f>HYPERLINK("https://klasma.github.io/Logging_VASTERVIK/kartor/A 14720-2023.png", "A 14720-2023")</f>
        <v/>
      </c>
      <c r="U592">
        <f>HYPERLINK("https://klasma.github.io/Logging_VASTERVIK/knärot/A 14720-2023.png", "A 14720-2023")</f>
        <v/>
      </c>
      <c r="V592">
        <f>HYPERLINK("https://klasma.github.io/Logging_VASTERVIK/klagomål/A 14720-2023.docx", "A 14720-2023")</f>
        <v/>
      </c>
      <c r="W592">
        <f>HYPERLINK("https://klasma.github.io/Logging_VASTERVIK/klagomålsmail/A 14720-2023.docx", "A 14720-2023")</f>
        <v/>
      </c>
      <c r="X592">
        <f>HYPERLINK("https://klasma.github.io/Logging_VASTERVIK/tillsyn/A 14720-2023.docx", "A 14720-2023")</f>
        <v/>
      </c>
      <c r="Y592">
        <f>HYPERLINK("https://klasma.github.io/Logging_VASTERVIK/tillsynsmail/A 14720-2023.docx", "A 14720-2023")</f>
        <v/>
      </c>
    </row>
    <row r="593" ht="15" customHeight="1">
      <c r="A593" t="inlineStr">
        <is>
          <t>A 15440-2023</t>
        </is>
      </c>
      <c r="B593" s="1" t="n">
        <v>45016</v>
      </c>
      <c r="C593" s="1" t="n">
        <v>45205</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HYPERLINK("https://klasma.github.io/Logging_HULTSFRED/artfynd/A 15440-2023.xlsx", "A 15440-2023")</f>
        <v/>
      </c>
      <c r="T593">
        <f>HYPERLINK("https://klasma.github.io/Logging_HULTSFRED/kartor/A 15440-2023.png", "A 15440-2023")</f>
        <v/>
      </c>
      <c r="V593">
        <f>HYPERLINK("https://klasma.github.io/Logging_HULTSFRED/klagomål/A 15440-2023.docx", "A 15440-2023")</f>
        <v/>
      </c>
      <c r="W593">
        <f>HYPERLINK("https://klasma.github.io/Logging_HULTSFRED/klagomålsmail/A 15440-2023.docx", "A 15440-2023")</f>
        <v/>
      </c>
      <c r="X593">
        <f>HYPERLINK("https://klasma.github.io/Logging_HULTSFRED/tillsyn/A 15440-2023.docx", "A 15440-2023")</f>
        <v/>
      </c>
      <c r="Y593">
        <f>HYPERLINK("https://klasma.github.io/Logging_HULTSFRED/tillsynsmail/A 15440-2023.docx", "A 15440-2023")</f>
        <v/>
      </c>
    </row>
    <row r="594" ht="15" customHeight="1">
      <c r="A594" t="inlineStr">
        <is>
          <t>A 15376-2023</t>
        </is>
      </c>
      <c r="B594" s="1" t="n">
        <v>45019</v>
      </c>
      <c r="C594" s="1" t="n">
        <v>45205</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HYPERLINK("https://klasma.github.io/Logging_TORSAS/artfynd/A 15376-2023.xlsx", "A 15376-2023")</f>
        <v/>
      </c>
      <c r="T594">
        <f>HYPERLINK("https://klasma.github.io/Logging_TORSAS/kartor/A 15376-2023.png", "A 15376-2023")</f>
        <v/>
      </c>
      <c r="V594">
        <f>HYPERLINK("https://klasma.github.io/Logging_TORSAS/klagomål/A 15376-2023.docx", "A 15376-2023")</f>
        <v/>
      </c>
      <c r="W594">
        <f>HYPERLINK("https://klasma.github.io/Logging_TORSAS/klagomålsmail/A 15376-2023.docx", "A 15376-2023")</f>
        <v/>
      </c>
      <c r="X594">
        <f>HYPERLINK("https://klasma.github.io/Logging_TORSAS/tillsyn/A 15376-2023.docx", "A 15376-2023")</f>
        <v/>
      </c>
      <c r="Y594">
        <f>HYPERLINK("https://klasma.github.io/Logging_TORSAS/tillsynsmail/A 15376-2023.docx", "A 15376-2023")</f>
        <v/>
      </c>
    </row>
    <row r="595" ht="15" customHeight="1">
      <c r="A595" t="inlineStr">
        <is>
          <t>A 16173-2023</t>
        </is>
      </c>
      <c r="B595" s="1" t="n">
        <v>45027</v>
      </c>
      <c r="C595" s="1" t="n">
        <v>45205</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HYPERLINK("https://klasma.github.io/Logging_BORGHOLM/artfynd/A 16173-2023.xlsx", "A 16173-2023")</f>
        <v/>
      </c>
      <c r="T595">
        <f>HYPERLINK("https://klasma.github.io/Logging_BORGHOLM/kartor/A 16173-2023.png", "A 16173-2023")</f>
        <v/>
      </c>
      <c r="V595">
        <f>HYPERLINK("https://klasma.github.io/Logging_BORGHOLM/klagomål/A 16173-2023.docx", "A 16173-2023")</f>
        <v/>
      </c>
      <c r="W595">
        <f>HYPERLINK("https://klasma.github.io/Logging_BORGHOLM/klagomålsmail/A 16173-2023.docx", "A 16173-2023")</f>
        <v/>
      </c>
      <c r="X595">
        <f>HYPERLINK("https://klasma.github.io/Logging_BORGHOLM/tillsyn/A 16173-2023.docx", "A 16173-2023")</f>
        <v/>
      </c>
      <c r="Y595">
        <f>HYPERLINK("https://klasma.github.io/Logging_BORGHOLM/tillsynsmail/A 16173-2023.docx", "A 16173-2023")</f>
        <v/>
      </c>
    </row>
    <row r="596" ht="15" customHeight="1">
      <c r="A596" t="inlineStr">
        <is>
          <t>A 16622-2023</t>
        </is>
      </c>
      <c r="B596" s="1" t="n">
        <v>45030</v>
      </c>
      <c r="C596" s="1" t="n">
        <v>45205</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HYPERLINK("https://klasma.github.io/Logging_VASTERVIK/artfynd/A 16622-2023.xlsx", "A 16622-2023")</f>
        <v/>
      </c>
      <c r="T596">
        <f>HYPERLINK("https://klasma.github.io/Logging_VASTERVIK/kartor/A 16622-2023.png", "A 16622-2023")</f>
        <v/>
      </c>
      <c r="U596">
        <f>HYPERLINK("https://klasma.github.io/Logging_VASTERVIK/knärot/A 16622-2023.png", "A 16622-2023")</f>
        <v/>
      </c>
      <c r="V596">
        <f>HYPERLINK("https://klasma.github.io/Logging_VASTERVIK/klagomål/A 16622-2023.docx", "A 16622-2023")</f>
        <v/>
      </c>
      <c r="W596">
        <f>HYPERLINK("https://klasma.github.io/Logging_VASTERVIK/klagomålsmail/A 16622-2023.docx", "A 16622-2023")</f>
        <v/>
      </c>
      <c r="X596">
        <f>HYPERLINK("https://klasma.github.io/Logging_VASTERVIK/tillsyn/A 16622-2023.docx", "A 16622-2023")</f>
        <v/>
      </c>
      <c r="Y596">
        <f>HYPERLINK("https://klasma.github.io/Logging_VASTERVIK/tillsynsmail/A 16622-2023.docx", "A 16622-2023")</f>
        <v/>
      </c>
    </row>
    <row r="597" ht="15" customHeight="1">
      <c r="A597" t="inlineStr">
        <is>
          <t>A 17193-2023</t>
        </is>
      </c>
      <c r="B597" s="1" t="n">
        <v>45034</v>
      </c>
      <c r="C597" s="1" t="n">
        <v>45205</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HYPERLINK("https://klasma.github.io/Logging_OSKARSHAMN/artfynd/A 17193-2023.xlsx", "A 17193-2023")</f>
        <v/>
      </c>
      <c r="T597">
        <f>HYPERLINK("https://klasma.github.io/Logging_OSKARSHAMN/kartor/A 17193-2023.png", "A 17193-2023")</f>
        <v/>
      </c>
      <c r="V597">
        <f>HYPERLINK("https://klasma.github.io/Logging_OSKARSHAMN/klagomål/A 17193-2023.docx", "A 17193-2023")</f>
        <v/>
      </c>
      <c r="W597">
        <f>HYPERLINK("https://klasma.github.io/Logging_OSKARSHAMN/klagomålsmail/A 17193-2023.docx", "A 17193-2023")</f>
        <v/>
      </c>
      <c r="X597">
        <f>HYPERLINK("https://klasma.github.io/Logging_OSKARSHAMN/tillsyn/A 17193-2023.docx", "A 17193-2023")</f>
        <v/>
      </c>
      <c r="Y597">
        <f>HYPERLINK("https://klasma.github.io/Logging_OSKARSHAMN/tillsynsmail/A 17193-2023.docx", "A 17193-2023")</f>
        <v/>
      </c>
    </row>
    <row r="598" ht="15" customHeight="1">
      <c r="A598" t="inlineStr">
        <is>
          <t>A 18475-2023</t>
        </is>
      </c>
      <c r="B598" s="1" t="n">
        <v>45042</v>
      </c>
      <c r="C598" s="1" t="n">
        <v>45205</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HYPERLINK("https://klasma.github.io/Logging_KALMAR/artfynd/A 18475-2023.xlsx", "A 18475-2023")</f>
        <v/>
      </c>
      <c r="T598">
        <f>HYPERLINK("https://klasma.github.io/Logging_KALMAR/kartor/A 18475-2023.png", "A 18475-2023")</f>
        <v/>
      </c>
      <c r="V598">
        <f>HYPERLINK("https://klasma.github.io/Logging_KALMAR/klagomål/A 18475-2023.docx", "A 18475-2023")</f>
        <v/>
      </c>
      <c r="W598">
        <f>HYPERLINK("https://klasma.github.io/Logging_KALMAR/klagomålsmail/A 18475-2023.docx", "A 18475-2023")</f>
        <v/>
      </c>
      <c r="X598">
        <f>HYPERLINK("https://klasma.github.io/Logging_KALMAR/tillsyn/A 18475-2023.docx", "A 18475-2023")</f>
        <v/>
      </c>
      <c r="Y598">
        <f>HYPERLINK("https://klasma.github.io/Logging_KALMAR/tillsynsmail/A 18475-2023.docx", "A 18475-2023")</f>
        <v/>
      </c>
    </row>
    <row r="599" ht="15" customHeight="1">
      <c r="A599" t="inlineStr">
        <is>
          <t>A 18874-2023</t>
        </is>
      </c>
      <c r="B599" s="1" t="n">
        <v>45044</v>
      </c>
      <c r="C599" s="1" t="n">
        <v>45205</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HYPERLINK("https://klasma.github.io/Logging_KALMAR/artfynd/A 18874-2023.xlsx", "A 18874-2023")</f>
        <v/>
      </c>
      <c r="T599">
        <f>HYPERLINK("https://klasma.github.io/Logging_KALMAR/kartor/A 18874-2023.png", "A 18874-2023")</f>
        <v/>
      </c>
      <c r="V599">
        <f>HYPERLINK("https://klasma.github.io/Logging_KALMAR/klagomål/A 18874-2023.docx", "A 18874-2023")</f>
        <v/>
      </c>
      <c r="W599">
        <f>HYPERLINK("https://klasma.github.io/Logging_KALMAR/klagomålsmail/A 18874-2023.docx", "A 18874-2023")</f>
        <v/>
      </c>
      <c r="X599">
        <f>HYPERLINK("https://klasma.github.io/Logging_KALMAR/tillsyn/A 18874-2023.docx", "A 18874-2023")</f>
        <v/>
      </c>
      <c r="Y599">
        <f>HYPERLINK("https://klasma.github.io/Logging_KALMAR/tillsynsmail/A 18874-2023.docx", "A 18874-2023")</f>
        <v/>
      </c>
    </row>
    <row r="600" ht="15" customHeight="1">
      <c r="A600" t="inlineStr">
        <is>
          <t>A 19459-2023</t>
        </is>
      </c>
      <c r="B600" s="1" t="n">
        <v>45049</v>
      </c>
      <c r="C600" s="1" t="n">
        <v>45205</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HYPERLINK("https://klasma.github.io/Logging_MORBYLANGA/artfynd/A 19459-2023.xlsx", "A 19459-2023")</f>
        <v/>
      </c>
      <c r="T600">
        <f>HYPERLINK("https://klasma.github.io/Logging_MORBYLANGA/kartor/A 19459-2023.png", "A 19459-2023")</f>
        <v/>
      </c>
      <c r="V600">
        <f>HYPERLINK("https://klasma.github.io/Logging_MORBYLANGA/klagomål/A 19459-2023.docx", "A 19459-2023")</f>
        <v/>
      </c>
      <c r="W600">
        <f>HYPERLINK("https://klasma.github.io/Logging_MORBYLANGA/klagomålsmail/A 19459-2023.docx", "A 19459-2023")</f>
        <v/>
      </c>
      <c r="X600">
        <f>HYPERLINK("https://klasma.github.io/Logging_MORBYLANGA/tillsyn/A 19459-2023.docx", "A 19459-2023")</f>
        <v/>
      </c>
      <c r="Y600">
        <f>HYPERLINK("https://klasma.github.io/Logging_MORBYLANGA/tillsynsmail/A 19459-2023.docx", "A 19459-2023")</f>
        <v/>
      </c>
    </row>
    <row r="601" ht="15" customHeight="1">
      <c r="A601" t="inlineStr">
        <is>
          <t>A 20392-2023</t>
        </is>
      </c>
      <c r="B601" s="1" t="n">
        <v>45056</v>
      </c>
      <c r="C601" s="1" t="n">
        <v>45205</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HYPERLINK("https://klasma.github.io/Logging_NYBRO/artfynd/A 20392-2023.xlsx", "A 20392-2023")</f>
        <v/>
      </c>
      <c r="T601">
        <f>HYPERLINK("https://klasma.github.io/Logging_NYBRO/kartor/A 20392-2023.png", "A 20392-2023")</f>
        <v/>
      </c>
      <c r="V601">
        <f>HYPERLINK("https://klasma.github.io/Logging_NYBRO/klagomål/A 20392-2023.docx", "A 20392-2023")</f>
        <v/>
      </c>
      <c r="W601">
        <f>HYPERLINK("https://klasma.github.io/Logging_NYBRO/klagomålsmail/A 20392-2023.docx", "A 20392-2023")</f>
        <v/>
      </c>
      <c r="X601">
        <f>HYPERLINK("https://klasma.github.io/Logging_NYBRO/tillsyn/A 20392-2023.docx", "A 20392-2023")</f>
        <v/>
      </c>
      <c r="Y601">
        <f>HYPERLINK("https://klasma.github.io/Logging_NYBRO/tillsynsmail/A 20392-2023.docx", "A 20392-2023")</f>
        <v/>
      </c>
    </row>
    <row r="602" ht="15" customHeight="1">
      <c r="A602" t="inlineStr">
        <is>
          <t>A 21518-2023</t>
        </is>
      </c>
      <c r="B602" s="1" t="n">
        <v>45063</v>
      </c>
      <c r="C602" s="1" t="n">
        <v>45205</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HYPERLINK("https://klasma.github.io/Logging_KALMAR/artfynd/A 21518-2023.xlsx", "A 21518-2023")</f>
        <v/>
      </c>
      <c r="T602">
        <f>HYPERLINK("https://klasma.github.io/Logging_KALMAR/kartor/A 21518-2023.png", "A 21518-2023")</f>
        <v/>
      </c>
      <c r="V602">
        <f>HYPERLINK("https://klasma.github.io/Logging_KALMAR/klagomål/A 21518-2023.docx", "A 21518-2023")</f>
        <v/>
      </c>
      <c r="W602">
        <f>HYPERLINK("https://klasma.github.io/Logging_KALMAR/klagomålsmail/A 21518-2023.docx", "A 21518-2023")</f>
        <v/>
      </c>
      <c r="X602">
        <f>HYPERLINK("https://klasma.github.io/Logging_KALMAR/tillsyn/A 21518-2023.docx", "A 21518-2023")</f>
        <v/>
      </c>
      <c r="Y602">
        <f>HYPERLINK("https://klasma.github.io/Logging_KALMAR/tillsynsmail/A 21518-2023.docx", "A 21518-2023")</f>
        <v/>
      </c>
    </row>
    <row r="603" ht="15" customHeight="1">
      <c r="A603" t="inlineStr">
        <is>
          <t>A 21828-2023</t>
        </is>
      </c>
      <c r="B603" s="1" t="n">
        <v>45068</v>
      </c>
      <c r="C603" s="1" t="n">
        <v>45205</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HYPERLINK("https://klasma.github.io/Logging_VASTERVIK/artfynd/A 21828-2023.xlsx", "A 21828-2023")</f>
        <v/>
      </c>
      <c r="T603">
        <f>HYPERLINK("https://klasma.github.io/Logging_VASTERVIK/kartor/A 21828-2023.png", "A 21828-2023")</f>
        <v/>
      </c>
      <c r="V603">
        <f>HYPERLINK("https://klasma.github.io/Logging_VASTERVIK/klagomål/A 21828-2023.docx", "A 21828-2023")</f>
        <v/>
      </c>
      <c r="W603">
        <f>HYPERLINK("https://klasma.github.io/Logging_VASTERVIK/klagomålsmail/A 21828-2023.docx", "A 21828-2023")</f>
        <v/>
      </c>
      <c r="X603">
        <f>HYPERLINK("https://klasma.github.io/Logging_VASTERVIK/tillsyn/A 21828-2023.docx", "A 21828-2023")</f>
        <v/>
      </c>
      <c r="Y603">
        <f>HYPERLINK("https://klasma.github.io/Logging_VASTERVIK/tillsynsmail/A 21828-2023.docx", "A 21828-2023")</f>
        <v/>
      </c>
    </row>
    <row r="604" ht="15" customHeight="1">
      <c r="A604" t="inlineStr">
        <is>
          <t>A 22014-2023</t>
        </is>
      </c>
      <c r="B604" s="1" t="n">
        <v>45069</v>
      </c>
      <c r="C604" s="1" t="n">
        <v>45205</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HYPERLINK("https://klasma.github.io/Logging_KALMAR/artfynd/A 22014-2023.xlsx", "A 22014-2023")</f>
        <v/>
      </c>
      <c r="T604">
        <f>HYPERLINK("https://klasma.github.io/Logging_KALMAR/kartor/A 22014-2023.png", "A 22014-2023")</f>
        <v/>
      </c>
      <c r="V604">
        <f>HYPERLINK("https://klasma.github.io/Logging_KALMAR/klagomål/A 22014-2023.docx", "A 22014-2023")</f>
        <v/>
      </c>
      <c r="W604">
        <f>HYPERLINK("https://klasma.github.io/Logging_KALMAR/klagomålsmail/A 22014-2023.docx", "A 22014-2023")</f>
        <v/>
      </c>
      <c r="X604">
        <f>HYPERLINK("https://klasma.github.io/Logging_KALMAR/tillsyn/A 22014-2023.docx", "A 22014-2023")</f>
        <v/>
      </c>
      <c r="Y604">
        <f>HYPERLINK("https://klasma.github.io/Logging_KALMAR/tillsynsmail/A 22014-2023.docx", "A 22014-2023")</f>
        <v/>
      </c>
    </row>
    <row r="605" ht="15" customHeight="1">
      <c r="A605" t="inlineStr">
        <is>
          <t>A 23849-2023</t>
        </is>
      </c>
      <c r="B605" s="1" t="n">
        <v>45078</v>
      </c>
      <c r="C605" s="1" t="n">
        <v>45205</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HYPERLINK("https://klasma.github.io/Logging_HOGSBY/artfynd/A 23849-2023.xlsx", "A 23849-2023")</f>
        <v/>
      </c>
      <c r="T605">
        <f>HYPERLINK("https://klasma.github.io/Logging_HOGSBY/kartor/A 23849-2023.png", "A 23849-2023")</f>
        <v/>
      </c>
      <c r="V605">
        <f>HYPERLINK("https://klasma.github.io/Logging_HOGSBY/klagomål/A 23849-2023.docx", "A 23849-2023")</f>
        <v/>
      </c>
      <c r="W605">
        <f>HYPERLINK("https://klasma.github.io/Logging_HOGSBY/klagomålsmail/A 23849-2023.docx", "A 23849-2023")</f>
        <v/>
      </c>
      <c r="X605">
        <f>HYPERLINK("https://klasma.github.io/Logging_HOGSBY/tillsyn/A 23849-2023.docx", "A 23849-2023")</f>
        <v/>
      </c>
      <c r="Y605">
        <f>HYPERLINK("https://klasma.github.io/Logging_HOGSBY/tillsynsmail/A 23849-2023.docx", "A 23849-2023")</f>
        <v/>
      </c>
    </row>
    <row r="606" ht="15" customHeight="1">
      <c r="A606" t="inlineStr">
        <is>
          <t>A 24157-2023</t>
        </is>
      </c>
      <c r="B606" s="1" t="n">
        <v>45079</v>
      </c>
      <c r="C606" s="1" t="n">
        <v>45205</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HYPERLINK("https://klasma.github.io/Logging_TORSAS/artfynd/A 24157-2023.xlsx", "A 24157-2023")</f>
        <v/>
      </c>
      <c r="T606">
        <f>HYPERLINK("https://klasma.github.io/Logging_TORSAS/kartor/A 24157-2023.png", "A 24157-2023")</f>
        <v/>
      </c>
      <c r="V606">
        <f>HYPERLINK("https://klasma.github.io/Logging_TORSAS/klagomål/A 24157-2023.docx", "A 24157-2023")</f>
        <v/>
      </c>
      <c r="W606">
        <f>HYPERLINK("https://klasma.github.io/Logging_TORSAS/klagomålsmail/A 24157-2023.docx", "A 24157-2023")</f>
        <v/>
      </c>
      <c r="X606">
        <f>HYPERLINK("https://klasma.github.io/Logging_TORSAS/tillsyn/A 24157-2023.docx", "A 24157-2023")</f>
        <v/>
      </c>
      <c r="Y606">
        <f>HYPERLINK("https://klasma.github.io/Logging_TORSAS/tillsynsmail/A 24157-2023.docx", "A 24157-2023")</f>
        <v/>
      </c>
    </row>
    <row r="607" ht="15" customHeight="1">
      <c r="A607" t="inlineStr">
        <is>
          <t>A 24698-2023</t>
        </is>
      </c>
      <c r="B607" s="1" t="n">
        <v>45084</v>
      </c>
      <c r="C607" s="1" t="n">
        <v>45205</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24698-2023.xlsx", "A 24698-2023")</f>
        <v/>
      </c>
      <c r="T607">
        <f>HYPERLINK("https://klasma.github.io/Logging_MORBYLANGA/kartor/A 24698-2023.png", "A 24698-2023")</f>
        <v/>
      </c>
      <c r="V607">
        <f>HYPERLINK("https://klasma.github.io/Logging_MORBYLANGA/klagomål/A 24698-2023.docx", "A 24698-2023")</f>
        <v/>
      </c>
      <c r="W607">
        <f>HYPERLINK("https://klasma.github.io/Logging_MORBYLANGA/klagomålsmail/A 24698-2023.docx", "A 24698-2023")</f>
        <v/>
      </c>
      <c r="X607">
        <f>HYPERLINK("https://klasma.github.io/Logging_MORBYLANGA/tillsyn/A 24698-2023.docx", "A 24698-2023")</f>
        <v/>
      </c>
      <c r="Y607">
        <f>HYPERLINK("https://klasma.github.io/Logging_MORBYLANGA/tillsynsmail/A 24698-2023.docx", "A 24698-2023")</f>
        <v/>
      </c>
    </row>
    <row r="608" ht="15" customHeight="1">
      <c r="A608" t="inlineStr">
        <is>
          <t>A 24704-2023</t>
        </is>
      </c>
      <c r="B608" s="1" t="n">
        <v>45084</v>
      </c>
      <c r="C608" s="1" t="n">
        <v>45205</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HYPERLINK("https://klasma.github.io/Logging_BORGHOLM/artfynd/A 24704-2023.xlsx", "A 24704-2023")</f>
        <v/>
      </c>
      <c r="T608">
        <f>HYPERLINK("https://klasma.github.io/Logging_BORGHOLM/kartor/A 24704-2023.png", "A 24704-2023")</f>
        <v/>
      </c>
      <c r="V608">
        <f>HYPERLINK("https://klasma.github.io/Logging_BORGHOLM/klagomål/A 24704-2023.docx", "A 24704-2023")</f>
        <v/>
      </c>
      <c r="W608">
        <f>HYPERLINK("https://klasma.github.io/Logging_BORGHOLM/klagomålsmail/A 24704-2023.docx", "A 24704-2023")</f>
        <v/>
      </c>
      <c r="X608">
        <f>HYPERLINK("https://klasma.github.io/Logging_BORGHOLM/tillsyn/A 24704-2023.docx", "A 24704-2023")</f>
        <v/>
      </c>
      <c r="Y608">
        <f>HYPERLINK("https://klasma.github.io/Logging_BORGHOLM/tillsynsmail/A 24704-2023.docx", "A 24704-2023")</f>
        <v/>
      </c>
    </row>
    <row r="609" ht="15" customHeight="1">
      <c r="A609" t="inlineStr">
        <is>
          <t>A 24695-2023</t>
        </is>
      </c>
      <c r="B609" s="1" t="n">
        <v>45084</v>
      </c>
      <c r="C609" s="1" t="n">
        <v>45205</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HYPERLINK("https://klasma.github.io/Logging_MORBYLANGA/artfynd/A 24695-2023.xlsx", "A 24695-2023")</f>
        <v/>
      </c>
      <c r="T609">
        <f>HYPERLINK("https://klasma.github.io/Logging_MORBYLANGA/kartor/A 24695-2023.png", "A 24695-2023")</f>
        <v/>
      </c>
      <c r="V609">
        <f>HYPERLINK("https://klasma.github.io/Logging_MORBYLANGA/klagomål/A 24695-2023.docx", "A 24695-2023")</f>
        <v/>
      </c>
      <c r="W609">
        <f>HYPERLINK("https://klasma.github.io/Logging_MORBYLANGA/klagomålsmail/A 24695-2023.docx", "A 24695-2023")</f>
        <v/>
      </c>
      <c r="X609">
        <f>HYPERLINK("https://klasma.github.io/Logging_MORBYLANGA/tillsyn/A 24695-2023.docx", "A 24695-2023")</f>
        <v/>
      </c>
      <c r="Y609">
        <f>HYPERLINK("https://klasma.github.io/Logging_MORBYLANGA/tillsynsmail/A 24695-2023.docx", "A 24695-2023")</f>
        <v/>
      </c>
    </row>
    <row r="610" ht="15" customHeight="1">
      <c r="A610" t="inlineStr">
        <is>
          <t>A 24700-2023</t>
        </is>
      </c>
      <c r="B610" s="1" t="n">
        <v>45084</v>
      </c>
      <c r="C610" s="1" t="n">
        <v>45205</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HYPERLINK("https://klasma.github.io/Logging_MORBYLANGA/artfynd/A 24700-2023.xlsx", "A 24700-2023")</f>
        <v/>
      </c>
      <c r="T610">
        <f>HYPERLINK("https://klasma.github.io/Logging_MORBYLANGA/kartor/A 24700-2023.png", "A 24700-2023")</f>
        <v/>
      </c>
      <c r="V610">
        <f>HYPERLINK("https://klasma.github.io/Logging_MORBYLANGA/klagomål/A 24700-2023.docx", "A 24700-2023")</f>
        <v/>
      </c>
      <c r="W610">
        <f>HYPERLINK("https://klasma.github.io/Logging_MORBYLANGA/klagomålsmail/A 24700-2023.docx", "A 24700-2023")</f>
        <v/>
      </c>
      <c r="X610">
        <f>HYPERLINK("https://klasma.github.io/Logging_MORBYLANGA/tillsyn/A 24700-2023.docx", "A 24700-2023")</f>
        <v/>
      </c>
      <c r="Y610">
        <f>HYPERLINK("https://klasma.github.io/Logging_MORBYLANGA/tillsynsmail/A 24700-2023.docx", "A 24700-2023")</f>
        <v/>
      </c>
    </row>
    <row r="611" ht="15" customHeight="1">
      <c r="A611" t="inlineStr">
        <is>
          <t>A 24701-2023</t>
        </is>
      </c>
      <c r="B611" s="1" t="n">
        <v>45084</v>
      </c>
      <c r="C611" s="1" t="n">
        <v>45205</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HYPERLINK("https://klasma.github.io/Logging_BORGHOLM/artfynd/A 24701-2023.xlsx", "A 24701-2023")</f>
        <v/>
      </c>
      <c r="T611">
        <f>HYPERLINK("https://klasma.github.io/Logging_BORGHOLM/kartor/A 24701-2023.png", "A 24701-2023")</f>
        <v/>
      </c>
      <c r="V611">
        <f>HYPERLINK("https://klasma.github.io/Logging_BORGHOLM/klagomål/A 24701-2023.docx", "A 24701-2023")</f>
        <v/>
      </c>
      <c r="W611">
        <f>HYPERLINK("https://klasma.github.io/Logging_BORGHOLM/klagomålsmail/A 24701-2023.docx", "A 24701-2023")</f>
        <v/>
      </c>
      <c r="X611">
        <f>HYPERLINK("https://klasma.github.io/Logging_BORGHOLM/tillsyn/A 24701-2023.docx", "A 24701-2023")</f>
        <v/>
      </c>
      <c r="Y611">
        <f>HYPERLINK("https://klasma.github.io/Logging_BORGHOLM/tillsynsmail/A 24701-2023.docx", "A 24701-2023")</f>
        <v/>
      </c>
    </row>
    <row r="612" ht="15" customHeight="1">
      <c r="A612" t="inlineStr">
        <is>
          <t>A 25218-2023</t>
        </is>
      </c>
      <c r="B612" s="1" t="n">
        <v>45086</v>
      </c>
      <c r="C612" s="1" t="n">
        <v>45205</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25218-2023.xlsx", "A 25218-2023")</f>
        <v/>
      </c>
      <c r="T612">
        <f>HYPERLINK("https://klasma.github.io/Logging_MONSTERAS/kartor/A 25218-2023.png", "A 25218-2023")</f>
        <v/>
      </c>
      <c r="V612">
        <f>HYPERLINK("https://klasma.github.io/Logging_MONSTERAS/klagomål/A 25218-2023.docx", "A 25218-2023")</f>
        <v/>
      </c>
      <c r="W612">
        <f>HYPERLINK("https://klasma.github.io/Logging_MONSTERAS/klagomålsmail/A 25218-2023.docx", "A 25218-2023")</f>
        <v/>
      </c>
      <c r="X612">
        <f>HYPERLINK("https://klasma.github.io/Logging_MONSTERAS/tillsyn/A 25218-2023.docx", "A 25218-2023")</f>
        <v/>
      </c>
      <c r="Y612">
        <f>HYPERLINK("https://klasma.github.io/Logging_MONSTERAS/tillsynsmail/A 25218-2023.docx", "A 25218-2023")</f>
        <v/>
      </c>
    </row>
    <row r="613" ht="15" customHeight="1">
      <c r="A613" t="inlineStr">
        <is>
          <t>A 25231-2023</t>
        </is>
      </c>
      <c r="B613" s="1" t="n">
        <v>45086</v>
      </c>
      <c r="C613" s="1" t="n">
        <v>45205</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HYPERLINK("https://klasma.github.io/Logging_MONSTERAS/artfynd/A 25231-2023.xlsx", "A 25231-2023")</f>
        <v/>
      </c>
      <c r="T613">
        <f>HYPERLINK("https://klasma.github.io/Logging_MONSTERAS/kartor/A 25231-2023.png", "A 25231-2023")</f>
        <v/>
      </c>
      <c r="V613">
        <f>HYPERLINK("https://klasma.github.io/Logging_MONSTERAS/klagomål/A 25231-2023.docx", "A 25231-2023")</f>
        <v/>
      </c>
      <c r="W613">
        <f>HYPERLINK("https://klasma.github.io/Logging_MONSTERAS/klagomålsmail/A 25231-2023.docx", "A 25231-2023")</f>
        <v/>
      </c>
      <c r="X613">
        <f>HYPERLINK("https://klasma.github.io/Logging_MONSTERAS/tillsyn/A 25231-2023.docx", "A 25231-2023")</f>
        <v/>
      </c>
      <c r="Y613">
        <f>HYPERLINK("https://klasma.github.io/Logging_MONSTERAS/tillsynsmail/A 25231-2023.docx", "A 25231-2023")</f>
        <v/>
      </c>
    </row>
    <row r="614" ht="15" customHeight="1">
      <c r="A614" t="inlineStr">
        <is>
          <t>A 25433-2023</t>
        </is>
      </c>
      <c r="B614" s="1" t="n">
        <v>45089</v>
      </c>
      <c r="C614" s="1" t="n">
        <v>45205</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25433-2023.xlsx", "A 25433-2023")</f>
        <v/>
      </c>
      <c r="T614">
        <f>HYPERLINK("https://klasma.github.io/Logging_VASTERVIK/kartor/A 25433-2023.png", "A 25433-2023")</f>
        <v/>
      </c>
      <c r="U614">
        <f>HYPERLINK("https://klasma.github.io/Logging_VASTERVIK/knärot/A 25433-2023.png", "A 25433-2023")</f>
        <v/>
      </c>
      <c r="V614">
        <f>HYPERLINK("https://klasma.github.io/Logging_VASTERVIK/klagomål/A 25433-2023.docx", "A 25433-2023")</f>
        <v/>
      </c>
      <c r="W614">
        <f>HYPERLINK("https://klasma.github.io/Logging_VASTERVIK/klagomålsmail/A 25433-2023.docx", "A 25433-2023")</f>
        <v/>
      </c>
      <c r="X614">
        <f>HYPERLINK("https://klasma.github.io/Logging_VASTERVIK/tillsyn/A 25433-2023.docx", "A 25433-2023")</f>
        <v/>
      </c>
      <c r="Y614">
        <f>HYPERLINK("https://klasma.github.io/Logging_VASTERVIK/tillsynsmail/A 25433-2023.docx", "A 25433-2023")</f>
        <v/>
      </c>
    </row>
    <row r="615" ht="15" customHeight="1">
      <c r="A615" t="inlineStr">
        <is>
          <t>A 25436-2023</t>
        </is>
      </c>
      <c r="B615" s="1" t="n">
        <v>45089</v>
      </c>
      <c r="C615" s="1" t="n">
        <v>45205</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25436-2023.xlsx", "A 25436-2023")</f>
        <v/>
      </c>
      <c r="T615">
        <f>HYPERLINK("https://klasma.github.io/Logging_VASTERVIK/kartor/A 25436-2023.png", "A 25436-2023")</f>
        <v/>
      </c>
      <c r="U615">
        <f>HYPERLINK("https://klasma.github.io/Logging_VASTERVIK/knärot/A 25436-2023.png", "A 25436-2023")</f>
        <v/>
      </c>
      <c r="V615">
        <f>HYPERLINK("https://klasma.github.io/Logging_VASTERVIK/klagomål/A 25436-2023.docx", "A 25436-2023")</f>
        <v/>
      </c>
      <c r="W615">
        <f>HYPERLINK("https://klasma.github.io/Logging_VASTERVIK/klagomålsmail/A 25436-2023.docx", "A 25436-2023")</f>
        <v/>
      </c>
      <c r="X615">
        <f>HYPERLINK("https://klasma.github.io/Logging_VASTERVIK/tillsyn/A 25436-2023.docx", "A 25436-2023")</f>
        <v/>
      </c>
      <c r="Y615">
        <f>HYPERLINK("https://klasma.github.io/Logging_VASTERVIK/tillsynsmail/A 25436-2023.docx", "A 25436-2023")</f>
        <v/>
      </c>
    </row>
    <row r="616" ht="15" customHeight="1">
      <c r="A616" t="inlineStr">
        <is>
          <t>A 25435-2023</t>
        </is>
      </c>
      <c r="B616" s="1" t="n">
        <v>45089</v>
      </c>
      <c r="C616" s="1" t="n">
        <v>45205</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HYPERLINK("https://klasma.github.io/Logging_VASTERVIK/artfynd/A 25435-2023.xlsx", "A 25435-2023")</f>
        <v/>
      </c>
      <c r="T616">
        <f>HYPERLINK("https://klasma.github.io/Logging_VASTERVIK/kartor/A 25435-2023.png", "A 25435-2023")</f>
        <v/>
      </c>
      <c r="U616">
        <f>HYPERLINK("https://klasma.github.io/Logging_VASTERVIK/knärot/A 25435-2023.png", "A 25435-2023")</f>
        <v/>
      </c>
      <c r="V616">
        <f>HYPERLINK("https://klasma.github.io/Logging_VASTERVIK/klagomål/A 25435-2023.docx", "A 25435-2023")</f>
        <v/>
      </c>
      <c r="W616">
        <f>HYPERLINK("https://klasma.github.io/Logging_VASTERVIK/klagomålsmail/A 25435-2023.docx", "A 25435-2023")</f>
        <v/>
      </c>
      <c r="X616">
        <f>HYPERLINK("https://klasma.github.io/Logging_VASTERVIK/tillsyn/A 25435-2023.docx", "A 25435-2023")</f>
        <v/>
      </c>
      <c r="Y616">
        <f>HYPERLINK("https://klasma.github.io/Logging_VASTERVIK/tillsynsmail/A 25435-2023.docx", "A 25435-2023")</f>
        <v/>
      </c>
    </row>
    <row r="617" ht="15" customHeight="1">
      <c r="A617" t="inlineStr">
        <is>
          <t>A 25563-2023</t>
        </is>
      </c>
      <c r="B617" s="1" t="n">
        <v>45089</v>
      </c>
      <c r="C617" s="1" t="n">
        <v>45205</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HYPERLINK("https://klasma.github.io/Logging_VASTERVIK/artfynd/A 25563-2023.xlsx", "A 25563-2023")</f>
        <v/>
      </c>
      <c r="T617">
        <f>HYPERLINK("https://klasma.github.io/Logging_VASTERVIK/kartor/A 25563-2023.png", "A 25563-2023")</f>
        <v/>
      </c>
      <c r="V617">
        <f>HYPERLINK("https://klasma.github.io/Logging_VASTERVIK/klagomål/A 25563-2023.docx", "A 25563-2023")</f>
        <v/>
      </c>
      <c r="W617">
        <f>HYPERLINK("https://klasma.github.io/Logging_VASTERVIK/klagomålsmail/A 25563-2023.docx", "A 25563-2023")</f>
        <v/>
      </c>
      <c r="X617">
        <f>HYPERLINK("https://klasma.github.io/Logging_VASTERVIK/tillsyn/A 25563-2023.docx", "A 25563-2023")</f>
        <v/>
      </c>
      <c r="Y617">
        <f>HYPERLINK("https://klasma.github.io/Logging_VASTERVIK/tillsynsmail/A 25563-2023.docx", "A 25563-2023")</f>
        <v/>
      </c>
    </row>
    <row r="618" ht="15" customHeight="1">
      <c r="A618" t="inlineStr">
        <is>
          <t>A 26278-2023</t>
        </is>
      </c>
      <c r="B618" s="1" t="n">
        <v>45091</v>
      </c>
      <c r="C618" s="1" t="n">
        <v>45205</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HYPERLINK("https://klasma.github.io/Logging_VASTERVIK/artfynd/A 26278-2023.xlsx", "A 26278-2023")</f>
        <v/>
      </c>
      <c r="T618">
        <f>HYPERLINK("https://klasma.github.io/Logging_VASTERVIK/kartor/A 26278-2023.png", "A 26278-2023")</f>
        <v/>
      </c>
      <c r="U618">
        <f>HYPERLINK("https://klasma.github.io/Logging_VASTERVIK/knärot/A 26278-2023.png", "A 26278-2023")</f>
        <v/>
      </c>
      <c r="V618">
        <f>HYPERLINK("https://klasma.github.io/Logging_VASTERVIK/klagomål/A 26278-2023.docx", "A 26278-2023")</f>
        <v/>
      </c>
      <c r="W618">
        <f>HYPERLINK("https://klasma.github.io/Logging_VASTERVIK/klagomålsmail/A 26278-2023.docx", "A 26278-2023")</f>
        <v/>
      </c>
      <c r="X618">
        <f>HYPERLINK("https://klasma.github.io/Logging_VASTERVIK/tillsyn/A 26278-2023.docx", "A 26278-2023")</f>
        <v/>
      </c>
      <c r="Y618">
        <f>HYPERLINK("https://klasma.github.io/Logging_VASTERVIK/tillsynsmail/A 26278-2023.docx", "A 26278-2023")</f>
        <v/>
      </c>
    </row>
    <row r="619" ht="15" customHeight="1">
      <c r="A619" t="inlineStr">
        <is>
          <t>A 26685-2023</t>
        </is>
      </c>
      <c r="B619" s="1" t="n">
        <v>45093</v>
      </c>
      <c r="C619" s="1" t="n">
        <v>45205</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HYPERLINK("https://klasma.github.io/Logging_HULTSFRED/artfynd/A 26685-2023.xlsx", "A 26685-2023")</f>
        <v/>
      </c>
      <c r="T619">
        <f>HYPERLINK("https://klasma.github.io/Logging_HULTSFRED/kartor/A 26685-2023.png", "A 26685-2023")</f>
        <v/>
      </c>
      <c r="V619">
        <f>HYPERLINK("https://klasma.github.io/Logging_HULTSFRED/klagomål/A 26685-2023.docx", "A 26685-2023")</f>
        <v/>
      </c>
      <c r="W619">
        <f>HYPERLINK("https://klasma.github.io/Logging_HULTSFRED/klagomålsmail/A 26685-2023.docx", "A 26685-2023")</f>
        <v/>
      </c>
      <c r="X619">
        <f>HYPERLINK("https://klasma.github.io/Logging_HULTSFRED/tillsyn/A 26685-2023.docx", "A 26685-2023")</f>
        <v/>
      </c>
      <c r="Y619">
        <f>HYPERLINK("https://klasma.github.io/Logging_HULTSFRED/tillsynsmail/A 26685-2023.docx", "A 26685-2023")</f>
        <v/>
      </c>
    </row>
    <row r="620" ht="15" customHeight="1">
      <c r="A620" t="inlineStr">
        <is>
          <t>A 27346-2023</t>
        </is>
      </c>
      <c r="B620" s="1" t="n">
        <v>45096</v>
      </c>
      <c r="C620" s="1" t="n">
        <v>45205</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HYPERLINK("https://klasma.github.io/Logging_NYBRO/artfynd/A 27346-2023.xlsx", "A 27346-2023")</f>
        <v/>
      </c>
      <c r="T620">
        <f>HYPERLINK("https://klasma.github.io/Logging_NYBRO/kartor/A 27346-2023.png", "A 27346-2023")</f>
        <v/>
      </c>
      <c r="V620">
        <f>HYPERLINK("https://klasma.github.io/Logging_NYBRO/klagomål/A 27346-2023.docx", "A 27346-2023")</f>
        <v/>
      </c>
      <c r="W620">
        <f>HYPERLINK("https://klasma.github.io/Logging_NYBRO/klagomålsmail/A 27346-2023.docx", "A 27346-2023")</f>
        <v/>
      </c>
      <c r="X620">
        <f>HYPERLINK("https://klasma.github.io/Logging_NYBRO/tillsyn/A 27346-2023.docx", "A 27346-2023")</f>
        <v/>
      </c>
      <c r="Y620">
        <f>HYPERLINK("https://klasma.github.io/Logging_NYBRO/tillsynsmail/A 27346-2023.docx", "A 27346-2023")</f>
        <v/>
      </c>
    </row>
    <row r="621" ht="15" customHeight="1">
      <c r="A621" t="inlineStr">
        <is>
          <t>A 27546-2023</t>
        </is>
      </c>
      <c r="B621" s="1" t="n">
        <v>45097</v>
      </c>
      <c r="C621" s="1" t="n">
        <v>45205</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HYPERLINK("https://klasma.github.io/Logging_MONSTERAS/artfynd/A 27546-2023.xlsx", "A 27546-2023")</f>
        <v/>
      </c>
      <c r="T621">
        <f>HYPERLINK("https://klasma.github.io/Logging_MONSTERAS/kartor/A 27546-2023.png", "A 27546-2023")</f>
        <v/>
      </c>
      <c r="V621">
        <f>HYPERLINK("https://klasma.github.io/Logging_MONSTERAS/klagomål/A 27546-2023.docx", "A 27546-2023")</f>
        <v/>
      </c>
      <c r="W621">
        <f>HYPERLINK("https://klasma.github.io/Logging_MONSTERAS/klagomålsmail/A 27546-2023.docx", "A 27546-2023")</f>
        <v/>
      </c>
      <c r="X621">
        <f>HYPERLINK("https://klasma.github.io/Logging_MONSTERAS/tillsyn/A 27546-2023.docx", "A 27546-2023")</f>
        <v/>
      </c>
      <c r="Y621">
        <f>HYPERLINK("https://klasma.github.io/Logging_MONSTERAS/tillsynsmail/A 27546-2023.docx", "A 27546-2023")</f>
        <v/>
      </c>
    </row>
    <row r="622" ht="15" customHeight="1">
      <c r="A622" t="inlineStr">
        <is>
          <t>A 28678-2023</t>
        </is>
      </c>
      <c r="B622" s="1" t="n">
        <v>45103</v>
      </c>
      <c r="C622" s="1" t="n">
        <v>45205</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HYPERLINK("https://klasma.github.io/Logging_NYBRO/artfynd/A 28678-2023.xlsx", "A 28678-2023")</f>
        <v/>
      </c>
      <c r="T622">
        <f>HYPERLINK("https://klasma.github.io/Logging_NYBRO/kartor/A 28678-2023.png", "A 28678-2023")</f>
        <v/>
      </c>
      <c r="V622">
        <f>HYPERLINK("https://klasma.github.io/Logging_NYBRO/klagomål/A 28678-2023.docx", "A 28678-2023")</f>
        <v/>
      </c>
      <c r="W622">
        <f>HYPERLINK("https://klasma.github.io/Logging_NYBRO/klagomålsmail/A 28678-2023.docx", "A 28678-2023")</f>
        <v/>
      </c>
      <c r="X622">
        <f>HYPERLINK("https://klasma.github.io/Logging_NYBRO/tillsyn/A 28678-2023.docx", "A 28678-2023")</f>
        <v/>
      </c>
      <c r="Y622">
        <f>HYPERLINK("https://klasma.github.io/Logging_NYBRO/tillsynsmail/A 28678-2023.docx", "A 28678-2023")</f>
        <v/>
      </c>
    </row>
    <row r="623" ht="15" customHeight="1">
      <c r="A623" t="inlineStr">
        <is>
          <t>A 28647-2023</t>
        </is>
      </c>
      <c r="B623" s="1" t="n">
        <v>45103</v>
      </c>
      <c r="C623" s="1" t="n">
        <v>45205</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HYPERLINK("https://klasma.github.io/Logging_NYBRO/artfynd/A 28647-2023.xlsx", "A 28647-2023")</f>
        <v/>
      </c>
      <c r="T623">
        <f>HYPERLINK("https://klasma.github.io/Logging_NYBRO/kartor/A 28647-2023.png", "A 28647-2023")</f>
        <v/>
      </c>
      <c r="V623">
        <f>HYPERLINK("https://klasma.github.io/Logging_NYBRO/klagomål/A 28647-2023.docx", "A 28647-2023")</f>
        <v/>
      </c>
      <c r="W623">
        <f>HYPERLINK("https://klasma.github.io/Logging_NYBRO/klagomålsmail/A 28647-2023.docx", "A 28647-2023")</f>
        <v/>
      </c>
      <c r="X623">
        <f>HYPERLINK("https://klasma.github.io/Logging_NYBRO/tillsyn/A 28647-2023.docx", "A 28647-2023")</f>
        <v/>
      </c>
      <c r="Y623">
        <f>HYPERLINK("https://klasma.github.io/Logging_NYBRO/tillsynsmail/A 28647-2023.docx", "A 28647-2023")</f>
        <v/>
      </c>
    </row>
    <row r="624" ht="15" customHeight="1">
      <c r="A624" t="inlineStr">
        <is>
          <t>A 28852-2023</t>
        </is>
      </c>
      <c r="B624" s="1" t="n">
        <v>45104</v>
      </c>
      <c r="C624" s="1" t="n">
        <v>45205</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HYPERLINK("https://klasma.github.io/Logging_VIMMERBY/artfynd/A 28852-2023.xlsx", "A 28852-2023")</f>
        <v/>
      </c>
      <c r="T624">
        <f>HYPERLINK("https://klasma.github.io/Logging_VIMMERBY/kartor/A 28852-2023.png", "A 28852-2023")</f>
        <v/>
      </c>
      <c r="V624">
        <f>HYPERLINK("https://klasma.github.io/Logging_VIMMERBY/klagomål/A 28852-2023.docx", "A 28852-2023")</f>
        <v/>
      </c>
      <c r="W624">
        <f>HYPERLINK("https://klasma.github.io/Logging_VIMMERBY/klagomålsmail/A 28852-2023.docx", "A 28852-2023")</f>
        <v/>
      </c>
      <c r="X624">
        <f>HYPERLINK("https://klasma.github.io/Logging_VIMMERBY/tillsyn/A 28852-2023.docx", "A 28852-2023")</f>
        <v/>
      </c>
      <c r="Y624">
        <f>HYPERLINK("https://klasma.github.io/Logging_VIMMERBY/tillsynsmail/A 28852-2023.docx", "A 28852-2023")</f>
        <v/>
      </c>
    </row>
    <row r="625" ht="15" customHeight="1">
      <c r="A625" t="inlineStr">
        <is>
          <t>A 30121-2023</t>
        </is>
      </c>
      <c r="B625" s="1" t="n">
        <v>45110</v>
      </c>
      <c r="C625" s="1" t="n">
        <v>45205</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HYPERLINK("https://klasma.github.io/Logging_NYBRO/artfynd/A 30121-2023.xlsx", "A 30121-2023")</f>
        <v/>
      </c>
      <c r="T625">
        <f>HYPERLINK("https://klasma.github.io/Logging_NYBRO/kartor/A 30121-2023.png", "A 30121-2023")</f>
        <v/>
      </c>
      <c r="V625">
        <f>HYPERLINK("https://klasma.github.io/Logging_NYBRO/klagomål/A 30121-2023.docx", "A 30121-2023")</f>
        <v/>
      </c>
      <c r="W625">
        <f>HYPERLINK("https://klasma.github.io/Logging_NYBRO/klagomålsmail/A 30121-2023.docx", "A 30121-2023")</f>
        <v/>
      </c>
      <c r="X625">
        <f>HYPERLINK("https://klasma.github.io/Logging_NYBRO/tillsyn/A 30121-2023.docx", "A 30121-2023")</f>
        <v/>
      </c>
      <c r="Y625">
        <f>HYPERLINK("https://klasma.github.io/Logging_NYBRO/tillsynsmail/A 30121-2023.docx", "A 30121-2023")</f>
        <v/>
      </c>
    </row>
    <row r="626" ht="15" customHeight="1">
      <c r="A626" t="inlineStr">
        <is>
          <t>A 30532-2023</t>
        </is>
      </c>
      <c r="B626" s="1" t="n">
        <v>45111</v>
      </c>
      <c r="C626" s="1" t="n">
        <v>45205</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HYPERLINK("https://klasma.github.io/Logging_NYBRO/artfynd/A 30532-2023.xlsx", "A 30532-2023")</f>
        <v/>
      </c>
      <c r="T626">
        <f>HYPERLINK("https://klasma.github.io/Logging_NYBRO/kartor/A 30532-2023.png", "A 30532-2023")</f>
        <v/>
      </c>
      <c r="V626">
        <f>HYPERLINK("https://klasma.github.io/Logging_NYBRO/klagomål/A 30532-2023.docx", "A 30532-2023")</f>
        <v/>
      </c>
      <c r="W626">
        <f>HYPERLINK("https://klasma.github.io/Logging_NYBRO/klagomålsmail/A 30532-2023.docx", "A 30532-2023")</f>
        <v/>
      </c>
      <c r="X626">
        <f>HYPERLINK("https://klasma.github.io/Logging_NYBRO/tillsyn/A 30532-2023.docx", "A 30532-2023")</f>
        <v/>
      </c>
      <c r="Y626">
        <f>HYPERLINK("https://klasma.github.io/Logging_NYBRO/tillsynsmail/A 30532-2023.docx", "A 30532-2023")</f>
        <v/>
      </c>
    </row>
    <row r="627" ht="15" customHeight="1">
      <c r="A627" t="inlineStr">
        <is>
          <t>A 32653-2023</t>
        </is>
      </c>
      <c r="B627" s="1" t="n">
        <v>45121</v>
      </c>
      <c r="C627" s="1" t="n">
        <v>45205</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HYPERLINK("https://klasma.github.io/Logging_VASTERVIK/artfynd/A 32653-2023.xlsx", "A 32653-2023")</f>
        <v/>
      </c>
      <c r="T627">
        <f>HYPERLINK("https://klasma.github.io/Logging_VASTERVIK/kartor/A 32653-2023.png", "A 32653-2023")</f>
        <v/>
      </c>
      <c r="U627">
        <f>HYPERLINK("https://klasma.github.io/Logging_VASTERVIK/knärot/A 32653-2023.png", "A 32653-2023")</f>
        <v/>
      </c>
      <c r="V627">
        <f>HYPERLINK("https://klasma.github.io/Logging_VASTERVIK/klagomål/A 32653-2023.docx", "A 32653-2023")</f>
        <v/>
      </c>
      <c r="W627">
        <f>HYPERLINK("https://klasma.github.io/Logging_VASTERVIK/klagomålsmail/A 32653-2023.docx", "A 32653-2023")</f>
        <v/>
      </c>
      <c r="X627">
        <f>HYPERLINK("https://klasma.github.io/Logging_VASTERVIK/tillsyn/A 32653-2023.docx", "A 32653-2023")</f>
        <v/>
      </c>
      <c r="Y627">
        <f>HYPERLINK("https://klasma.github.io/Logging_VASTERVIK/tillsynsmail/A 32653-2023.docx", "A 32653-2023")</f>
        <v/>
      </c>
    </row>
    <row r="628" ht="15" customHeight="1">
      <c r="A628" t="inlineStr">
        <is>
          <t>A 32985-2023</t>
        </is>
      </c>
      <c r="B628" s="1" t="n">
        <v>45125</v>
      </c>
      <c r="C628" s="1" t="n">
        <v>45205</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HYPERLINK("https://klasma.github.io/Logging_VIMMERBY/artfynd/A 32985-2023.xlsx", "A 32985-2023")</f>
        <v/>
      </c>
      <c r="T628">
        <f>HYPERLINK("https://klasma.github.io/Logging_VIMMERBY/kartor/A 32985-2023.png", "A 32985-2023")</f>
        <v/>
      </c>
      <c r="V628">
        <f>HYPERLINK("https://klasma.github.io/Logging_VIMMERBY/klagomål/A 32985-2023.docx", "A 32985-2023")</f>
        <v/>
      </c>
      <c r="W628">
        <f>HYPERLINK("https://klasma.github.io/Logging_VIMMERBY/klagomålsmail/A 32985-2023.docx", "A 32985-2023")</f>
        <v/>
      </c>
      <c r="X628">
        <f>HYPERLINK("https://klasma.github.io/Logging_VIMMERBY/tillsyn/A 32985-2023.docx", "A 32985-2023")</f>
        <v/>
      </c>
      <c r="Y628">
        <f>HYPERLINK("https://klasma.github.io/Logging_VIMMERBY/tillsynsmail/A 32985-2023.docx", "A 32985-2023")</f>
        <v/>
      </c>
    </row>
    <row r="629" ht="15" customHeight="1">
      <c r="A629" t="inlineStr">
        <is>
          <t>A 39745-2023</t>
        </is>
      </c>
      <c r="B629" s="1" t="n">
        <v>45167</v>
      </c>
      <c r="C629" s="1" t="n">
        <v>45205</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HYPERLINK("https://klasma.github.io/Logging_KALMAR/artfynd/A 39745-2023.xlsx", "A 39745-2023")</f>
        <v/>
      </c>
      <c r="T629">
        <f>HYPERLINK("https://klasma.github.io/Logging_KALMAR/kartor/A 39745-2023.png", "A 39745-2023")</f>
        <v/>
      </c>
      <c r="V629">
        <f>HYPERLINK("https://klasma.github.io/Logging_KALMAR/klagomål/A 39745-2023.docx", "A 39745-2023")</f>
        <v/>
      </c>
      <c r="W629">
        <f>HYPERLINK("https://klasma.github.io/Logging_KALMAR/klagomålsmail/A 39745-2023.docx", "A 39745-2023")</f>
        <v/>
      </c>
      <c r="X629">
        <f>HYPERLINK("https://klasma.github.io/Logging_KALMAR/tillsyn/A 39745-2023.docx", "A 39745-2023")</f>
        <v/>
      </c>
      <c r="Y629">
        <f>HYPERLINK("https://klasma.github.io/Logging_KALMAR/tillsynsmail/A 39745-2023.docx", "A 39745-2023")</f>
        <v/>
      </c>
    </row>
    <row r="630" ht="15" customHeight="1">
      <c r="A630" t="inlineStr">
        <is>
          <t>A 34043-2018</t>
        </is>
      </c>
      <c r="B630" s="1" t="n">
        <v>43315</v>
      </c>
      <c r="C630" s="1" t="n">
        <v>45205</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45205</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HYPERLINK("https://klasma.github.io/Logging_KALMAR/knärot/A 34030-2018.png", "A 34030-2018")</f>
        <v/>
      </c>
      <c r="V631">
        <f>HYPERLINK("https://klasma.github.io/Logging_KALMAR/klagomål/A 34030-2018.docx", "A 34030-2018")</f>
        <v/>
      </c>
      <c r="W631">
        <f>HYPERLINK("https://klasma.github.io/Logging_KALMAR/klagomålsmail/A 34030-2018.docx", "A 34030-2018")</f>
        <v/>
      </c>
      <c r="X631">
        <f>HYPERLINK("https://klasma.github.io/Logging_KALMAR/tillsyn/A 34030-2018.docx", "A 34030-2018")</f>
        <v/>
      </c>
      <c r="Y631">
        <f>HYPERLINK("https://klasma.github.io/Logging_KALMAR/tillsynsmail/A 34030-2018.docx", "A 34030-2018")</f>
        <v/>
      </c>
    </row>
    <row r="632" ht="15" customHeight="1">
      <c r="A632" t="inlineStr">
        <is>
          <t>A 34783-2018</t>
        </is>
      </c>
      <c r="B632" s="1" t="n">
        <v>43321</v>
      </c>
      <c r="C632" s="1" t="n">
        <v>45205</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45205</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45205</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45205</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45205</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45205</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45205</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45205</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45205</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45205</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45205</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45205</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45205</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45205</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45205</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45205</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45205</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45205</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45205</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45205</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45205</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45205</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45205</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45205</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45205</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45205</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45205</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45205</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45205</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45205</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45205</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45205</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45205</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45205</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45205</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45205</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45205</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45205</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45205</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45205</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45205</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45205</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45205</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45205</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45205</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45205</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45205</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45205</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45205</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45205</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45205</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45205</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45205</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45205</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45205</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45205</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45205</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45205</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45205</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45205</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45205</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45205</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45205</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45205</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45205</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45205</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45205</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45205</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45205</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45205</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45205</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45205</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45205</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45205</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45205</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45205</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45205</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45205</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45205</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45205</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45205</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45205</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45205</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HYPERLINK("https://klasma.github.io/Logging_VASTERVIK/knärot/A 37566-2018.png", "A 37566-2018")</f>
        <v/>
      </c>
      <c r="V714">
        <f>HYPERLINK("https://klasma.github.io/Logging_VASTERVIK/klagomål/A 37566-2018.docx", "A 37566-2018")</f>
        <v/>
      </c>
      <c r="W714">
        <f>HYPERLINK("https://klasma.github.io/Logging_VASTERVIK/klagomålsmail/A 37566-2018.docx", "A 37566-2018")</f>
        <v/>
      </c>
      <c r="X714">
        <f>HYPERLINK("https://klasma.github.io/Logging_VASTERVIK/tillsyn/A 37566-2018.docx", "A 37566-2018")</f>
        <v/>
      </c>
      <c r="Y714">
        <f>HYPERLINK("https://klasma.github.io/Logging_VASTERVIK/tillsynsmail/A 37566-2018.docx", "A 37566-2018")</f>
        <v/>
      </c>
    </row>
    <row r="715" ht="15" customHeight="1">
      <c r="A715" t="inlineStr">
        <is>
          <t>A 37595-2018</t>
        </is>
      </c>
      <c r="B715" s="1" t="n">
        <v>43334</v>
      </c>
      <c r="C715" s="1" t="n">
        <v>45205</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45205</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45205</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45205</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45205</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45205</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45205</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45205</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45205</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45205</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45205</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45205</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45205</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45205</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45205</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45205</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45205</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45205</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45205</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45205</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45205</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45205</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45205</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45205</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45205</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45205</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45205</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45205</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45205</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45205</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45205</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45205</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45205</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45205</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45205</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45205</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45205</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45205</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45205</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45205</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45205</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45205</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45205</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45205</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45205</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45205</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45205</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45205</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45205</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45205</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45205</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45205</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45205</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45205</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45205</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45205</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45205</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45205</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45205</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45205</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45205</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45205</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45205</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45205</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45205</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45205</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45205</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45205</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45205</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45205</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45205</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45205</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45205</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45205</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45205</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45205</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45205</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45205</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45205</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45205</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45205</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45205</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45205</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45205</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45205</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45205</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45205</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45205</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45205</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45205</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45205</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45205</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45205</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45205</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45205</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45205</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45205</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45205</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45205</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45205</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45205</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45205</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45205</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45205</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45205</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45205</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45205</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45205</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45205</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45205</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45205</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45205</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45205</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45205</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45205</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45205</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45205</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45205</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45205</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45205</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45205</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45205</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45205</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45205</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45205</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45205</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45205</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45205</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45205</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45205</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45205</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45205</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45205</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45205</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45205</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45205</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45205</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45205</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45205</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45205</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45205</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45205</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45205</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45205</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45205</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45205</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45205</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45205</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45205</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45205</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45205</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45205</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45205</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45205</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45205</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45205</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45205</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45205</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45205</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45205</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45205</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45205</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45205</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45205</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45205</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45205</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45205</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45205</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45205</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45205</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45205</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45205</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45205</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45205</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45205</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45205</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45205</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45205</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45205</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45205</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45205</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45205</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45205</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45205</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45205</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45205</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45205</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45205</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45205</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45205</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45205</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45205</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45205</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45205</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45205</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45205</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45205</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45205</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45205</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45205</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45205</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45205</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45205</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45205</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45205</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45205</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45205</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45205</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45205</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45205</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45205</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45205</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45205</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45205</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45205</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45205</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45205</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45205</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45205</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45205</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45205</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45205</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45205</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45205</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45205</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45205</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45205</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45205</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45205</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45205</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45205</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45205</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45205</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45205</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45205</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45205</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45205</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45205</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45205</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45205</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45205</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45205</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45205</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45205</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45205</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45205</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45205</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45205</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45205</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45205</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45205</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45205</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45205</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45205</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45205</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45205</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45205</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45205</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45205</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45205</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45205</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45205</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45205</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45205</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45205</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45205</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45205</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45205</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45205</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45205</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45205</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45205</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45205</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45205</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45205</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45205</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45205</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45205</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45205</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45205</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45205</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45205</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45205</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45205</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45205</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45205</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45205</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45205</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45205</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45205</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45205</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45205</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45205</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45205</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45205</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45205</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45205</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45205</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45205</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45205</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45205</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45205</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45205</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45205</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45205</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45205</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45205</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45205</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45205</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45205</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45205</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45205</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45205</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45205</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45205</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45205</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45205</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45205</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45205</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45205</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45205</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45205</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45205</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45205</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45205</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45205</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45205</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45205</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45205</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45205</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45205</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45205</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45205</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45205</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45205</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45205</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45205</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45205</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45205</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45205</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45205</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45205</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45205</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45205</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45205</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45205</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45205</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45205</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45205</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45205</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45205</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45205</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45205</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45205</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45205</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45205</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45205</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45205</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45205</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45205</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45205</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45205</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45205</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45205</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45205</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45205</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45205</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45205</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45205</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45205</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45205</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45205</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45205</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45205</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45205</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45205</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45205</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45205</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45205</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45205</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45205</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45205</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45205</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45205</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45205</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45205</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45205</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45205</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45205</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45205</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45205</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45205</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45205</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45205</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45205</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45205</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45205</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45205</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45205</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45205</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45205</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45205</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45205</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45205</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45205</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45205</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45205</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45205</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45205</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45205</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45205</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45205</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45205</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45205</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45205</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45205</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45205</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45205</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45205</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45205</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45205</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45205</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45205</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45205</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45205</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45205</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45205</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45205</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45205</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45205</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45205</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45205</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45205</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45205</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45205</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45205</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45205</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45205</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45205</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45205</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45205</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45205</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45205</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45205</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45205</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45205</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45205</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45205</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45205</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45205</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45205</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45205</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45205</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45205</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45205</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45205</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45205</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45205</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45205</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45205</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45205</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45205</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45205</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45205</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45205</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45205</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45205</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45205</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45205</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45205</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45205</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45205</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45205</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45205</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45205</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45205</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45205</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45205</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45205</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45205</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45205</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45205</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45205</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45205</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45205</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45205</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45205</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45205</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45205</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45205</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45205</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45205</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45205</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45205</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45205</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45205</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45205</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45205</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HYPERLINK("https://klasma.github.io/Logging_HOGSBY/knärot/A 2525-2019.png", "A 2525-2019")</f>
        <v/>
      </c>
      <c r="V1212">
        <f>HYPERLINK("https://klasma.github.io/Logging_HOGSBY/klagomål/A 2525-2019.docx", "A 2525-2019")</f>
        <v/>
      </c>
      <c r="W1212">
        <f>HYPERLINK("https://klasma.github.io/Logging_HOGSBY/klagomålsmail/A 2525-2019.docx", "A 2525-2019")</f>
        <v/>
      </c>
      <c r="X1212">
        <f>HYPERLINK("https://klasma.github.io/Logging_HOGSBY/tillsyn/A 2525-2019.docx", "A 2525-2019")</f>
        <v/>
      </c>
      <c r="Y1212">
        <f>HYPERLINK("https://klasma.github.io/Logging_HOGSBY/tillsynsmail/A 2525-2019.docx", "A 2525-2019")</f>
        <v/>
      </c>
    </row>
    <row r="1213" ht="15" customHeight="1">
      <c r="A1213" t="inlineStr">
        <is>
          <t>A 437-2019</t>
        </is>
      </c>
      <c r="B1213" s="1" t="n">
        <v>43468</v>
      </c>
      <c r="C1213" s="1" t="n">
        <v>45205</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45205</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45205</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45205</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45205</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45205</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45205</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45205</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45205</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45205</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45205</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45205</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45205</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45205</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45205</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45205</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45205</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45205</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45205</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45205</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45205</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45205</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45205</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45205</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45205</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45205</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45205</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45205</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45205</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45205</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45205</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45205</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45205</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45205</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45205</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45205</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45205</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45205</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45205</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45205</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45205</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45205</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45205</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45205</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45205</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45205</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45205</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45205</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45205</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45205</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45205</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45205</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45205</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45205</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45205</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45205</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45205</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45205</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45205</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45205</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45205</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45205</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45205</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45205</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45205</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45205</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45205</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45205</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45205</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45205</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45205</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45205</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45205</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45205</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45205</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45205</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45205</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45205</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45205</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45205</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45205</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45205</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45205</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45205</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45205</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45205</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45205</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45205</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45205</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45205</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45205</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45205</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45205</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45205</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45205</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45205</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45205</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45205</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45205</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45205</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45205</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45205</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45205</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45205</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45205</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45205</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45205</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45205</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45205</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45205</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45205</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45205</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45205</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45205</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45205</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45205</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45205</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45205</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45205</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45205</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45205</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45205</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45205</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45205</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45205</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45205</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45205</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45205</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45205</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45205</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45205</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45205</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45205</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45205</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45205</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45205</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45205</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45205</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45205</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45205</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45205</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45205</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45205</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45205</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45205</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45205</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45205</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45205</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45205</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45205</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45205</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45205</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45205</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45205</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45205</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45205</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45205</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45205</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45205</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45205</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45205</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45205</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45205</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45205</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45205</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45205</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45205</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45205</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45205</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45205</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45205</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45205</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45205</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45205</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45205</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45205</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45205</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45205</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45205</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45205</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45205</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45205</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45205</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45205</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45205</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45205</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45205</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45205</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45205</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45205</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45205</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45205</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45205</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45205</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45205</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45205</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45205</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45205</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45205</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45205</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45205</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45205</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45205</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45205</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45205</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45205</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45205</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45205</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45205</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45205</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45205</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45205</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45205</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45205</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45205</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45205</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45205</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45205</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45205</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45205</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45205</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45205</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45205</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45205</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45205</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45205</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45205</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45205</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45205</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45205</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45205</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45205</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45205</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45205</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45205</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45205</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45205</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45205</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45205</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45205</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45205</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45205</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45205</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45205</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45205</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45205</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45205</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45205</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45205</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45205</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45205</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45205</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45205</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45205</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45205</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45205</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45205</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45205</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45205</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45205</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45205</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45205</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45205</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45205</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45205</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45205</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45205</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45205</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45205</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45205</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45205</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45205</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45205</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45205</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45205</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45205</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45205</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45205</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45205</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45205</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45205</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45205</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45205</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45205</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45205</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45205</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45205</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45205</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45205</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45205</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45205</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45205</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45205</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45205</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45205</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45205</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45205</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45205</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45205</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45205</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45205</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45205</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45205</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45205</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45205</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45205</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45205</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45205</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45205</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45205</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45205</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45205</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45205</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45205</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45205</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45205</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45205</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45205</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45205</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45205</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45205</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45205</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45205</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45205</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45205</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45205</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45205</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45205</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45205</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45205</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45205</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45205</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45205</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45205</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45205</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45205</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45205</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45205</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45205</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45205</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45205</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45205</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45205</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45205</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45205</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45205</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45205</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45205</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45205</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45205</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45205</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45205</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45205</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45205</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45205</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45205</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45205</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45205</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45205</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45205</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45205</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45205</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45205</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45205</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45205</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45205</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45205</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45205</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45205</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45205</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45205</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45205</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45205</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45205</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45205</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45205</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45205</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45205</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45205</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45205</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45205</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45205</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45205</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45205</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45205</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45205</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45205</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45205</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45205</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45205</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45205</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45205</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45205</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45205</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45205</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45205</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45205</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45205</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45205</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45205</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45205</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45205</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45205</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45205</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45205</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45205</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45205</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45205</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45205</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45205</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45205</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45205</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45205</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45205</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45205</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45205</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45205</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45205</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45205</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45205</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45205</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45205</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45205</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45205</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45205</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45205</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45205</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45205</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45205</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45205</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45205</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45205</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45205</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45205</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45205</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45205</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45205</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45205</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45205</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45205</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45205</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45205</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45205</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45205</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45205</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45205</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45205</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45205</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45205</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45205</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45205</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45205</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45205</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45205</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45205</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45205</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45205</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45205</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45205</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45205</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45205</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45205</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45205</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45205</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45205</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45205</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45205</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45205</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45205</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45205</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45205</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45205</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45205</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45205</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45205</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45205</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45205</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45205</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45205</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45205</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45205</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45205</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45205</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45205</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45205</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45205</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45205</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45205</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45205</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45205</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45205</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45205</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45205</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45205</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45205</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45205</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45205</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45205</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45205</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45205</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45205</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45205</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45205</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45205</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45205</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45205</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45205</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45205</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45205</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45205</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45205</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45205</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45205</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45205</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45205</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45205</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45205</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45205</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45205</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45205</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45205</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45205</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45205</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45205</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45205</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45205</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45205</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45205</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45205</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45205</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45205</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45205</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45205</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45205</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45205</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45205</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45205</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45205</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45205</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45205</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45205</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45205</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45205</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45205</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45205</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45205</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45205</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45205</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45205</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45205</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45205</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45205</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45205</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45205</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45205</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45205</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45205</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45205</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45205</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45205</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45205</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45205</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45205</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45205</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45205</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45205</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45205</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45205</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45205</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45205</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45205</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45205</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45205</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45205</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45205</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45205</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45205</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45205</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45205</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45205</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45205</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45205</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45205</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45205</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45205</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45205</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45205</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45205</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45205</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45205</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45205</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45205</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45205</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45205</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45205</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45205</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45205</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45205</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45205</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45205</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45205</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45205</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45205</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45205</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45205</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45205</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45205</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45205</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45205</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45205</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45205</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45205</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45205</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45205</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45205</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45205</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45205</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45205</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45205</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45205</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45205</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45205</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45205</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45205</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45205</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45205</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45205</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45205</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45205</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45205</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45205</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45205</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45205</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45205</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45205</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45205</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45205</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45205</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45205</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45205</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45205</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45205</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45205</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45205</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45205</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45205</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45205</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45205</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45205</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45205</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45205</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45205</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45205</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45205</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45205</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45205</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45205</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45205</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45205</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45205</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45205</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45205</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45205</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45205</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45205</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45205</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45205</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45205</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45205</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45205</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45205</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45205</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45205</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45205</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45205</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45205</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45205</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45205</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45205</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45205</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45205</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45205</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45205</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45205</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45205</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45205</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45205</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45205</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45205</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45205</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45205</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45205</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45205</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45205</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45205</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45205</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45205</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45205</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45205</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45205</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45205</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45205</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45205</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45205</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45205</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45205</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45205</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45205</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45205</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45205</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45205</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45205</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45205</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45205</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45205</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45205</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45205</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45205</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45205</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45205</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45205</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45205</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45205</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45205</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45205</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45205</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45205</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45205</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45205</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45205</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45205</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45205</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45205</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45205</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45205</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45205</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45205</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45205</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45205</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45205</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45205</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45205</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45205</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45205</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45205</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45205</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45205</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45205</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45205</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45205</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45205</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45205</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45205</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45205</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45205</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45205</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45205</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45205</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45205</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45205</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45205</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45205</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45205</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45205</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45205</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45205</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45205</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45205</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45205</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45205</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45205</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45205</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45205</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45205</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45205</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45205</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45205</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45205</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45205</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45205</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45205</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45205</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45205</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45205</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45205</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45205</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45205</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45205</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45205</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45205</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45205</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45205</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45205</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45205</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45205</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45205</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45205</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45205</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45205</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45205</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45205</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45205</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45205</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45205</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45205</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45205</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45205</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45205</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45205</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45205</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45205</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45205</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45205</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45205</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45205</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45205</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45205</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45205</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45205</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45205</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45205</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45205</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45205</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45205</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45205</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45205</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45205</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45205</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45205</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45205</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45205</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45205</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45205</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45205</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45205</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45205</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45205</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45205</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45205</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45205</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45205</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45205</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45205</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45205</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45205</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45205</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45205</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45205</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45205</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45205</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45205</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45205</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45205</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45205</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45205</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45205</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45205</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45205</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45205</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45205</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45205</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45205</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45205</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45205</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45205</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45205</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45205</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45205</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45205</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45205</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45205</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45205</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45205</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45205</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45205</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45205</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45205</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45205</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45205</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45205</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45205</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45205</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45205</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45205</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45205</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45205</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45205</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45205</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45205</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45205</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45205</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45205</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45205</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45205</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45205</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45205</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45205</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45205</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45205</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45205</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45205</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45205</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45205</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45205</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45205</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45205</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45205</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45205</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45205</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45205</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45205</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45205</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45205</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45205</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45205</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45205</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45205</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45205</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45205</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45205</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45205</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45205</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45205</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45205</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45205</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45205</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45205</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45205</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45205</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45205</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45205</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45205</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45205</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45205</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45205</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45205</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45205</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45205</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45205</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45205</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45205</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45205</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45205</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45205</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45205</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45205</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45205</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45205</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45205</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45205</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45205</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45205</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45205</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45205</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45205</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45205</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45205</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45205</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45205</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45205</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45205</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45205</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45205</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45205</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45205</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45205</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45205</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45205</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45205</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45205</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45205</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45205</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45205</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45205</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45205</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45205</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45205</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45205</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45205</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45205</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45205</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45205</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45205</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45205</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45205</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45205</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45205</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45205</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45205</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45205</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45205</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45205</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45205</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45205</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45205</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45205</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45205</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45205</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45205</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45205</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45205</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45205</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45205</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45205</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45205</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45205</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45205</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45205</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45205</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45205</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45205</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45205</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45205</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45205</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45205</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45205</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45205</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45205</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45205</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45205</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45205</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45205</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45205</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45205</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45205</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45205</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45205</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45205</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45205</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45205</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45205</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45205</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45205</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45205</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45205</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45205</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45205</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45205</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45205</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45205</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45205</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45205</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45205</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45205</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45205</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45205</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45205</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45205</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45205</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45205</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45205</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45205</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45205</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45205</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45205</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45205</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45205</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45205</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45205</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45205</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45205</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45205</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45205</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45205</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45205</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45205</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45205</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45205</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45205</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45205</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45205</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45205</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45205</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45205</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45205</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45205</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45205</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45205</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45205</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45205</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45205</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45205</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45205</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45205</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45205</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45205</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45205</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45205</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45205</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45205</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45205</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45205</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45205</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45205</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45205</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45205</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45205</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45205</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45205</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45205</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45205</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45205</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45205</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45205</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45205</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45205</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45205</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45205</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45205</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45205</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45205</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45205</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45205</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45205</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45205</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45205</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45205</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45205</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45205</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45205</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45205</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45205</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45205</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45205</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45205</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45205</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45205</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45205</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45205</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45205</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45205</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45205</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45205</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45205</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45205</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45205</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45205</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45205</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45205</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45205</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45205</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45205</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45205</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45205</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45205</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45205</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45205</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45205</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45205</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45205</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45205</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45205</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45205</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45205</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45205</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45205</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45205</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45205</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45205</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45205</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45205</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45205</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45205</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45205</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45205</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45205</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45205</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45205</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45205</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45205</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45205</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45205</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45205</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45205</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45205</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45205</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45205</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45205</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45205</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45205</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45205</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45205</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45205</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45205</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45205</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45205</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45205</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45205</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45205</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45205</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45205</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45205</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45205</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45205</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45205</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45205</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45205</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45205</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45205</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45205</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45205</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45205</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45205</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45205</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45205</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45205</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45205</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45205</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45205</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45205</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45205</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45205</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45205</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45205</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45205</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45205</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45205</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45205</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45205</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45205</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45205</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45205</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45205</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45205</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45205</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45205</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45205</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45205</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45205</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45205</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45205</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45205</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45205</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45205</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45205</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45205</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45205</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45205</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45205</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45205</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45205</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45205</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45205</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45205</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45205</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45205</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45205</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45205</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45205</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45205</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45205</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45205</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45205</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45205</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45205</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45205</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45205</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45205</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45205</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45205</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45205</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45205</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45205</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45205</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45205</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45205</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45205</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45205</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45205</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45205</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45205</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45205</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45205</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45205</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45205</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45205</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45205</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45205</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45205</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45205</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45205</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45205</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45205</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45205</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45205</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45205</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45205</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45205</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45205</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45205</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45205</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45205</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45205</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45205</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45205</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45205</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45205</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45205</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45205</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45205</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45205</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45205</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45205</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45205</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45205</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45205</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45205</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45205</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45205</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45205</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45205</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45205</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45205</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45205</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45205</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45205</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45205</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45205</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45205</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45205</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45205</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45205</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45205</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45205</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45205</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45205</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45205</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45205</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45205</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45205</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45205</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45205</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45205</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45205</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45205</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45205</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45205</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45205</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45205</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45205</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45205</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45205</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45205</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45205</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45205</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45205</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45205</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45205</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45205</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45205</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45205</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45205</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HYPERLINK("https://klasma.github.io/Logging_KALMAR/knärot/A 44761-2019.png", "A 44761-2019")</f>
        <v/>
      </c>
      <c r="V2564">
        <f>HYPERLINK("https://klasma.github.io/Logging_KALMAR/klagomål/A 44761-2019.docx", "A 44761-2019")</f>
        <v/>
      </c>
      <c r="W2564">
        <f>HYPERLINK("https://klasma.github.io/Logging_KALMAR/klagomålsmail/A 44761-2019.docx", "A 44761-2019")</f>
        <v/>
      </c>
      <c r="X2564">
        <f>HYPERLINK("https://klasma.github.io/Logging_KALMAR/tillsyn/A 44761-2019.docx", "A 44761-2019")</f>
        <v/>
      </c>
      <c r="Y2564">
        <f>HYPERLINK("https://klasma.github.io/Logging_KALMAR/tillsynsmail/A 44761-2019.docx", "A 44761-2019")</f>
        <v/>
      </c>
    </row>
    <row r="2565" ht="15" customHeight="1">
      <c r="A2565" t="inlineStr">
        <is>
          <t>A 46173-2019</t>
        </is>
      </c>
      <c r="B2565" s="1" t="n">
        <v>43712</v>
      </c>
      <c r="C2565" s="1" t="n">
        <v>45205</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45205</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45205</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45205</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45205</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45205</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45205</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45205</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45205</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45205</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45205</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45205</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45205</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45205</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45205</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45205</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45205</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45205</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45205</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45205</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45205</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45205</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45205</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45205</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45205</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45205</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45205</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45205</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45205</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45205</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45205</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45205</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45205</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45205</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45205</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45205</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45205</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45205</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45205</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45205</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45205</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45205</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45205</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45205</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45205</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45205</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45205</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45205</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45205</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45205</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45205</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45205</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45205</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45205</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45205</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45205</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45205</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45205</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45205</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45205</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45205</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45205</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45205</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45205</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45205</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45205</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45205</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45205</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45205</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45205</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45205</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45205</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45205</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45205</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45205</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45205</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45205</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45205</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45205</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45205</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45205</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45205</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45205</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45205</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45205</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45205</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45205</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45205</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45205</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45205</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45205</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45205</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45205</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45205</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45205</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45205</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45205</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45205</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45205</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45205</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45205</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45205</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45205</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45205</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45205</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45205</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45205</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45205</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45205</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45205</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45205</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45205</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45205</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45205</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45205</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45205</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45205</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45205</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45205</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45205</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45205</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45205</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45205</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45205</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45205</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45205</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45205</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45205</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45205</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45205</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45205</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45205</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45205</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45205</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45205</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45205</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45205</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45205</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45205</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45205</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45205</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45205</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45205</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45205</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45205</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45205</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45205</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45205</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45205</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45205</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45205</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45205</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45205</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45205</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45205</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45205</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45205</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45205</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45205</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45205</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45205</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45205</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45205</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45205</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45205</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45205</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45205</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45205</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45205</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45205</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45205</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45205</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45205</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45205</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45205</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45205</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45205</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45205</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45205</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45205</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45205</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45205</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45205</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45205</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45205</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45205</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45205</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45205</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45205</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45205</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45205</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45205</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45205</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45205</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45205</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45205</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45205</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45205</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45205</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45205</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45205</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45205</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45205</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45205</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45205</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45205</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45205</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45205</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45205</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45205</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45205</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45205</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45205</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45205</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45205</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45205</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45205</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45205</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45205</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45205</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45205</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45205</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45205</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45205</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45205</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45205</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45205</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45205</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45205</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45205</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45205</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45205</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45205</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45205</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45205</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45205</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45205</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45205</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45205</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45205</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45205</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45205</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45205</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45205</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45205</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45205</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45205</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45205</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45205</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45205</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45205</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45205</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45205</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45205</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45205</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45205</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45205</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45205</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45205</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45205</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45205</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45205</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45205</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45205</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45205</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45205</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45205</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45205</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45205</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45205</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45205</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45205</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45205</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45205</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45205</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45205</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45205</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45205</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45205</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45205</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45205</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45205</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45205</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45205</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45205</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45205</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45205</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45205</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45205</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45205</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45205</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45205</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45205</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45205</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45205</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45205</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45205</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45205</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45205</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45205</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45205</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45205</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45205</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45205</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45205</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45205</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45205</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45205</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45205</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45205</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45205</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45205</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45205</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45205</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45205</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45205</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45205</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45205</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45205</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45205</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45205</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45205</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45205</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45205</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45205</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45205</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45205</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45205</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45205</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45205</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45205</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45205</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45205</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45205</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45205</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45205</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45205</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45205</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45205</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45205</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45205</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45205</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45205</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45205</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45205</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45205</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45205</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45205</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45205</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45205</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45205</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45205</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45205</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45205</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45205</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45205</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45205</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45205</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45205</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45205</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45205</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45205</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45205</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45205</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45205</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45205</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45205</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45205</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45205</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45205</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45205</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45205</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45205</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45205</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45205</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45205</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45205</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45205</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45205</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45205</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45205</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45205</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45205</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45205</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45205</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45205</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45205</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45205</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45205</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45205</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45205</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45205</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45205</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45205</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45205</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45205</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45205</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45205</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45205</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45205</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45205</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45205</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45205</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45205</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45205</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45205</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45205</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45205</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45205</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45205</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45205</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45205</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45205</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45205</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45205</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45205</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45205</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45205</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45205</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45205</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45205</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45205</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45205</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45205</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45205</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45205</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45205</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45205</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45205</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45205</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45205</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45205</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45205</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45205</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45205</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45205</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45205</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45205</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45205</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45205</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45205</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45205</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45205</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45205</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45205</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45205</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45205</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45205</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45205</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45205</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45205</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45205</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45205</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45205</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45205</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45205</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45205</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45205</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45205</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45205</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45205</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45205</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45205</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45205</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45205</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45205</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45205</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45205</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45205</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45205</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45205</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45205</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45205</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45205</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45205</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45205</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45205</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45205</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45205</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45205</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45205</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45205</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45205</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45205</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45205</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45205</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45205</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45205</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45205</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45205</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45205</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45205</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45205</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45205</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45205</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45205</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45205</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45205</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45205</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45205</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45205</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45205</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45205</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45205</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45205</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HYPERLINK("https://klasma.github.io/Logging_VASTERVIK/knärot/A 66743-2019.png", "A 66743-2019")</f>
        <v/>
      </c>
      <c r="V3069">
        <f>HYPERLINK("https://klasma.github.io/Logging_VASTERVIK/klagomål/A 66743-2019.docx", "A 66743-2019")</f>
        <v/>
      </c>
      <c r="W3069">
        <f>HYPERLINK("https://klasma.github.io/Logging_VASTERVIK/klagomålsmail/A 66743-2019.docx", "A 66743-2019")</f>
        <v/>
      </c>
      <c r="X3069">
        <f>HYPERLINK("https://klasma.github.io/Logging_VASTERVIK/tillsyn/A 66743-2019.docx", "A 66743-2019")</f>
        <v/>
      </c>
      <c r="Y3069">
        <f>HYPERLINK("https://klasma.github.io/Logging_VASTERVIK/tillsynsmail/A 66743-2019.docx", "A 66743-2019")</f>
        <v/>
      </c>
    </row>
    <row r="3070" ht="15" customHeight="1">
      <c r="A3070" t="inlineStr">
        <is>
          <t>A 65756-2019</t>
        </is>
      </c>
      <c r="B3070" s="1" t="n">
        <v>43804</v>
      </c>
      <c r="C3070" s="1" t="n">
        <v>45205</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45205</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45205</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45205</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45205</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45205</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45205</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45205</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45205</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45205</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45205</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45205</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45205</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45205</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45205</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45205</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45205</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45205</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45205</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45205</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45205</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45205</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45205</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45205</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45205</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45205</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45205</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45205</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45205</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45205</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45205</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45205</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45205</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45205</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45205</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45205</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45205</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45205</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45205</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45205</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45205</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45205</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45205</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45205</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45205</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45205</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45205</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45205</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45205</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45205</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45205</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45205</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45205</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45205</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45205</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45205</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45205</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45205</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45205</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45205</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45205</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45205</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45205</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45205</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45205</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45205</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45205</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45205</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45205</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45205</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45205</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45205</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45205</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45205</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45205</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45205</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45205</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45205</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45205</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45205</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45205</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45205</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45205</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45205</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45205</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45205</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45205</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45205</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45205</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45205</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45205</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45205</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45205</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45205</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45205</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45205</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45205</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45205</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45205</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45205</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45205</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45205</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45205</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45205</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45205</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45205</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45205</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45205</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45205</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45205</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45205</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45205</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45205</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45205</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45205</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45205</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45205</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45205</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45205</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45205</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45205</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45205</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45205</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45205</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45205</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45205</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45205</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45205</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45205</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45205</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45205</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45205</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45205</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45205</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45205</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45205</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45205</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45205</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45205</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45205</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45205</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45205</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45205</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45205</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45205</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45205</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45205</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45205</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45205</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45205</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45205</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45205</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45205</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45205</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45205</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45205</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45205</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45205</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45205</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45205</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45205</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45205</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45205</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45205</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45205</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45205</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45205</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45205</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45205</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45205</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45205</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45205</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45205</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45205</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45205</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45205</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45205</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45205</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45205</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45205</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45205</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45205</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45205</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45205</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45205</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45205</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45205</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45205</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45205</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45205</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45205</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45205</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45205</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45205</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45205</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45205</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45205</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45205</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45205</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45205</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45205</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45205</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45205</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45205</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45205</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45205</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45205</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45205</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45205</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45205</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45205</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45205</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45205</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45205</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45205</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45205</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45205</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45205</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45205</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45205</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45205</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45205</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45205</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45205</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45205</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45205</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45205</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45205</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45205</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45205</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45205</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45205</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45205</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45205</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45205</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45205</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45205</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45205</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45205</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45205</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45205</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45205</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45205</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45205</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45205</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45205</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45205</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45205</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45205</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45205</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45205</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45205</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45205</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45205</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45205</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45205</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45205</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45205</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45205</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45205</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45205</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45205</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45205</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45205</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45205</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45205</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45205</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45205</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45205</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45205</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45205</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45205</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45205</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45205</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45205</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45205</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45205</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45205</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45205</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45205</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45205</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45205</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45205</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45205</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45205</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45205</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45205</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45205</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45205</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45205</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45205</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45205</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45205</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45205</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45205</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45205</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45205</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45205</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45205</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45205</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45205</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45205</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45205</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45205</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45205</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45205</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45205</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45205</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45205</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45205</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45205</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45205</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45205</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45205</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45205</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45205</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45205</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45205</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45205</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45205</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45205</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45205</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45205</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45205</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45205</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45205</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45205</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45205</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45205</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45205</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45205</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45205</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45205</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45205</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45205</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45205</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45205</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45205</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45205</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45205</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45205</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45205</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45205</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45205</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45205</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45205</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45205</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45205</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45205</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45205</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45205</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45205</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45205</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45205</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45205</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45205</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45205</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45205</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45205</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45205</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45205</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45205</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45205</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45205</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45205</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45205</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45205</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45205</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45205</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45205</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45205</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45205</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45205</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45205</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45205</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45205</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45205</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45205</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45205</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45205</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45205</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45205</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45205</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45205</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45205</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45205</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45205</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45205</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45205</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45205</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45205</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45205</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45205</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45205</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45205</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45205</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45205</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45205</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45205</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45205</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45205</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45205</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45205</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45205</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45205</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45205</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45205</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45205</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45205</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45205</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45205</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45205</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45205</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45205</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45205</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45205</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45205</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45205</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45205</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45205</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45205</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45205</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45205</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45205</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45205</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45205</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45205</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45205</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45205</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45205</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45205</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45205</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45205</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45205</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45205</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45205</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45205</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45205</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45205</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45205</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45205</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45205</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45205</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45205</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45205</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45205</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45205</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45205</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45205</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45205</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45205</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45205</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45205</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45205</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45205</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45205</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45205</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45205</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45205</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45205</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45205</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45205</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45205</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45205</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45205</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45205</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45205</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45205</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45205</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45205</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45205</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45205</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45205</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45205</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45205</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45205</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45205</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45205</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45205</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45205</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45205</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45205</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45205</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45205</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45205</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45205</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45205</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45205</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45205</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45205</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45205</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45205</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45205</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45205</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45205</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45205</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45205</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45205</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45205</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45205</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45205</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45205</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45205</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45205</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45205</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45205</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45205</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45205</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45205</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45205</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45205</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45205</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45205</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45205</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45205</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45205</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45205</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45205</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45205</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45205</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45205</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45205</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45205</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45205</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45205</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45205</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45205</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45205</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45205</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45205</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45205</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45205</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45205</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45205</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45205</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45205</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45205</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45205</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45205</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45205</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45205</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45205</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45205</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45205</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45205</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45205</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45205</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45205</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45205</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45205</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45205</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45205</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45205</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45205</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45205</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45205</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45205</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45205</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45205</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45205</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45205</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45205</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45205</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45205</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45205</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45205</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45205</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45205</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45205</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45205</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45205</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45205</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45205</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45205</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45205</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45205</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45205</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45205</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45205</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45205</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45205</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45205</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45205</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45205</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45205</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45205</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45205</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45205</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45205</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45205</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45205</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45205</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45205</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45205</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45205</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45205</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45205</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45205</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45205</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45205</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45205</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45205</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45205</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45205</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45205</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45205</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45205</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45205</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45205</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45205</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45205</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45205</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45205</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45205</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45205</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45205</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45205</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45205</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45205</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45205</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45205</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45205</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45205</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45205</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45205</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45205</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45205</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45205</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HYPERLINK("https://klasma.github.io/Logging_MONSTERAS/knärot/A 29118-2020.png", "A 29118-2020")</f>
        <v/>
      </c>
      <c r="V3697">
        <f>HYPERLINK("https://klasma.github.io/Logging_MONSTERAS/klagomål/A 29118-2020.docx", "A 29118-2020")</f>
        <v/>
      </c>
      <c r="W3697">
        <f>HYPERLINK("https://klasma.github.io/Logging_MONSTERAS/klagomålsmail/A 29118-2020.docx", "A 29118-2020")</f>
        <v/>
      </c>
      <c r="X3697">
        <f>HYPERLINK("https://klasma.github.io/Logging_MONSTERAS/tillsyn/A 29118-2020.docx", "A 29118-2020")</f>
        <v/>
      </c>
      <c r="Y3697">
        <f>HYPERLINK("https://klasma.github.io/Logging_MONSTERAS/tillsynsmail/A 29118-2020.docx", "A 29118-2020")</f>
        <v/>
      </c>
    </row>
    <row r="3698" ht="15" customHeight="1">
      <c r="A3698" t="inlineStr">
        <is>
          <t>A 29392-2020</t>
        </is>
      </c>
      <c r="B3698" s="1" t="n">
        <v>44004</v>
      </c>
      <c r="C3698" s="1" t="n">
        <v>45205</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45205</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45205</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45205</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45205</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45205</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45205</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45205</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45205</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45205</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45205</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45205</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45205</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45205</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45205</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45205</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45205</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45205</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45205</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45205</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45205</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45205</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45205</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45205</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45205</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45205</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45205</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45205</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45205</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45205</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45205</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45205</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45205</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45205</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45205</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45205</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45205</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45205</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45205</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45205</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45205</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45205</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45205</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45205</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45205</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45205</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45205</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45205</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45205</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45205</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45205</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45205</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45205</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45205</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45205</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45205</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45205</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45205</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45205</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45205</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45205</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45205</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45205</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45205</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45205</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45205</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45205</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45205</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45205</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45205</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45205</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45205</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45205</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45205</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45205</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45205</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45205</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45205</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45205</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45205</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45205</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45205</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45205</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45205</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45205</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45205</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45205</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45205</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45205</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45205</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45205</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45205</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45205</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45205</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45205</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45205</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45205</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45205</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45205</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45205</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45205</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45205</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45205</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45205</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45205</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45205</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45205</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45205</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45205</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45205</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45205</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45205</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45205</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45205</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45205</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45205</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45205</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45205</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45205</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45205</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45205</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45205</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45205</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45205</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45205</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45205</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45205</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45205</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45205</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45205</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45205</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45205</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45205</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45205</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45205</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45205</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45205</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45205</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45205</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45205</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45205</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45205</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45205</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45205</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45205</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45205</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45205</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45205</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45205</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45205</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45205</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45205</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45205</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45205</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45205</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45205</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45205</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45205</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45205</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45205</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45205</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45205</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45205</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45205</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45205</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45205</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45205</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45205</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45205</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45205</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45205</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45205</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45205</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45205</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45205</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45205</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45205</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45205</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45205</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45205</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45205</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45205</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45205</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45205</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45205</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45205</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45205</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45205</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45205</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45205</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45205</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45205</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45205</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45205</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45205</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45205</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45205</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45205</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45205</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45205</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45205</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45205</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45205</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45205</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45205</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45205</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45205</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45205</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45205</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45205</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45205</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45205</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45205</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45205</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45205</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45205</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45205</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45205</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45205</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45205</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45205</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45205</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45205</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45205</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45205</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45205</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45205</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45205</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45205</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45205</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45205</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45205</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45205</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45205</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45205</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45205</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45205</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45205</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45205</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45205</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45205</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45205</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45205</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45205</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45205</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45205</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45205</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45205</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45205</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45205</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45205</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45205</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45205</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45205</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45205</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45205</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45205</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45205</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45205</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45205</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45205</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45205</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45205</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45205</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45205</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45205</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45205</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45205</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45205</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45205</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45205</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45205</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45205</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45205</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45205</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45205</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45205</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45205</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45205</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45205</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45205</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45205</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45205</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45205</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45205</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45205</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45205</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45205</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45205</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45205</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45205</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45205</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45205</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45205</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45205</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45205</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45205</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45205</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45205</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45205</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45205</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45205</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45205</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45205</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45205</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45205</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45205</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45205</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45205</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45205</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45205</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45205</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45205</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45205</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45205</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45205</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45205</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45205</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45205</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45205</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45205</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45205</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45205</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45205</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45205</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45205</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45205</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45205</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45205</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45205</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45205</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45205</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45205</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45205</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45205</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45205</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45205</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45205</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45205</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45205</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45205</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45205</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45205</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45205</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45205</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45205</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45205</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45205</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45205</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45205</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45205</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45205</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45205</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45205</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45205</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45205</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45205</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45205</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45205</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45205</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45205</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45205</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45205</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45205</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45205</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45205</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45205</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45205</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45205</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45205</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45205</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45205</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45205</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45205</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45205</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45205</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45205</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45205</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45205</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45205</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45205</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45205</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45205</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45205</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45205</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45205</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45205</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45205</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45205</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45205</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45205</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45205</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45205</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45205</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45205</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45205</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45205</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45205</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45205</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45205</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45205</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45205</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45205</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45205</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45205</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45205</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45205</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45205</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45205</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45205</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45205</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45205</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45205</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45205</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45205</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45205</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45205</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45205</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45205</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45205</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45205</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45205</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45205</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45205</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45205</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45205</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45205</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45205</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45205</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45205</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45205</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45205</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45205</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45205</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45205</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45205</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45205</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45205</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45205</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45205</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45205</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45205</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45205</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45205</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45205</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45205</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45205</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45205</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45205</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45205</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45205</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45205</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45205</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45205</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45205</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45205</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45205</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45205</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45205</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45205</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45205</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45205</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45205</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45205</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45205</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45205</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45205</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45205</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45205</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45205</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45205</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45205</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45205</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45205</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45205</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45205</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45205</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45205</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45205</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45205</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45205</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45205</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45205</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45205</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45205</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45205</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45205</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45205</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45205</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45205</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45205</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45205</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45205</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45205</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45205</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45205</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45205</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45205</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45205</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45205</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45205</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45205</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45205</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45205</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45205</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45205</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45205</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45205</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45205</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45205</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45205</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45205</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45205</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45205</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45205</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45205</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45205</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45205</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45205</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45205</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45205</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45205</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45205</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45205</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45205</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45205</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45205</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45205</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45205</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45205</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45205</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45205</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45205</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45205</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45205</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45205</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45205</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45205</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45205</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45205</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45205</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45205</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45205</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45205</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45205</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45205</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45205</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45205</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45205</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45205</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45205</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45205</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45205</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45205</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45205</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45205</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45205</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45205</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45205</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45205</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45205</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45205</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45205</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45205</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45205</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45205</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45205</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45205</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45205</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45205</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45205</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45205</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45205</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45205</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45205</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45205</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45205</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45205</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45205</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45205</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45205</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45205</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45205</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45205</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45205</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45205</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45205</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45205</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45205</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45205</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45205</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45205</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45205</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45205</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45205</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45205</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45205</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45205</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45205</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45205</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45205</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45205</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45205</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45205</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45205</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45205</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45205</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45205</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45205</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45205</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45205</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45205</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45205</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45205</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45205</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45205</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45205</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45205</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45205</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45205</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45205</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45205</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45205</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45205</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45205</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45205</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45205</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45205</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45205</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45205</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45205</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45205</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45205</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45205</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45205</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45205</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45205</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45205</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45205</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45205</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45205</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45205</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45205</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45205</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45205</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45205</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45205</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45205</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45205</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45205</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45205</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45205</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45205</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45205</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45205</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45205</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45205</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45205</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45205</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45205</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45205</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45205</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45205</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45205</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45205</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45205</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45205</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45205</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45205</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45205</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45205</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45205</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45205</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45205</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45205</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45205</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45205</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45205</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45205</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45205</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45205</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45205</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45205</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45205</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45205</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45205</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45205</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45205</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45205</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45205</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45205</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45205</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45205</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45205</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45205</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45205</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45205</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45205</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45205</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45205</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45205</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45205</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45205</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45205</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45205</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45205</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45205</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45205</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45205</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45205</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45205</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45205</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45205</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45205</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45205</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45205</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45205</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45205</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45205</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45205</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45205</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45205</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45205</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45205</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45205</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45205</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45205</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45205</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45205</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45205</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45205</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45205</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45205</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45205</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45205</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45205</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45205</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45205</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45205</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45205</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45205</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45205</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45205</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45205</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45205</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45205</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45205</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45205</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45205</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45205</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45205</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45205</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45205</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45205</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45205</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45205</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45205</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45205</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45205</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45205</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45205</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45205</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45205</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45205</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45205</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45205</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45205</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45205</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45205</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45205</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45205</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45205</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45205</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45205</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45205</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45205</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45205</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45205</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45205</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45205</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45205</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45205</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45205</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45205</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45205</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45205</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45205</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45205</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45205</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45205</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45205</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45205</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45205</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45205</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45205</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45205</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45205</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45205</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45205</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45205</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45205</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45205</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45205</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45205</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45205</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45205</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45205</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45205</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45205</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45205</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45205</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45205</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45205</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45205</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45205</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45205</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45205</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45205</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45205</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45205</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45205</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45205</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45205</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45205</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45205</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45205</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45205</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45205</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45205</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45205</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45205</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45205</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45205</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45205</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45205</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45205</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45205</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45205</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45205</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45205</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45205</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45205</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45205</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45205</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45205</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45205</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45205</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45205</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45205</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45205</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45205</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45205</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45205</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45205</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45205</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45205</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45205</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45205</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45205</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45205</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45205</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45205</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45205</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45205</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45205</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45205</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45205</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45205</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45205</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45205</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45205</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45205</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45205</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45205</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45205</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45205</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45205</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45205</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45205</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45205</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45205</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45205</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45205</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45205</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45205</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45205</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45205</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45205</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45205</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45205</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45205</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45205</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45205</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45205</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45205</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45205</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45205</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45205</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45205</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45205</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45205</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45205</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45205</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45205</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45205</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45205</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45205</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45205</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45205</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45205</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45205</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45205</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45205</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45205</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45205</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45205</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45205</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45205</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45205</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45205</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45205</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45205</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45205</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45205</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45205</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45205</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45205</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45205</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45205</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45205</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45205</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45205</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45205</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45205</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45205</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45205</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45205</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45205</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45205</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45205</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45205</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45205</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45205</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45205</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45205</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45205</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45205</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45205</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45205</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45205</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45205</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45205</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45205</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45205</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45205</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45205</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45205</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45205</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45205</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45205</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45205</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45205</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45205</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45205</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45205</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45205</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45205</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45205</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45205</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45205</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45205</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45205</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45205</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45205</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45205</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45205</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45205</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45205</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45205</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45205</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45205</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45205</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45205</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45205</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45205</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45205</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45205</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45205</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45205</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45205</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45205</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45205</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45205</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45205</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45205</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45205</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45205</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45205</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45205</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45205</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45205</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45205</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45205</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45205</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45205</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45205</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45205</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45205</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45205</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45205</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45205</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45205</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45205</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45205</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45205</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45205</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45205</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45205</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45205</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45205</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45205</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45205</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45205</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45205</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45205</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45205</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45205</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45205</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45205</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45205</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45205</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45205</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45205</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45205</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45205</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45205</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45205</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45205</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45205</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45205</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45205</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45205</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45205</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45205</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45205</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45205</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45205</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45205</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45205</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45205</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45205</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45205</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45205</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45205</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45205</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45205</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45205</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45205</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45205</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45205</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45205</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45205</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45205</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45205</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45205</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45205</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45205</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45205</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45205</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45205</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45205</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45205</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45205</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45205</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45205</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45205</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45205</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45205</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45205</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45205</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45205</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45205</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45205</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45205</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45205</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45205</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45205</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45205</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45205</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45205</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45205</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45205</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45205</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45205</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45205</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45205</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45205</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45205</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45205</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45205</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45205</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45205</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45205</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45205</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45205</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45205</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45205</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45205</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45205</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45205</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45205</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45205</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45205</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45205</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45205</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45205</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45205</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45205</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45205</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45205</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45205</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45205</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45205</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45205</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45205</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45205</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45205</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45205</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45205</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45205</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45205</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45205</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45205</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45205</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45205</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45205</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45205</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45205</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45205</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45205</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45205</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45205</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45205</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45205</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45205</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45205</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45205</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45205</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45205</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45205</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45205</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45205</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45205</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45205</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45205</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45205</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45205</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45205</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45205</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45205</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45205</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45205</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45205</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45205</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45205</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45205</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45205</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45205</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45205</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45205</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45205</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45205</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45205</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45205</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45205</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45205</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45205</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45205</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45205</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45205</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45205</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45205</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45205</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45205</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45205</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45205</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45205</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45205</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45205</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45205</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45205</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45205</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45205</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45205</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45205</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45205</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45205</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45205</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45205</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45205</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45205</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45205</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45205</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45205</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45205</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45205</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45205</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45205</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45205</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45205</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45205</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45205</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45205</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45205</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45205</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45205</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45205</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45205</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45205</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45205</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45205</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45205</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45205</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45205</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45205</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45205</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45205</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45205</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45205</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45205</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45205</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45205</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45205</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45205</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45205</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45205</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45205</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45205</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45205</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45205</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45205</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45205</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45205</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45205</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45205</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45205</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45205</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45205</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45205</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45205</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45205</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45205</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45205</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45205</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45205</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45205</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45205</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45205</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45205</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45205</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45205</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45205</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45205</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45205</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45205</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45205</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45205</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45205</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45205</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45205</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45205</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45205</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45205</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45205</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45205</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45205</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45205</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45205</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45205</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45205</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45205</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45205</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45205</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45205</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45205</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45205</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45205</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45205</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45205</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45205</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45205</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45205</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45205</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45205</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45205</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45205</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45205</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45205</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45205</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45205</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45205</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45205</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45205</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45205</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45205</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45205</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45205</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45205</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45205</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45205</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45205</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45205</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45205</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45205</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45205</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45205</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45205</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45205</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45205</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45205</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45205</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45205</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45205</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45205</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45205</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45205</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45205</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45205</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45205</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45205</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45205</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45205</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45205</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45205</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45205</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45205</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45205</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45205</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45205</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45205</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45205</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45205</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45205</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45205</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45205</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45205</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45205</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45205</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45205</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45205</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45205</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45205</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45205</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45205</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45205</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45205</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45205</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45205</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45205</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45205</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45205</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45205</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45205</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45205</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45205</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45205</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45205</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45205</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45205</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45205</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45205</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45205</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45205</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45205</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45205</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45205</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45205</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45205</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45205</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45205</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45205</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45205</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45205</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45205</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45205</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45205</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45205</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45205</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45205</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45205</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45205</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45205</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45205</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45205</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45205</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45205</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45205</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45205</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45205</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45205</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45205</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45205</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45205</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45205</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45205</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45205</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45205</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45205</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45205</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45205</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45205</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45205</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45205</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45205</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45205</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45205</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45205</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45205</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45205</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45205</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45205</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45205</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45205</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45205</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45205</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45205</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45205</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45205</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45205</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45205</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45205</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45205</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45205</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45205</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45205</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45205</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45205</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45205</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45205</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45205</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45205</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45205</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45205</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45205</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45205</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45205</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45205</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45205</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45205</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45205</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45205</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45205</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45205</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45205</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45205</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45205</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45205</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45205</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45205</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45205</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45205</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45205</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45205</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45205</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45205</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45205</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45205</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45205</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45205</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45205</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45205</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45205</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45205</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45205</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45205</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45205</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45205</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45205</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45205</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45205</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45205</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45205</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45205</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45205</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45205</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45205</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45205</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45205</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45205</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45205</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45205</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45205</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45205</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45205</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45205</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45205</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45205</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45205</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45205</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45205</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45205</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45205</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45205</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45205</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45205</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45205</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45205</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45205</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45205</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45205</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45205</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45205</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45205</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45205</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45205</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45205</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45205</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45205</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45205</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45205</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45205</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45205</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45205</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45205</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45205</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45205</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45205</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45205</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45205</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45205</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45205</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45205</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45205</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45205</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45205</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45205</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45205</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45205</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45205</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45205</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45205</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45205</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45205</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45205</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45205</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45205</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45205</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45205</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45205</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45205</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45205</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45205</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45205</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45205</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45205</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45205</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45205</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45205</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45205</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45205</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45205</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45205</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45205</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45205</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45205</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45205</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45205</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45205</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45205</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45205</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45205</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45205</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45205</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45205</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45205</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45205</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45205</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45205</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45205</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45205</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45205</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45205</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45205</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45205</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45205</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45205</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45205</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45205</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45205</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45205</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45205</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45205</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45205</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45205</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45205</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45205</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45205</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45205</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45205</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45205</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45205</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45205</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45205</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45205</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45205</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45205</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45205</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45205</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45205</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45205</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45205</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45205</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45205</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45205</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45205</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45205</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45205</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45205</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45205</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45205</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45205</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45205</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45205</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45205</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45205</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45205</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45205</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45205</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45205</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45205</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45205</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45205</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45205</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45205</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45205</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45205</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45205</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45205</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45205</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45205</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45205</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45205</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45205</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45205</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45205</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45205</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45205</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45205</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45205</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45205</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45205</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45205</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45205</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45205</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45205</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45205</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45205</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45205</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45205</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45205</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45205</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45205</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45205</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45205</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45205</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45205</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45205</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45205</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45205</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45205</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45205</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45205</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45205</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45205</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45205</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45205</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45205</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45205</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45205</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45205</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45205</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45205</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45205</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45205</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45205</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45205</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45205</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45205</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45205</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45205</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45205</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45205</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45205</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45205</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45205</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45205</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45205</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45205</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45205</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45205</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45205</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45205</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45205</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45205</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45205</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45205</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45205</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45205</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45205</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45205</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45205</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45205</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45205</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45205</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45205</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45205</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45205</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45205</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45205</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45205</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45205</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45205</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45205</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45205</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45205</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45205</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45205</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45205</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45205</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45205</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45205</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45205</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45205</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45205</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45205</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45205</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45205</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45205</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45205</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45205</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45205</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45205</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45205</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45205</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45205</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45205</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45205</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45205</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45205</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45205</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45205</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45205</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45205</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45205</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45205</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45205</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45205</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45205</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45205</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45205</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45205</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45205</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45205</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45205</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45205</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45205</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45205</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45205</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45205</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45205</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45205</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45205</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45205</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45205</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45205</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45205</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45205</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45205</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45205</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45205</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45205</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45205</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45205</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45205</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45205</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45205</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45205</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45205</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45205</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45205</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45205</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45205</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45205</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45205</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45205</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45205</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45205</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45205</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45205</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45205</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45205</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45205</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45205</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45205</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45205</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45205</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45205</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45205</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45205</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45205</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45205</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45205</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45205</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45205</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45205</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45205</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45205</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45205</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45205</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45205</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45205</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45205</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45205</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45205</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45205</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45205</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45205</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45205</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45205</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45205</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45205</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45205</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45205</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45205</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45205</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45205</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45205</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45205</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45205</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45205</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45205</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45205</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45205</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45205</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45205</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45205</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45205</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45205</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45205</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45205</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45205</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45205</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45205</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45205</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45205</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45205</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45205</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45205</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45205</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45205</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45205</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45205</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45205</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45205</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45205</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45205</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45205</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45205</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45205</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45205</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45205</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45205</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45205</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45205</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45205</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45205</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45205</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45205</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45205</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45205</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45205</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45205</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45205</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45205</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45205</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45205</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45205</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45205</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45205</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45205</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45205</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45205</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45205</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45205</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45205</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45205</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45205</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45205</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45205</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45205</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45205</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45205</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45205</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45205</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45205</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45205</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45205</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45205</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45205</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45205</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45205</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45205</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45205</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45205</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45205</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45205</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45205</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45205</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45205</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45205</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45205</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45205</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45205</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45205</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45205</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45205</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45205</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45205</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45205</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45205</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45205</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45205</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45205</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45205</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45205</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45205</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45205</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45205</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45205</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45205</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45205</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45205</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45205</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45205</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45205</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45205</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45205</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45205</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45205</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45205</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45205</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45205</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45205</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45205</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45205</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45205</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45205</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45205</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45205</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45205</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45205</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45205</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45205</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45205</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45205</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45205</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45205</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45205</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45205</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45205</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45205</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45205</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45205</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45205</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45205</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45205</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45205</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45205</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45205</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45205</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45205</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45205</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45205</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45205</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45205</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45205</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45205</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45205</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45205</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45205</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45205</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45205</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45205</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45205</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45205</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45205</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45205</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45205</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45205</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45205</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45205</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45205</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45205</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45205</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45205</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45205</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45205</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45205</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45205</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45205</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45205</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45205</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45205</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45205</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45205</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45205</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45205</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45205</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45205</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45205</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45205</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45205</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45205</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45205</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45205</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45205</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45205</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45205</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45205</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45205</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45205</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45205</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45205</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45205</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45205</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45205</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45205</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45205</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45205</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45205</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45205</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45205</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45205</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45205</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45205</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45205</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45205</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45205</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45205</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45205</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45205</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45205</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45205</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45205</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45205</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45205</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45205</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45205</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45205</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45205</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45205</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45205</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45205</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45205</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45205</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45205</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45205</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45205</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45205</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45205</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45205</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45205</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45205</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45205</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45205</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45205</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45205</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45205</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45205</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45205</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45205</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45205</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45205</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45205</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45205</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45205</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45205</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45205</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45205</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45205</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45205</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45205</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45205</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45205</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45205</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45205</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45205</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45205</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45205</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45205</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45205</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45205</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45205</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45205</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45205</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45205</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45205</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45205</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45205</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45205</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45205</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45205</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45205</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45205</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45205</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45205</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45205</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45205</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45205</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45205</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45205</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45205</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45205</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45205</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45205</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45205</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45205</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45205</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45205</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45205</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45205</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45205</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45205</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45205</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45205</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45205</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45205</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45205</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45205</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45205</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45205</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45205</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45205</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45205</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45205</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45205</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45205</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45205</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45205</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45205</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45205</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45205</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45205</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45205</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45205</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45205</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45205</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45205</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45205</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45205</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45205</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45205</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45205</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45205</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45205</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45205</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45205</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45205</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45205</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45205</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45205</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45205</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45205</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45205</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45205</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45205</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45205</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45205</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45205</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45205</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45205</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45205</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45205</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45205</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45205</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45205</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45205</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45205</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45205</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45205</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45205</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45205</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45205</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45205</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45205</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45205</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45205</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45205</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45205</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45205</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45205</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45205</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45205</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45205</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45205</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45205</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45205</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45205</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45205</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45205</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45205</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45205</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45205</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45205</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45205</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45205</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45205</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45205</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45205</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45205</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45205</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45205</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45205</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45205</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45205</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45205</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45205</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45205</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45205</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45205</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45205</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45205</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45205</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45205</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45205</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45205</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45205</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45205</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45205</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45205</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45205</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45205</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45205</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45205</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45205</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45205</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45205</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45205</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45205</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45205</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45205</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45205</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45205</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45205</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45205</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45205</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45205</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45205</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45205</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45205</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45205</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45205</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45205</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45205</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45205</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45205</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45205</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45205</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45205</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45205</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45205</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45205</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45205</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45205</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45205</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45205</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45205</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45205</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45205</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45205</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45205</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45205</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45205</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45205</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45205</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45205</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45205</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45205</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45205</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45205</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45205</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45205</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45205</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45205</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45205</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45205</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45205</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45205</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45205</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45205</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45205</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45205</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45205</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45205</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45205</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45205</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45205</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45205</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45205</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45205</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45205</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45205</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45205</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45205</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45205</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45205</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45205</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45205</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45205</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45205</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45205</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45205</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45205</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45205</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45205</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45205</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45205</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45205</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45205</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45205</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45205</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45205</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45205</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45205</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45205</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45205</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45205</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45205</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45205</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45205</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45205</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45205</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45205</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45205</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45205</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45205</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45205</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45205</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45205</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45205</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45205</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45205</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45205</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45205</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45205</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45205</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45205</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45205</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45205</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45205</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45205</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45205</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45205</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45205</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45205</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45205</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45205</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45205</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45205</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45205</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45205</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45205</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45205</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45205</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45205</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45205</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45205</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45205</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45205</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45205</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45205</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45205</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45205</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45205</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45205</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45205</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45205</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45205</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45205</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45205</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45205</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45205</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45205</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45205</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45205</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45205</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45205</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45205</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45205</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45205</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45205</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45205</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45205</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45205</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45205</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45205</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45205</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45205</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45205</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45205</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45205</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45205</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45205</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45205</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45205</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45205</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45205</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45205</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45205</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45205</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45205</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45205</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45205</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45205</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45205</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45205</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45205</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45205</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45205</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45205</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45205</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45205</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45205</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45205</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45205</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45205</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45205</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45205</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45205</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45205</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45205</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45205</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45205</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45205</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45205</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45205</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45205</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45205</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45205</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45205</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45205</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45205</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45205</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45205</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45205</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45205</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45205</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45205</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45205</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45205</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45205</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45205</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45205</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45205</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45205</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45205</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45205</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45205</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45205</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45205</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45205</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45205</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45205</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45205</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45205</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45205</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45205</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45205</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45205</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45205</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45205</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45205</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45205</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45205</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45205</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45205</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45205</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45205</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45205</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45205</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45205</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45205</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45205</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45205</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45205</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45205</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45205</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45205</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45205</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45205</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45205</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45205</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45205</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45205</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45205</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45205</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45205</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45205</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45205</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45205</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45205</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45205</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45205</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45205</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45205</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45205</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45205</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45205</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45205</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45205</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45205</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45205</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45205</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45205</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45205</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45205</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45205</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45205</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45205</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45205</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45205</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45205</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45205</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45205</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45205</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45205</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45205</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45205</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45205</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45205</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45205</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45205</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45205</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45205</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45205</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45205</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45205</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45205</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45205</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45205</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45205</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45205</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45205</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45205</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45205</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45205</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45205</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45205</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45205</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45205</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45205</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45205</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45205</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45205</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45205</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45205</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45205</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45205</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45205</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45205</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45205</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45205</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45205</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45205</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45205</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45205</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45205</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45205</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45205</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45205</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45205</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45205</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45205</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45205</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45205</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45205</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45205</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45205</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45205</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45205</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45205</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45205</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45205</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45205</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45205</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45205</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45205</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45205</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45205</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45205</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45205</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45205</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45205</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45205</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45205</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45205</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45205</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45205</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45205</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45205</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45205</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45205</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45205</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45205</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45205</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45205</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45205</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45205</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45205</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45205</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45205</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45205</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45205</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45205</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45205</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45205</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45205</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45205</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45205</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45205</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45205</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45205</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45205</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45205</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45205</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45205</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45205</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45205</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45205</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45205</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45205</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45205</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45205</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45205</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45205</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45205</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45205</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45205</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45205</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45205</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45205</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45205</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45205</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45205</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45205</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45205</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45205</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45205</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45205</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45205</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45205</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45205</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45205</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45205</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45205</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45205</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45205</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45205</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45205</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45205</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45205</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45205</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45205</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45205</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45205</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45205</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45205</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45205</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45205</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45205</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45205</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45205</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45205</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45205</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45205</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45205</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45205</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45205</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45205</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45205</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45205</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45205</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45205</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45205</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45205</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45205</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45205</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45205</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45205</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45205</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45205</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45205</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45205</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45205</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45205</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45205</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45205</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45205</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45205</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45205</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45205</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45205</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45205</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45205</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45205</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45205</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45205</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45205</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45205</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45205</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45205</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45205</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45205</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45205</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45205</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45205</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45205</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45205</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45205</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45205</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45205</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45205</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45205</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45205</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45205</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45205</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45205</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45205</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45205</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45205</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45205</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45205</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45205</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45205</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45205</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45205</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45205</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45205</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45205</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45205</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45205</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45205</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45205</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45205</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45205</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45205</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45205</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45205</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45205</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45205</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45205</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45205</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45205</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45205</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45205</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45205</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45205</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45205</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45205</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45205</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45205</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45205</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45205</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45205</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45205</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45205</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45205</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45205</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45205</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45205</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45205</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45205</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45205</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45205</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45205</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45205</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45205</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45205</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45205</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45205</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45205</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45205</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45205</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45205</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45205</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45205</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45205</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45205</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45205</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45205</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45205</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45205</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45205</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45205</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45205</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45205</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45205</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45205</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45205</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45205</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45205</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45205</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45205</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45205</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45205</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45205</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45205</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45205</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45205</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45205</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45205</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45205</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45205</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45205</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45205</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45205</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45205</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45205</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45205</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45205</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45205</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45205</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45205</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45205</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45205</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45205</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45205</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45205</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45205</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45205</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45205</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45205</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45205</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45205</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45205</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45205</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45205</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45205</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45205</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45205</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45205</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45205</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45205</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45205</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45205</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45205</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45205</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45205</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45205</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45205</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45205</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45205</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45205</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45205</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45205</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45205</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45205</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45205</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45205</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45205</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45205</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45205</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45205</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45205</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45205</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45205</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45205</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45205</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45205</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45205</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45205</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45205</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45205</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45205</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45205</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45205</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45205</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45205</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45205</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45205</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45205</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45205</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45205</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45205</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45205</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45205</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45205</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45205</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45205</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45205</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45205</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45205</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45205</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45205</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45205</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45205</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45205</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45205</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45205</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45205</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45205</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45205</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45205</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45205</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45205</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45205</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45205</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45205</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45205</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45205</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45205</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45205</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45205</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45205</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45205</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45205</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45205</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45205</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45205</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45205</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45205</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45205</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45205</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45205</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45205</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45205</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45205</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45205</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45205</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45205</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45205</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45205</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45205</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45205</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45205</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45205</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45205</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45205</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45205</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45205</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45205</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45205</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45205</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45205</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45205</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45205</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45205</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45205</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45205</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45205</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45205</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45205</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45205</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45205</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45205</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45205</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45205</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45205</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45205</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45205</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45205</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45205</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45205</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45205</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45205</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45205</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45205</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45205</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45205</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45205</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45205</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45205</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45205</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45205</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45205</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45205</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45205</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45205</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45205</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45205</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45205</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45205</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45205</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45205</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45205</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45205</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45205</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45205</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45205</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45205</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45205</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45205</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45205</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45205</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45205</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45205</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45205</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45205</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45205</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45205</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45205</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45205</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45205</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45205</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45205</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45205</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45205</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45205</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45205</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45205</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45205</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45205</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45205</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45205</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45205</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45205</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45205</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45205</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45205</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45205</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45205</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45205</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45205</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45205</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45205</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45205</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45205</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45205</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45205</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45205</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45205</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45205</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45205</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45205</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45205</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45205</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45205</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45205</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45205</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45205</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45205</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45205</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45205</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45205</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45205</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45205</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45205</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45205</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45205</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45205</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45205</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45205</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45205</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45205</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45205</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45205</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45205</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45205</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45205</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45205</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45205</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45205</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45205</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45205</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45205</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45205</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45205</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45205</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45205</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45205</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45205</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45205</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45205</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45205</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45205</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45205</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45205</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45205</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45205</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45205</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45205</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45205</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45205</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45205</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45205</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45205</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45205</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45205</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45205</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45205</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45205</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45205</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45205</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45205</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45205</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45205</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45205</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45205</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45205</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45205</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45205</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45205</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45205</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45205</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45205</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45205</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45205</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45205</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45205</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45205</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45205</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45205</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45205</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45205</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45205</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45205</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45205</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45205</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45205</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45205</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45205</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45205</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45205</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45205</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45205</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45205</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45205</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45205</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45205</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45205</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45205</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45205</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45205</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45205</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45205</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45205</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45205</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45205</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45205</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45205</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45205</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45205</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45205</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45205</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45205</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45205</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45205</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45205</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45205</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45205</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45205</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45205</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45205</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45205</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45205</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45205</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45205</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45205</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45205</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45205</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45205</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45205</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45205</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45205</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45205</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45205</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45205</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45205</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45205</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45205</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45205</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45205</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45205</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45205</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45205</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45205</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45205</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45205</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45205</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45205</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45205</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45205</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45205</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45205</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45205</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45205</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45205</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45205</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45205</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45205</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45205</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45205</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45205</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45205</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45205</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45205</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45205</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45205</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45205</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45205</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45205</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45205</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45205</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45205</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45205</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45205</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45205</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45205</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45205</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45205</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45205</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45205</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45205</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45205</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45205</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45205</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45205</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45205</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45205</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45205</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45205</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45205</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45205</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45205</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45205</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45205</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45205</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45205</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45205</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45205</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45205</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45205</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45205</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45205</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45205</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45205</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45205</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45205</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45205</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45205</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45205</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45205</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45205</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45205</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45205</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45205</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45205</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45205</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45205</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45205</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45205</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45205</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45205</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45205</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45205</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45205</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45205</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45205</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45205</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45205</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45205</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45205</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45205</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45205</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45205</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45205</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45205</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45205</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45205</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45205</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45205</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45205</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45205</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45205</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45205</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45205</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45205</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45205</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45205</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45205</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45205</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45205</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45205</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45205</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45205</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45205</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45205</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45205</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45205</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45205</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45205</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45205</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45205</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45205</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45205</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c r="A7003" t="inlineStr">
        <is>
          <t>A 47801-2023</t>
        </is>
      </c>
      <c r="B7003" s="1" t="n">
        <v>45203</v>
      </c>
      <c r="C7003" s="1" t="n">
        <v>45205</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2023-10-06T15:48:31Z</dcterms:created>
  <dcterms:modified xmlns:dcterms="http://purl.org/dc/terms/" xmlns:xsi="http://www.w3.org/2001/XMLSchema-instance" xsi:type="dcterms:W3CDTF">2023-10-06T15:48:34Z</dcterms:modified>
</cp:coreProperties>
</file>