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5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45175</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45175</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43587-2021</t>
        </is>
      </c>
      <c r="B4" s="1" t="n">
        <v>44433</v>
      </c>
      <c r="C4" s="1" t="n">
        <v>45175</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f>
        <v/>
      </c>
      <c r="T4">
        <f>HYPERLINK("https://klasma.github.io/Logging_BORGHOLM/kartor/A 43587-2021.png")</f>
        <v/>
      </c>
      <c r="V4">
        <f>HYPERLINK("https://klasma.github.io/Logging_BORGHOLM/klagomål/A 43587-2021.docx")</f>
        <v/>
      </c>
      <c r="W4">
        <f>HYPERLINK("https://klasma.github.io/Logging_BORGHOLM/klagomålsmail/A 43587-2021.docx")</f>
        <v/>
      </c>
      <c r="X4">
        <f>HYPERLINK("https://klasma.github.io/Logging_BORGHOLM/tillsyn/A 43587-2021.docx")</f>
        <v/>
      </c>
      <c r="Y4">
        <f>HYPERLINK("https://klasma.github.io/Logging_BORGHOLM/tillsynsmail/A 43587-2021.docx")</f>
        <v/>
      </c>
    </row>
    <row r="5" ht="15" customHeight="1">
      <c r="A5" t="inlineStr">
        <is>
          <t>A 58458-2022</t>
        </is>
      </c>
      <c r="B5" s="1" t="n">
        <v>44902</v>
      </c>
      <c r="C5" s="1" t="n">
        <v>45175</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f>
        <v/>
      </c>
      <c r="T5">
        <f>HYPERLINK("https://klasma.github.io/Logging_VASTERVIK/kartor/A 58458-2022.png")</f>
        <v/>
      </c>
      <c r="U5">
        <f>HYPERLINK("https://klasma.github.io/Logging_VASTERVIK/knärot/A 58458-2022.png")</f>
        <v/>
      </c>
      <c r="V5">
        <f>HYPERLINK("https://klasma.github.io/Logging_VASTERVIK/klagomål/A 58458-2022.docx")</f>
        <v/>
      </c>
      <c r="W5">
        <f>HYPERLINK("https://klasma.github.io/Logging_VASTERVIK/klagomålsmail/A 58458-2022.docx")</f>
        <v/>
      </c>
      <c r="X5">
        <f>HYPERLINK("https://klasma.github.io/Logging_VASTERVIK/tillsyn/A 58458-2022.docx")</f>
        <v/>
      </c>
      <c r="Y5">
        <f>HYPERLINK("https://klasma.github.io/Logging_VASTERVIK/tillsynsmail/A 58458-2022.docx")</f>
        <v/>
      </c>
    </row>
    <row r="6" ht="15" customHeight="1">
      <c r="A6" t="inlineStr">
        <is>
          <t>A 31665-2023</t>
        </is>
      </c>
      <c r="B6" s="1" t="n">
        <v>45106</v>
      </c>
      <c r="C6" s="1" t="n">
        <v>45175</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f>
        <v/>
      </c>
      <c r="T6">
        <f>HYPERLINK("https://klasma.github.io/Logging_MONSTERAS/kartor/A 31665-2023.png")</f>
        <v/>
      </c>
      <c r="V6">
        <f>HYPERLINK("https://klasma.github.io/Logging_MONSTERAS/klagomål/A 31665-2023.docx")</f>
        <v/>
      </c>
      <c r="W6">
        <f>HYPERLINK("https://klasma.github.io/Logging_MONSTERAS/klagomålsmail/A 31665-2023.docx")</f>
        <v/>
      </c>
      <c r="X6">
        <f>HYPERLINK("https://klasma.github.io/Logging_MONSTERAS/tillsyn/A 31665-2023.docx")</f>
        <v/>
      </c>
      <c r="Y6">
        <f>HYPERLINK("https://klasma.github.io/Logging_MONSTERAS/tillsynsmail/A 31665-2023.docx")</f>
        <v/>
      </c>
    </row>
    <row r="7" ht="15" customHeight="1">
      <c r="A7" t="inlineStr">
        <is>
          <t>A 14449-2019</t>
        </is>
      </c>
      <c r="B7" s="1" t="n">
        <v>43536</v>
      </c>
      <c r="C7" s="1" t="n">
        <v>45175</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f>
        <v/>
      </c>
      <c r="T7">
        <f>HYPERLINK("https://klasma.github.io/Logging_TORSAS/kartor/A 14449-2019.png")</f>
        <v/>
      </c>
      <c r="V7">
        <f>HYPERLINK("https://klasma.github.io/Logging_TORSAS/klagomål/A 14449-2019.docx")</f>
        <v/>
      </c>
      <c r="W7">
        <f>HYPERLINK("https://klasma.github.io/Logging_TORSAS/klagomålsmail/A 14449-2019.docx")</f>
        <v/>
      </c>
      <c r="X7">
        <f>HYPERLINK("https://klasma.github.io/Logging_TORSAS/tillsyn/A 14449-2019.docx")</f>
        <v/>
      </c>
      <c r="Y7">
        <f>HYPERLINK("https://klasma.github.io/Logging_TORSAS/tillsynsmail/A 14449-2019.docx")</f>
        <v/>
      </c>
    </row>
    <row r="8" ht="15" customHeight="1">
      <c r="A8" t="inlineStr">
        <is>
          <t>A 8231-2020</t>
        </is>
      </c>
      <c r="B8" s="1" t="n">
        <v>43874</v>
      </c>
      <c r="C8" s="1" t="n">
        <v>45175</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f>
        <v/>
      </c>
      <c r="T8">
        <f>HYPERLINK("https://klasma.github.io/Logging_HULTSFRED/kartor/A 8231-2020.png")</f>
        <v/>
      </c>
      <c r="U8">
        <f>HYPERLINK("https://klasma.github.io/Logging_HULTSFRED/knärot/A 8231-2020.png")</f>
        <v/>
      </c>
      <c r="V8">
        <f>HYPERLINK("https://klasma.github.io/Logging_HULTSFRED/klagomål/A 8231-2020.docx")</f>
        <v/>
      </c>
      <c r="W8">
        <f>HYPERLINK("https://klasma.github.io/Logging_HULTSFRED/klagomålsmail/A 8231-2020.docx")</f>
        <v/>
      </c>
      <c r="X8">
        <f>HYPERLINK("https://klasma.github.io/Logging_HULTSFRED/tillsyn/A 8231-2020.docx")</f>
        <v/>
      </c>
      <c r="Y8">
        <f>HYPERLINK("https://klasma.github.io/Logging_HULTSFRED/tillsynsmail/A 8231-2020.docx")</f>
        <v/>
      </c>
    </row>
    <row r="9" ht="15" customHeight="1">
      <c r="A9" t="inlineStr">
        <is>
          <t>A 41266-2021</t>
        </is>
      </c>
      <c r="B9" s="1" t="n">
        <v>44424</v>
      </c>
      <c r="C9" s="1" t="n">
        <v>45175</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f>
        <v/>
      </c>
      <c r="T9">
        <f>HYPERLINK("https://klasma.github.io/Logging_MONSTERAS/kartor/A 41266-2021.png")</f>
        <v/>
      </c>
      <c r="V9">
        <f>HYPERLINK("https://klasma.github.io/Logging_MONSTERAS/klagomål/A 41266-2021.docx")</f>
        <v/>
      </c>
      <c r="W9">
        <f>HYPERLINK("https://klasma.github.io/Logging_MONSTERAS/klagomålsmail/A 41266-2021.docx")</f>
        <v/>
      </c>
      <c r="X9">
        <f>HYPERLINK("https://klasma.github.io/Logging_MONSTERAS/tillsyn/A 41266-2021.docx")</f>
        <v/>
      </c>
      <c r="Y9">
        <f>HYPERLINK("https://klasma.github.io/Logging_MONSTERAS/tillsynsmail/A 41266-2021.docx")</f>
        <v/>
      </c>
    </row>
    <row r="10" ht="15" customHeight="1">
      <c r="A10" t="inlineStr">
        <is>
          <t>A 10600-2023</t>
        </is>
      </c>
      <c r="B10" s="1" t="n">
        <v>44984</v>
      </c>
      <c r="C10" s="1" t="n">
        <v>45175</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f>
        <v/>
      </c>
      <c r="T10">
        <f>HYPERLINK("https://klasma.github.io/Logging_OSKARSHAMN/kartor/A 10600-2023.png")</f>
        <v/>
      </c>
      <c r="U10">
        <f>HYPERLINK("https://klasma.github.io/Logging_OSKARSHAMN/knärot/A 10600-2023.png")</f>
        <v/>
      </c>
      <c r="V10">
        <f>HYPERLINK("https://klasma.github.io/Logging_OSKARSHAMN/klagomål/A 10600-2023.docx")</f>
        <v/>
      </c>
      <c r="W10">
        <f>HYPERLINK("https://klasma.github.io/Logging_OSKARSHAMN/klagomålsmail/A 10600-2023.docx")</f>
        <v/>
      </c>
      <c r="X10">
        <f>HYPERLINK("https://klasma.github.io/Logging_OSKARSHAMN/tillsyn/A 10600-2023.docx")</f>
        <v/>
      </c>
      <c r="Y10">
        <f>HYPERLINK("https://klasma.github.io/Logging_OSKARSHAMN/tillsynsmail/A 10600-2023.docx")</f>
        <v/>
      </c>
    </row>
    <row r="11" ht="15" customHeight="1">
      <c r="A11" t="inlineStr">
        <is>
          <t>A 6818-2021</t>
        </is>
      </c>
      <c r="B11" s="1" t="n">
        <v>44237</v>
      </c>
      <c r="C11" s="1" t="n">
        <v>45175</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f>
        <v/>
      </c>
      <c r="T11">
        <f>HYPERLINK("https://klasma.github.io/Logging_KALMAR/kartor/A 6818-2021.png")</f>
        <v/>
      </c>
      <c r="U11">
        <f>HYPERLINK("https://klasma.github.io/Logging_KALMAR/knärot/A 6818-2021.png")</f>
        <v/>
      </c>
      <c r="V11">
        <f>HYPERLINK("https://klasma.github.io/Logging_KALMAR/klagomål/A 6818-2021.docx")</f>
        <v/>
      </c>
      <c r="W11">
        <f>HYPERLINK("https://klasma.github.io/Logging_KALMAR/klagomålsmail/A 6818-2021.docx")</f>
        <v/>
      </c>
      <c r="X11">
        <f>HYPERLINK("https://klasma.github.io/Logging_KALMAR/tillsyn/A 6818-2021.docx")</f>
        <v/>
      </c>
      <c r="Y11">
        <f>HYPERLINK("https://klasma.github.io/Logging_KALMAR/tillsynsmail/A 6818-2021.docx")</f>
        <v/>
      </c>
    </row>
    <row r="12" ht="15" customHeight="1">
      <c r="A12" t="inlineStr">
        <is>
          <t>A 23827-2023</t>
        </is>
      </c>
      <c r="B12" s="1" t="n">
        <v>45078</v>
      </c>
      <c r="C12" s="1" t="n">
        <v>45175</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f>
        <v/>
      </c>
      <c r="T12">
        <f>HYPERLINK("https://klasma.github.io/Logging_NYBRO/kartor/A 23827-2023.png")</f>
        <v/>
      </c>
      <c r="V12">
        <f>HYPERLINK("https://klasma.github.io/Logging_NYBRO/klagomål/A 23827-2023.docx")</f>
        <v/>
      </c>
      <c r="W12">
        <f>HYPERLINK("https://klasma.github.io/Logging_NYBRO/klagomålsmail/A 23827-2023.docx")</f>
        <v/>
      </c>
      <c r="X12">
        <f>HYPERLINK("https://klasma.github.io/Logging_NYBRO/tillsyn/A 23827-2023.docx")</f>
        <v/>
      </c>
      <c r="Y12">
        <f>HYPERLINK("https://klasma.github.io/Logging_NYBRO/tillsynsmail/A 23827-2023.docx")</f>
        <v/>
      </c>
    </row>
    <row r="13" ht="15" customHeight="1">
      <c r="A13" t="inlineStr">
        <is>
          <t>A 13629-2019</t>
        </is>
      </c>
      <c r="B13" s="1" t="n">
        <v>43530</v>
      </c>
      <c r="C13" s="1" t="n">
        <v>45175</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f>
        <v/>
      </c>
      <c r="T13">
        <f>HYPERLINK("https://klasma.github.io/Logging_VIMMERBY/kartor/A 13629-2019.png")</f>
        <v/>
      </c>
      <c r="U13">
        <f>HYPERLINK("https://klasma.github.io/Logging_VIMMERBY/knärot/A 13629-2019.png")</f>
        <v/>
      </c>
      <c r="V13">
        <f>HYPERLINK("https://klasma.github.io/Logging_VIMMERBY/klagomål/A 13629-2019.docx")</f>
        <v/>
      </c>
      <c r="W13">
        <f>HYPERLINK("https://klasma.github.io/Logging_VIMMERBY/klagomålsmail/A 13629-2019.docx")</f>
        <v/>
      </c>
      <c r="X13">
        <f>HYPERLINK("https://klasma.github.io/Logging_VIMMERBY/tillsyn/A 13629-2019.docx")</f>
        <v/>
      </c>
      <c r="Y13">
        <f>HYPERLINK("https://klasma.github.io/Logging_VIMMERBY/tillsynsmail/A 13629-2019.docx")</f>
        <v/>
      </c>
    </row>
    <row r="14" ht="15" customHeight="1">
      <c r="A14" t="inlineStr">
        <is>
          <t>A 13628-2019</t>
        </is>
      </c>
      <c r="B14" s="1" t="n">
        <v>43530</v>
      </c>
      <c r="C14" s="1" t="n">
        <v>45175</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f>
        <v/>
      </c>
      <c r="T14">
        <f>HYPERLINK("https://klasma.github.io/Logging_VIMMERBY/kartor/A 13628-2019.png")</f>
        <v/>
      </c>
      <c r="U14">
        <f>HYPERLINK("https://klasma.github.io/Logging_VIMMERBY/knärot/A 13628-2019.png")</f>
        <v/>
      </c>
      <c r="V14">
        <f>HYPERLINK("https://klasma.github.io/Logging_VIMMERBY/klagomål/A 13628-2019.docx")</f>
        <v/>
      </c>
      <c r="W14">
        <f>HYPERLINK("https://klasma.github.io/Logging_VIMMERBY/klagomålsmail/A 13628-2019.docx")</f>
        <v/>
      </c>
      <c r="X14">
        <f>HYPERLINK("https://klasma.github.io/Logging_VIMMERBY/tillsyn/A 13628-2019.docx")</f>
        <v/>
      </c>
      <c r="Y14">
        <f>HYPERLINK("https://klasma.github.io/Logging_VIMMERBY/tillsynsmail/A 13628-2019.docx")</f>
        <v/>
      </c>
    </row>
    <row r="15" ht="15" customHeight="1">
      <c r="A15" t="inlineStr">
        <is>
          <t>A 56955-2022</t>
        </is>
      </c>
      <c r="B15" s="1" t="n">
        <v>44894</v>
      </c>
      <c r="C15" s="1" t="n">
        <v>45175</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f>
        <v/>
      </c>
      <c r="T15">
        <f>HYPERLINK("https://klasma.github.io/Logging_HULTSFRED/kartor/A 56955-2022.png")</f>
        <v/>
      </c>
      <c r="U15">
        <f>HYPERLINK("https://klasma.github.io/Logging_HULTSFRED/knärot/A 56955-2022.png")</f>
        <v/>
      </c>
      <c r="V15">
        <f>HYPERLINK("https://klasma.github.io/Logging_HULTSFRED/klagomål/A 56955-2022.docx")</f>
        <v/>
      </c>
      <c r="W15">
        <f>HYPERLINK("https://klasma.github.io/Logging_HULTSFRED/klagomålsmail/A 56955-2022.docx")</f>
        <v/>
      </c>
      <c r="X15">
        <f>HYPERLINK("https://klasma.github.io/Logging_HULTSFRED/tillsyn/A 56955-2022.docx")</f>
        <v/>
      </c>
      <c r="Y15">
        <f>HYPERLINK("https://klasma.github.io/Logging_HULTSFRED/tillsynsmail/A 56955-2022.docx")</f>
        <v/>
      </c>
    </row>
    <row r="16" ht="15" customHeight="1">
      <c r="A16" t="inlineStr">
        <is>
          <t>A 58937-2022</t>
        </is>
      </c>
      <c r="B16" s="1" t="n">
        <v>44896</v>
      </c>
      <c r="C16" s="1" t="n">
        <v>45175</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f>
        <v/>
      </c>
      <c r="T16">
        <f>HYPERLINK("https://klasma.github.io/Logging_VASTERVIK/kartor/A 58937-2022.png")</f>
        <v/>
      </c>
      <c r="U16">
        <f>HYPERLINK("https://klasma.github.io/Logging_VASTERVIK/knärot/A 58937-2022.png")</f>
        <v/>
      </c>
      <c r="V16">
        <f>HYPERLINK("https://klasma.github.io/Logging_VASTERVIK/klagomål/A 58937-2022.docx")</f>
        <v/>
      </c>
      <c r="W16">
        <f>HYPERLINK("https://klasma.github.io/Logging_VASTERVIK/klagomålsmail/A 58937-2022.docx")</f>
        <v/>
      </c>
      <c r="X16">
        <f>HYPERLINK("https://klasma.github.io/Logging_VASTERVIK/tillsyn/A 58937-2022.docx")</f>
        <v/>
      </c>
      <c r="Y16">
        <f>HYPERLINK("https://klasma.github.io/Logging_VASTERVIK/tillsynsmail/A 58937-2022.docx")</f>
        <v/>
      </c>
    </row>
    <row r="17" ht="15" customHeight="1">
      <c r="A17" t="inlineStr">
        <is>
          <t>A 44073-2019</t>
        </is>
      </c>
      <c r="B17" s="1" t="n">
        <v>43710</v>
      </c>
      <c r="C17" s="1" t="n">
        <v>45175</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f>
        <v/>
      </c>
      <c r="T17">
        <f>HYPERLINK("https://klasma.github.io/Logging_OSKARSHAMN/kartor/A 44073-2019.png")</f>
        <v/>
      </c>
      <c r="U17">
        <f>HYPERLINK("https://klasma.github.io/Logging_OSKARSHAMN/knärot/A 44073-2019.png")</f>
        <v/>
      </c>
      <c r="V17">
        <f>HYPERLINK("https://klasma.github.io/Logging_OSKARSHAMN/klagomål/A 44073-2019.docx")</f>
        <v/>
      </c>
      <c r="W17">
        <f>HYPERLINK("https://klasma.github.io/Logging_OSKARSHAMN/klagomålsmail/A 44073-2019.docx")</f>
        <v/>
      </c>
      <c r="X17">
        <f>HYPERLINK("https://klasma.github.io/Logging_OSKARSHAMN/tillsyn/A 44073-2019.docx")</f>
        <v/>
      </c>
      <c r="Y17">
        <f>HYPERLINK("https://klasma.github.io/Logging_OSKARSHAMN/tillsynsmail/A 44073-2019.docx")</f>
        <v/>
      </c>
    </row>
    <row r="18" ht="15" customHeight="1">
      <c r="A18" t="inlineStr">
        <is>
          <t>A 54601-2022</t>
        </is>
      </c>
      <c r="B18" s="1" t="n">
        <v>44883</v>
      </c>
      <c r="C18" s="1" t="n">
        <v>45175</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f>
        <v/>
      </c>
      <c r="T18">
        <f>HYPERLINK("https://klasma.github.io/Logging_VASTERVIK/kartor/A 54601-2022.png")</f>
        <v/>
      </c>
      <c r="V18">
        <f>HYPERLINK("https://klasma.github.io/Logging_VASTERVIK/klagomål/A 54601-2022.docx")</f>
        <v/>
      </c>
      <c r="W18">
        <f>HYPERLINK("https://klasma.github.io/Logging_VASTERVIK/klagomålsmail/A 54601-2022.docx")</f>
        <v/>
      </c>
      <c r="X18">
        <f>HYPERLINK("https://klasma.github.io/Logging_VASTERVIK/tillsyn/A 54601-2022.docx")</f>
        <v/>
      </c>
      <c r="Y18">
        <f>HYPERLINK("https://klasma.github.io/Logging_VASTERVIK/tillsynsmail/A 54601-2022.docx")</f>
        <v/>
      </c>
    </row>
    <row r="19" ht="15" customHeight="1">
      <c r="A19" t="inlineStr">
        <is>
          <t>A 16212-2019</t>
        </is>
      </c>
      <c r="B19" s="1" t="n">
        <v>43544</v>
      </c>
      <c r="C19" s="1" t="n">
        <v>45175</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f>
        <v/>
      </c>
      <c r="T19">
        <f>HYPERLINK("https://klasma.github.io/Logging_HOGSBY/kartor/A 16212-2019.png")</f>
        <v/>
      </c>
      <c r="V19">
        <f>HYPERLINK("https://klasma.github.io/Logging_HOGSBY/klagomål/A 16212-2019.docx")</f>
        <v/>
      </c>
      <c r="W19">
        <f>HYPERLINK("https://klasma.github.io/Logging_HOGSBY/klagomålsmail/A 16212-2019.docx")</f>
        <v/>
      </c>
      <c r="X19">
        <f>HYPERLINK("https://klasma.github.io/Logging_HOGSBY/tillsyn/A 16212-2019.docx")</f>
        <v/>
      </c>
      <c r="Y19">
        <f>HYPERLINK("https://klasma.github.io/Logging_HOGSBY/tillsynsmail/A 16212-2019.docx")</f>
        <v/>
      </c>
    </row>
    <row r="20" ht="15" customHeight="1">
      <c r="A20" t="inlineStr">
        <is>
          <t>A 53293-2021</t>
        </is>
      </c>
      <c r="B20" s="1" t="n">
        <v>44468</v>
      </c>
      <c r="C20" s="1" t="n">
        <v>45175</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f>
        <v/>
      </c>
      <c r="T20">
        <f>HYPERLINK("https://klasma.github.io/Logging_HULTSFRED/kartor/A 53293-2021.png")</f>
        <v/>
      </c>
      <c r="V20">
        <f>HYPERLINK("https://klasma.github.io/Logging_HULTSFRED/klagomål/A 53293-2021.docx")</f>
        <v/>
      </c>
      <c r="W20">
        <f>HYPERLINK("https://klasma.github.io/Logging_HULTSFRED/klagomålsmail/A 53293-2021.docx")</f>
        <v/>
      </c>
      <c r="X20">
        <f>HYPERLINK("https://klasma.github.io/Logging_HULTSFRED/tillsyn/A 53293-2021.docx")</f>
        <v/>
      </c>
      <c r="Y20">
        <f>HYPERLINK("https://klasma.github.io/Logging_HULTSFRED/tillsynsmail/A 53293-2021.docx")</f>
        <v/>
      </c>
    </row>
    <row r="21" ht="15" customHeight="1">
      <c r="A21" t="inlineStr">
        <is>
          <t>A 21924-2019</t>
        </is>
      </c>
      <c r="B21" s="1" t="n">
        <v>43584</v>
      </c>
      <c r="C21" s="1" t="n">
        <v>45175</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f>
        <v/>
      </c>
      <c r="T21">
        <f>HYPERLINK("https://klasma.github.io/Logging_MONSTERAS/kartor/A 21924-2019.png")</f>
        <v/>
      </c>
      <c r="V21">
        <f>HYPERLINK("https://klasma.github.io/Logging_MONSTERAS/klagomål/A 21924-2019.docx")</f>
        <v/>
      </c>
      <c r="W21">
        <f>HYPERLINK("https://klasma.github.io/Logging_MONSTERAS/klagomålsmail/A 21924-2019.docx")</f>
        <v/>
      </c>
      <c r="X21">
        <f>HYPERLINK("https://klasma.github.io/Logging_MONSTERAS/tillsyn/A 21924-2019.docx")</f>
        <v/>
      </c>
      <c r="Y21">
        <f>HYPERLINK("https://klasma.github.io/Logging_MONSTERAS/tillsynsmail/A 21924-2019.docx")</f>
        <v/>
      </c>
    </row>
    <row r="22" ht="15" customHeight="1">
      <c r="A22" t="inlineStr">
        <is>
          <t>A 61460-2019</t>
        </is>
      </c>
      <c r="B22" s="1" t="n">
        <v>43783</v>
      </c>
      <c r="C22" s="1" t="n">
        <v>45175</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f>
        <v/>
      </c>
      <c r="T22">
        <f>HYPERLINK("https://klasma.github.io/Logging_VIMMERBY/kartor/A 61460-2019.png")</f>
        <v/>
      </c>
      <c r="U22">
        <f>HYPERLINK("https://klasma.github.io/Logging_VIMMERBY/knärot/A 61460-2019.png")</f>
        <v/>
      </c>
      <c r="V22">
        <f>HYPERLINK("https://klasma.github.io/Logging_VIMMERBY/klagomål/A 61460-2019.docx")</f>
        <v/>
      </c>
      <c r="W22">
        <f>HYPERLINK("https://klasma.github.io/Logging_VIMMERBY/klagomålsmail/A 61460-2019.docx")</f>
        <v/>
      </c>
      <c r="X22">
        <f>HYPERLINK("https://klasma.github.io/Logging_VIMMERBY/tillsyn/A 61460-2019.docx")</f>
        <v/>
      </c>
      <c r="Y22">
        <f>HYPERLINK("https://klasma.github.io/Logging_VIMMERBY/tillsynsmail/A 61460-2019.docx")</f>
        <v/>
      </c>
    </row>
    <row r="23" ht="15" customHeight="1">
      <c r="A23" t="inlineStr">
        <is>
          <t>A 7757-2021</t>
        </is>
      </c>
      <c r="B23" s="1" t="n">
        <v>44239</v>
      </c>
      <c r="C23" s="1" t="n">
        <v>45175</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f>
        <v/>
      </c>
      <c r="T23">
        <f>HYPERLINK("https://klasma.github.io/Logging_VASTERVIK/kartor/A 7757-2021.png")</f>
        <v/>
      </c>
      <c r="U23">
        <f>HYPERLINK("https://klasma.github.io/Logging_VASTERVIK/knärot/A 7757-2021.png")</f>
        <v/>
      </c>
      <c r="V23">
        <f>HYPERLINK("https://klasma.github.io/Logging_VASTERVIK/klagomål/A 7757-2021.docx")</f>
        <v/>
      </c>
      <c r="W23">
        <f>HYPERLINK("https://klasma.github.io/Logging_VASTERVIK/klagomålsmail/A 7757-2021.docx")</f>
        <v/>
      </c>
      <c r="X23">
        <f>HYPERLINK("https://klasma.github.io/Logging_VASTERVIK/tillsyn/A 7757-2021.docx")</f>
        <v/>
      </c>
      <c r="Y23">
        <f>HYPERLINK("https://klasma.github.io/Logging_VASTERVIK/tillsynsmail/A 7757-2021.docx")</f>
        <v/>
      </c>
    </row>
    <row r="24" ht="15" customHeight="1">
      <c r="A24" t="inlineStr">
        <is>
          <t>A 8576-2021</t>
        </is>
      </c>
      <c r="B24" s="1" t="n">
        <v>44245</v>
      </c>
      <c r="C24" s="1" t="n">
        <v>45175</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f>
        <v/>
      </c>
      <c r="T24">
        <f>HYPERLINK("https://klasma.github.io/Logging_KALMAR/kartor/A 8576-2021.png")</f>
        <v/>
      </c>
      <c r="U24">
        <f>HYPERLINK("https://klasma.github.io/Logging_KALMAR/knärot/A 8576-2021.png")</f>
        <v/>
      </c>
      <c r="V24">
        <f>HYPERLINK("https://klasma.github.io/Logging_KALMAR/klagomål/A 8576-2021.docx")</f>
        <v/>
      </c>
      <c r="W24">
        <f>HYPERLINK("https://klasma.github.io/Logging_KALMAR/klagomålsmail/A 8576-2021.docx")</f>
        <v/>
      </c>
      <c r="X24">
        <f>HYPERLINK("https://klasma.github.io/Logging_KALMAR/tillsyn/A 8576-2021.docx")</f>
        <v/>
      </c>
      <c r="Y24">
        <f>HYPERLINK("https://klasma.github.io/Logging_KALMAR/tillsynsmail/A 8576-2021.docx")</f>
        <v/>
      </c>
    </row>
    <row r="25" ht="15" customHeight="1">
      <c r="A25" t="inlineStr">
        <is>
          <t>A 23370-2021</t>
        </is>
      </c>
      <c r="B25" s="1" t="n">
        <v>44336</v>
      </c>
      <c r="C25" s="1" t="n">
        <v>45175</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f>
        <v/>
      </c>
      <c r="T25">
        <f>HYPERLINK("https://klasma.github.io/Logging_BORGHOLM/kartor/A 23370-2021.png")</f>
        <v/>
      </c>
      <c r="V25">
        <f>HYPERLINK("https://klasma.github.io/Logging_BORGHOLM/klagomål/A 23370-2021.docx")</f>
        <v/>
      </c>
      <c r="W25">
        <f>HYPERLINK("https://klasma.github.io/Logging_BORGHOLM/klagomålsmail/A 23370-2021.docx")</f>
        <v/>
      </c>
      <c r="X25">
        <f>HYPERLINK("https://klasma.github.io/Logging_BORGHOLM/tillsyn/A 23370-2021.docx")</f>
        <v/>
      </c>
      <c r="Y25">
        <f>HYPERLINK("https://klasma.github.io/Logging_BORGHOLM/tillsynsmail/A 23370-2021.docx")</f>
        <v/>
      </c>
    </row>
    <row r="26" ht="15" customHeight="1">
      <c r="A26" t="inlineStr">
        <is>
          <t>A 37023-2021</t>
        </is>
      </c>
      <c r="B26" s="1" t="n">
        <v>44393</v>
      </c>
      <c r="C26" s="1" t="n">
        <v>45175</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f>
        <v/>
      </c>
      <c r="T26">
        <f>HYPERLINK("https://klasma.github.io/Logging_VASTERVIK/kartor/A 37023-2021.png")</f>
        <v/>
      </c>
      <c r="U26">
        <f>HYPERLINK("https://klasma.github.io/Logging_VASTERVIK/knärot/A 37023-2021.png")</f>
        <v/>
      </c>
      <c r="V26">
        <f>HYPERLINK("https://klasma.github.io/Logging_VASTERVIK/klagomål/A 37023-2021.docx")</f>
        <v/>
      </c>
      <c r="W26">
        <f>HYPERLINK("https://klasma.github.io/Logging_VASTERVIK/klagomålsmail/A 37023-2021.docx")</f>
        <v/>
      </c>
      <c r="X26">
        <f>HYPERLINK("https://klasma.github.io/Logging_VASTERVIK/tillsyn/A 37023-2021.docx")</f>
        <v/>
      </c>
      <c r="Y26">
        <f>HYPERLINK("https://klasma.github.io/Logging_VASTERVIK/tillsynsmail/A 37023-2021.docx")</f>
        <v/>
      </c>
    </row>
    <row r="27" ht="15" customHeight="1">
      <c r="A27" t="inlineStr">
        <is>
          <t>A 17146-2020</t>
        </is>
      </c>
      <c r="B27" s="1" t="n">
        <v>43922</v>
      </c>
      <c r="C27" s="1" t="n">
        <v>45175</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f>
        <v/>
      </c>
      <c r="T27">
        <f>HYPERLINK("https://klasma.github.io/Logging_TORSAS/kartor/A 17146-2020.png")</f>
        <v/>
      </c>
      <c r="U27">
        <f>HYPERLINK("https://klasma.github.io/Logging_TORSAS/knärot/A 17146-2020.png")</f>
        <v/>
      </c>
      <c r="V27">
        <f>HYPERLINK("https://klasma.github.io/Logging_TORSAS/klagomål/A 17146-2020.docx")</f>
        <v/>
      </c>
      <c r="W27">
        <f>HYPERLINK("https://klasma.github.io/Logging_TORSAS/klagomålsmail/A 17146-2020.docx")</f>
        <v/>
      </c>
      <c r="X27">
        <f>HYPERLINK("https://klasma.github.io/Logging_TORSAS/tillsyn/A 17146-2020.docx")</f>
        <v/>
      </c>
      <c r="Y27">
        <f>HYPERLINK("https://klasma.github.io/Logging_TORSAS/tillsynsmail/A 17146-2020.docx")</f>
        <v/>
      </c>
    </row>
    <row r="28" ht="15" customHeight="1">
      <c r="A28" t="inlineStr">
        <is>
          <t>A 66612-2020</t>
        </is>
      </c>
      <c r="B28" s="1" t="n">
        <v>44175</v>
      </c>
      <c r="C28" s="1" t="n">
        <v>45175</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f>
        <v/>
      </c>
      <c r="T28">
        <f>HYPERLINK("https://klasma.github.io/Logging_HULTSFRED/kartor/A 66612-2020.png")</f>
        <v/>
      </c>
      <c r="U28">
        <f>HYPERLINK("https://klasma.github.io/Logging_HULTSFRED/knärot/A 66612-2020.png")</f>
        <v/>
      </c>
      <c r="V28">
        <f>HYPERLINK("https://klasma.github.io/Logging_HULTSFRED/klagomål/A 66612-2020.docx")</f>
        <v/>
      </c>
      <c r="W28">
        <f>HYPERLINK("https://klasma.github.io/Logging_HULTSFRED/klagomålsmail/A 66612-2020.docx")</f>
        <v/>
      </c>
      <c r="X28">
        <f>HYPERLINK("https://klasma.github.io/Logging_HULTSFRED/tillsyn/A 66612-2020.docx")</f>
        <v/>
      </c>
      <c r="Y28">
        <f>HYPERLINK("https://klasma.github.io/Logging_HULTSFRED/tillsynsmail/A 66612-2020.docx")</f>
        <v/>
      </c>
    </row>
    <row r="29" ht="15" customHeight="1">
      <c r="A29" t="inlineStr">
        <is>
          <t>A 33827-2021</t>
        </is>
      </c>
      <c r="B29" s="1" t="n">
        <v>44378</v>
      </c>
      <c r="C29" s="1" t="n">
        <v>45175</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f>
        <v/>
      </c>
      <c r="T29">
        <f>HYPERLINK("https://klasma.github.io/Logging_HOGSBY/kartor/A 33827-2021.png")</f>
        <v/>
      </c>
      <c r="V29">
        <f>HYPERLINK("https://klasma.github.io/Logging_HOGSBY/klagomål/A 33827-2021.docx")</f>
        <v/>
      </c>
      <c r="W29">
        <f>HYPERLINK("https://klasma.github.io/Logging_HOGSBY/klagomålsmail/A 33827-2021.docx")</f>
        <v/>
      </c>
      <c r="X29">
        <f>HYPERLINK("https://klasma.github.io/Logging_HOGSBY/tillsyn/A 33827-2021.docx")</f>
        <v/>
      </c>
      <c r="Y29">
        <f>HYPERLINK("https://klasma.github.io/Logging_HOGSBY/tillsynsmail/A 33827-2021.docx")</f>
        <v/>
      </c>
    </row>
    <row r="30" ht="15" customHeight="1">
      <c r="A30" t="inlineStr">
        <is>
          <t>A 39600-2021</t>
        </is>
      </c>
      <c r="B30" s="1" t="n">
        <v>44413</v>
      </c>
      <c r="C30" s="1" t="n">
        <v>45175</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f>
        <v/>
      </c>
      <c r="T30">
        <f>HYPERLINK("https://klasma.github.io/Logging_OSKARSHAMN/kartor/A 39600-2021.png")</f>
        <v/>
      </c>
      <c r="U30">
        <f>HYPERLINK("https://klasma.github.io/Logging_OSKARSHAMN/knärot/A 39600-2021.png")</f>
        <v/>
      </c>
      <c r="V30">
        <f>HYPERLINK("https://klasma.github.io/Logging_OSKARSHAMN/klagomål/A 39600-2021.docx")</f>
        <v/>
      </c>
      <c r="W30">
        <f>HYPERLINK("https://klasma.github.io/Logging_OSKARSHAMN/klagomålsmail/A 39600-2021.docx")</f>
        <v/>
      </c>
      <c r="X30">
        <f>HYPERLINK("https://klasma.github.io/Logging_OSKARSHAMN/tillsyn/A 39600-2021.docx")</f>
        <v/>
      </c>
      <c r="Y30">
        <f>HYPERLINK("https://klasma.github.io/Logging_OSKARSHAMN/tillsynsmail/A 39600-2021.docx")</f>
        <v/>
      </c>
    </row>
    <row r="31" ht="15" customHeight="1">
      <c r="A31" t="inlineStr">
        <is>
          <t>A 44969-2021</t>
        </is>
      </c>
      <c r="B31" s="1" t="n">
        <v>44438</v>
      </c>
      <c r="C31" s="1" t="n">
        <v>45175</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f>
        <v/>
      </c>
      <c r="T31">
        <f>HYPERLINK("https://klasma.github.io/Logging_HOGSBY/kartor/A 44969-2021.png")</f>
        <v/>
      </c>
      <c r="V31">
        <f>HYPERLINK("https://klasma.github.io/Logging_HOGSBY/klagomål/A 44969-2021.docx")</f>
        <v/>
      </c>
      <c r="W31">
        <f>HYPERLINK("https://klasma.github.io/Logging_HOGSBY/klagomålsmail/A 44969-2021.docx")</f>
        <v/>
      </c>
      <c r="X31">
        <f>HYPERLINK("https://klasma.github.io/Logging_HOGSBY/tillsyn/A 44969-2021.docx")</f>
        <v/>
      </c>
      <c r="Y31">
        <f>HYPERLINK("https://klasma.github.io/Logging_HOGSBY/tillsynsmail/A 44969-2021.docx")</f>
        <v/>
      </c>
    </row>
    <row r="32" ht="15" customHeight="1">
      <c r="A32" t="inlineStr">
        <is>
          <t>A 33061-2022</t>
        </is>
      </c>
      <c r="B32" s="1" t="n">
        <v>44785</v>
      </c>
      <c r="C32" s="1" t="n">
        <v>45175</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f>
        <v/>
      </c>
      <c r="T32">
        <f>HYPERLINK("https://klasma.github.io/Logging_KALMAR/kartor/A 33061-2022.png")</f>
        <v/>
      </c>
      <c r="U32">
        <f>HYPERLINK("https://klasma.github.io/Logging_KALMAR/knärot/A 33061-2022.png")</f>
        <v/>
      </c>
      <c r="V32">
        <f>HYPERLINK("https://klasma.github.io/Logging_KALMAR/klagomål/A 33061-2022.docx")</f>
        <v/>
      </c>
      <c r="W32">
        <f>HYPERLINK("https://klasma.github.io/Logging_KALMAR/klagomålsmail/A 33061-2022.docx")</f>
        <v/>
      </c>
      <c r="X32">
        <f>HYPERLINK("https://klasma.github.io/Logging_KALMAR/tillsyn/A 33061-2022.docx")</f>
        <v/>
      </c>
      <c r="Y32">
        <f>HYPERLINK("https://klasma.github.io/Logging_KALMAR/tillsynsmail/A 33061-2022.docx")</f>
        <v/>
      </c>
    </row>
    <row r="33" ht="15" customHeight="1">
      <c r="A33" t="inlineStr">
        <is>
          <t>A 7689-2019</t>
        </is>
      </c>
      <c r="B33" s="1" t="n">
        <v>43500</v>
      </c>
      <c r="C33" s="1" t="n">
        <v>45175</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f>
        <v/>
      </c>
      <c r="T33">
        <f>HYPERLINK("https://klasma.github.io/Logging_HOGSBY/kartor/A 7689-2019.png")</f>
        <v/>
      </c>
      <c r="U33">
        <f>HYPERLINK("https://klasma.github.io/Logging_HOGSBY/knärot/A 7689-2019.png")</f>
        <v/>
      </c>
      <c r="V33">
        <f>HYPERLINK("https://klasma.github.io/Logging_HOGSBY/klagomål/A 7689-2019.docx")</f>
        <v/>
      </c>
      <c r="W33">
        <f>HYPERLINK("https://klasma.github.io/Logging_HOGSBY/klagomålsmail/A 7689-2019.docx")</f>
        <v/>
      </c>
      <c r="X33">
        <f>HYPERLINK("https://klasma.github.io/Logging_HOGSBY/tillsyn/A 7689-2019.docx")</f>
        <v/>
      </c>
      <c r="Y33">
        <f>HYPERLINK("https://klasma.github.io/Logging_HOGSBY/tillsynsmail/A 7689-2019.docx")</f>
        <v/>
      </c>
    </row>
    <row r="34" ht="15" customHeight="1">
      <c r="A34" t="inlineStr">
        <is>
          <t>A 14713-2020</t>
        </is>
      </c>
      <c r="B34" s="1" t="n">
        <v>43909</v>
      </c>
      <c r="C34" s="1" t="n">
        <v>45175</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f>
        <v/>
      </c>
      <c r="T34">
        <f>HYPERLINK("https://klasma.github.io/Logging_BORGHOLM/kartor/A 14713-2020.png")</f>
        <v/>
      </c>
      <c r="V34">
        <f>HYPERLINK("https://klasma.github.io/Logging_BORGHOLM/klagomål/A 14713-2020.docx")</f>
        <v/>
      </c>
      <c r="W34">
        <f>HYPERLINK("https://klasma.github.io/Logging_BORGHOLM/klagomålsmail/A 14713-2020.docx")</f>
        <v/>
      </c>
      <c r="X34">
        <f>HYPERLINK("https://klasma.github.io/Logging_BORGHOLM/tillsyn/A 14713-2020.docx")</f>
        <v/>
      </c>
      <c r="Y34">
        <f>HYPERLINK("https://klasma.github.io/Logging_BORGHOLM/tillsynsmail/A 14713-2020.docx")</f>
        <v/>
      </c>
    </row>
    <row r="35" ht="15" customHeight="1">
      <c r="A35" t="inlineStr">
        <is>
          <t>A 51920-2018</t>
        </is>
      </c>
      <c r="B35" s="1" t="n">
        <v>43382</v>
      </c>
      <c r="C35" s="1" t="n">
        <v>45175</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f>
        <v/>
      </c>
      <c r="T35">
        <f>HYPERLINK("https://klasma.github.io/Logging_HOGSBY/kartor/A 51920-2018.png")</f>
        <v/>
      </c>
      <c r="V35">
        <f>HYPERLINK("https://klasma.github.io/Logging_HOGSBY/klagomål/A 51920-2018.docx")</f>
        <v/>
      </c>
      <c r="W35">
        <f>HYPERLINK("https://klasma.github.io/Logging_HOGSBY/klagomålsmail/A 51920-2018.docx")</f>
        <v/>
      </c>
      <c r="X35">
        <f>HYPERLINK("https://klasma.github.io/Logging_HOGSBY/tillsyn/A 51920-2018.docx")</f>
        <v/>
      </c>
      <c r="Y35">
        <f>HYPERLINK("https://klasma.github.io/Logging_HOGSBY/tillsynsmail/A 51920-2018.docx")</f>
        <v/>
      </c>
    </row>
    <row r="36" ht="15" customHeight="1">
      <c r="A36" t="inlineStr">
        <is>
          <t>A 66041-2018</t>
        </is>
      </c>
      <c r="B36" s="1" t="n">
        <v>43434</v>
      </c>
      <c r="C36" s="1" t="n">
        <v>45175</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f>
        <v/>
      </c>
      <c r="T36">
        <f>HYPERLINK("https://klasma.github.io/Logging_MORBYLANGA/kartor/A 66041-2018.png")</f>
        <v/>
      </c>
      <c r="V36">
        <f>HYPERLINK("https://klasma.github.io/Logging_MORBYLANGA/klagomål/A 66041-2018.docx")</f>
        <v/>
      </c>
      <c r="W36">
        <f>HYPERLINK("https://klasma.github.io/Logging_MORBYLANGA/klagomålsmail/A 66041-2018.docx")</f>
        <v/>
      </c>
      <c r="X36">
        <f>HYPERLINK("https://klasma.github.io/Logging_MORBYLANGA/tillsyn/A 66041-2018.docx")</f>
        <v/>
      </c>
      <c r="Y36">
        <f>HYPERLINK("https://klasma.github.io/Logging_MORBYLANGA/tillsynsmail/A 66041-2018.docx")</f>
        <v/>
      </c>
    </row>
    <row r="37" ht="15" customHeight="1">
      <c r="A37" t="inlineStr">
        <is>
          <t>A 20822-2019</t>
        </is>
      </c>
      <c r="B37" s="1" t="n">
        <v>43573</v>
      </c>
      <c r="C37" s="1" t="n">
        <v>45175</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f>
        <v/>
      </c>
      <c r="T37">
        <f>HYPERLINK("https://klasma.github.io/Logging_HOGSBY/kartor/A 20822-2019.png")</f>
        <v/>
      </c>
      <c r="U37">
        <f>HYPERLINK("https://klasma.github.io/Logging_HOGSBY/knärot/A 20822-2019.png")</f>
        <v/>
      </c>
      <c r="V37">
        <f>HYPERLINK("https://klasma.github.io/Logging_HOGSBY/klagomål/A 20822-2019.docx")</f>
        <v/>
      </c>
      <c r="W37">
        <f>HYPERLINK("https://klasma.github.io/Logging_HOGSBY/klagomålsmail/A 20822-2019.docx")</f>
        <v/>
      </c>
      <c r="X37">
        <f>HYPERLINK("https://klasma.github.io/Logging_HOGSBY/tillsyn/A 20822-2019.docx")</f>
        <v/>
      </c>
      <c r="Y37">
        <f>HYPERLINK("https://klasma.github.io/Logging_HOGSBY/tillsynsmail/A 20822-2019.docx")</f>
        <v/>
      </c>
    </row>
    <row r="38" ht="15" customHeight="1">
      <c r="A38" t="inlineStr">
        <is>
          <t>A 63105-2019</t>
        </is>
      </c>
      <c r="B38" s="1" t="n">
        <v>43791</v>
      </c>
      <c r="C38" s="1" t="n">
        <v>45175</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f>
        <v/>
      </c>
      <c r="T38">
        <f>HYPERLINK("https://klasma.github.io/Logging_VASTERVIK/kartor/A 63105-2019.png")</f>
        <v/>
      </c>
      <c r="V38">
        <f>HYPERLINK("https://klasma.github.io/Logging_VASTERVIK/klagomål/A 63105-2019.docx")</f>
        <v/>
      </c>
      <c r="W38">
        <f>HYPERLINK("https://klasma.github.io/Logging_VASTERVIK/klagomålsmail/A 63105-2019.docx")</f>
        <v/>
      </c>
      <c r="X38">
        <f>HYPERLINK("https://klasma.github.io/Logging_VASTERVIK/tillsyn/A 63105-2019.docx")</f>
        <v/>
      </c>
      <c r="Y38">
        <f>HYPERLINK("https://klasma.github.io/Logging_VASTERVIK/tillsynsmail/A 63105-2019.docx")</f>
        <v/>
      </c>
    </row>
    <row r="39" ht="15" customHeight="1">
      <c r="A39" t="inlineStr">
        <is>
          <t>A 60579-2020</t>
        </is>
      </c>
      <c r="B39" s="1" t="n">
        <v>44153</v>
      </c>
      <c r="C39" s="1" t="n">
        <v>45175</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f>
        <v/>
      </c>
      <c r="T39">
        <f>HYPERLINK("https://klasma.github.io/Logging_OSKARSHAMN/kartor/A 60579-2020.png")</f>
        <v/>
      </c>
      <c r="V39">
        <f>HYPERLINK("https://klasma.github.io/Logging_OSKARSHAMN/klagomål/A 60579-2020.docx")</f>
        <v/>
      </c>
      <c r="W39">
        <f>HYPERLINK("https://klasma.github.io/Logging_OSKARSHAMN/klagomålsmail/A 60579-2020.docx")</f>
        <v/>
      </c>
      <c r="X39">
        <f>HYPERLINK("https://klasma.github.io/Logging_OSKARSHAMN/tillsyn/A 60579-2020.docx")</f>
        <v/>
      </c>
      <c r="Y39">
        <f>HYPERLINK("https://klasma.github.io/Logging_OSKARSHAMN/tillsynsmail/A 60579-2020.docx")</f>
        <v/>
      </c>
    </row>
    <row r="40" ht="15" customHeight="1">
      <c r="A40" t="inlineStr">
        <is>
          <t>A 63570-2020</t>
        </is>
      </c>
      <c r="B40" s="1" t="n">
        <v>44165</v>
      </c>
      <c r="C40" s="1" t="n">
        <v>45175</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f>
        <v/>
      </c>
      <c r="T40">
        <f>HYPERLINK("https://klasma.github.io/Logging_OSKARSHAMN/kartor/A 63570-2020.png")</f>
        <v/>
      </c>
      <c r="V40">
        <f>HYPERLINK("https://klasma.github.io/Logging_OSKARSHAMN/klagomål/A 63570-2020.docx")</f>
        <v/>
      </c>
      <c r="W40">
        <f>HYPERLINK("https://klasma.github.io/Logging_OSKARSHAMN/klagomålsmail/A 63570-2020.docx")</f>
        <v/>
      </c>
      <c r="X40">
        <f>HYPERLINK("https://klasma.github.io/Logging_OSKARSHAMN/tillsyn/A 63570-2020.docx")</f>
        <v/>
      </c>
      <c r="Y40">
        <f>HYPERLINK("https://klasma.github.io/Logging_OSKARSHAMN/tillsynsmail/A 63570-2020.docx")</f>
        <v/>
      </c>
    </row>
    <row r="41" ht="15" customHeight="1">
      <c r="A41" t="inlineStr">
        <is>
          <t>A 65163-2020</t>
        </is>
      </c>
      <c r="B41" s="1" t="n">
        <v>44172</v>
      </c>
      <c r="C41" s="1" t="n">
        <v>45175</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f>
        <v/>
      </c>
      <c r="T41">
        <f>HYPERLINK("https://klasma.github.io/Logging_MORBYLANGA/kartor/A 65163-2020.png")</f>
        <v/>
      </c>
      <c r="V41">
        <f>HYPERLINK("https://klasma.github.io/Logging_MORBYLANGA/klagomål/A 65163-2020.docx")</f>
        <v/>
      </c>
      <c r="W41">
        <f>HYPERLINK("https://klasma.github.io/Logging_MORBYLANGA/klagomålsmail/A 65163-2020.docx")</f>
        <v/>
      </c>
      <c r="X41">
        <f>HYPERLINK("https://klasma.github.io/Logging_MORBYLANGA/tillsyn/A 65163-2020.docx")</f>
        <v/>
      </c>
      <c r="Y41">
        <f>HYPERLINK("https://klasma.github.io/Logging_MORBYLANGA/tillsynsmail/A 65163-2020.docx")</f>
        <v/>
      </c>
    </row>
    <row r="42" ht="15" customHeight="1">
      <c r="A42" t="inlineStr">
        <is>
          <t>A 15252-2021</t>
        </is>
      </c>
      <c r="B42" s="1" t="n">
        <v>44284</v>
      </c>
      <c r="C42" s="1" t="n">
        <v>45175</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f>
        <v/>
      </c>
      <c r="T42">
        <f>HYPERLINK("https://klasma.github.io/Logging_VASTERVIK/kartor/A 15252-2021.png")</f>
        <v/>
      </c>
      <c r="U42">
        <f>HYPERLINK("https://klasma.github.io/Logging_VASTERVIK/knärot/A 15252-2021.png")</f>
        <v/>
      </c>
      <c r="V42">
        <f>HYPERLINK("https://klasma.github.io/Logging_VASTERVIK/klagomål/A 15252-2021.docx")</f>
        <v/>
      </c>
      <c r="W42">
        <f>HYPERLINK("https://klasma.github.io/Logging_VASTERVIK/klagomålsmail/A 15252-2021.docx")</f>
        <v/>
      </c>
      <c r="X42">
        <f>HYPERLINK("https://klasma.github.io/Logging_VASTERVIK/tillsyn/A 15252-2021.docx")</f>
        <v/>
      </c>
      <c r="Y42">
        <f>HYPERLINK("https://klasma.github.io/Logging_VASTERVIK/tillsynsmail/A 15252-2021.docx")</f>
        <v/>
      </c>
    </row>
    <row r="43" ht="15" customHeight="1">
      <c r="A43" t="inlineStr">
        <is>
          <t>A 67432-2021</t>
        </is>
      </c>
      <c r="B43" s="1" t="n">
        <v>44523</v>
      </c>
      <c r="C43" s="1" t="n">
        <v>45175</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f>
        <v/>
      </c>
      <c r="T43">
        <f>HYPERLINK("https://klasma.github.io/Logging_BORGHOLM/kartor/A 67432-2021.png")</f>
        <v/>
      </c>
      <c r="V43">
        <f>HYPERLINK("https://klasma.github.io/Logging_BORGHOLM/klagomål/A 67432-2021.docx")</f>
        <v/>
      </c>
      <c r="W43">
        <f>HYPERLINK("https://klasma.github.io/Logging_BORGHOLM/klagomålsmail/A 67432-2021.docx")</f>
        <v/>
      </c>
      <c r="X43">
        <f>HYPERLINK("https://klasma.github.io/Logging_BORGHOLM/tillsyn/A 67432-2021.docx")</f>
        <v/>
      </c>
      <c r="Y43">
        <f>HYPERLINK("https://klasma.github.io/Logging_BORGHOLM/tillsynsmail/A 67432-2021.docx")</f>
        <v/>
      </c>
    </row>
    <row r="44" ht="15" customHeight="1">
      <c r="A44" t="inlineStr">
        <is>
          <t>A 37421-2022</t>
        </is>
      </c>
      <c r="B44" s="1" t="n">
        <v>44809</v>
      </c>
      <c r="C44" s="1" t="n">
        <v>45175</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f>
        <v/>
      </c>
      <c r="T44">
        <f>HYPERLINK("https://klasma.github.io/Logging_BORGHOLM/kartor/A 37421-2022.png")</f>
        <v/>
      </c>
      <c r="V44">
        <f>HYPERLINK("https://klasma.github.io/Logging_BORGHOLM/klagomål/A 37421-2022.docx")</f>
        <v/>
      </c>
      <c r="W44">
        <f>HYPERLINK("https://klasma.github.io/Logging_BORGHOLM/klagomålsmail/A 37421-2022.docx")</f>
        <v/>
      </c>
      <c r="X44">
        <f>HYPERLINK("https://klasma.github.io/Logging_BORGHOLM/tillsyn/A 37421-2022.docx")</f>
        <v/>
      </c>
      <c r="Y44">
        <f>HYPERLINK("https://klasma.github.io/Logging_BORGHOLM/tillsynsmail/A 37421-2022.docx")</f>
        <v/>
      </c>
    </row>
    <row r="45" ht="15" customHeight="1">
      <c r="A45" t="inlineStr">
        <is>
          <t>A 37889-2022</t>
        </is>
      </c>
      <c r="B45" s="1" t="n">
        <v>44811</v>
      </c>
      <c r="C45" s="1" t="n">
        <v>45175</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f>
        <v/>
      </c>
      <c r="T45">
        <f>HYPERLINK("https://klasma.github.io/Logging_VIMMERBY/kartor/A 37889-2022.png")</f>
        <v/>
      </c>
      <c r="V45">
        <f>HYPERLINK("https://klasma.github.io/Logging_VIMMERBY/klagomål/A 37889-2022.docx")</f>
        <v/>
      </c>
      <c r="W45">
        <f>HYPERLINK("https://klasma.github.io/Logging_VIMMERBY/klagomålsmail/A 37889-2022.docx")</f>
        <v/>
      </c>
      <c r="X45">
        <f>HYPERLINK("https://klasma.github.io/Logging_VIMMERBY/tillsyn/A 37889-2022.docx")</f>
        <v/>
      </c>
      <c r="Y45">
        <f>HYPERLINK("https://klasma.github.io/Logging_VIMMERBY/tillsynsmail/A 37889-2022.docx")</f>
        <v/>
      </c>
    </row>
    <row r="46" ht="15" customHeight="1">
      <c r="A46" t="inlineStr">
        <is>
          <t>A 37906-2022</t>
        </is>
      </c>
      <c r="B46" s="1" t="n">
        <v>44811</v>
      </c>
      <c r="C46" s="1" t="n">
        <v>45175</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f>
        <v/>
      </c>
      <c r="T46">
        <f>HYPERLINK("https://klasma.github.io/Logging_VIMMERBY/kartor/A 37906-2022.png")</f>
        <v/>
      </c>
      <c r="U46">
        <f>HYPERLINK("https://klasma.github.io/Logging_VIMMERBY/knärot/A 37906-2022.png")</f>
        <v/>
      </c>
      <c r="V46">
        <f>HYPERLINK("https://klasma.github.io/Logging_VIMMERBY/klagomål/A 37906-2022.docx")</f>
        <v/>
      </c>
      <c r="W46">
        <f>HYPERLINK("https://klasma.github.io/Logging_VIMMERBY/klagomålsmail/A 37906-2022.docx")</f>
        <v/>
      </c>
      <c r="X46">
        <f>HYPERLINK("https://klasma.github.io/Logging_VIMMERBY/tillsyn/A 37906-2022.docx")</f>
        <v/>
      </c>
      <c r="Y46">
        <f>HYPERLINK("https://klasma.github.io/Logging_VIMMERBY/tillsynsmail/A 37906-2022.docx")</f>
        <v/>
      </c>
    </row>
    <row r="47" ht="15" customHeight="1">
      <c r="A47" t="inlineStr">
        <is>
          <t>A 7475-2023</t>
        </is>
      </c>
      <c r="B47" s="1" t="n">
        <v>44971</v>
      </c>
      <c r="C47" s="1" t="n">
        <v>45175</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f>
        <v/>
      </c>
      <c r="T47">
        <f>HYPERLINK("https://klasma.github.io/Logging_MONSTERAS/kartor/A 7475-2023.png")</f>
        <v/>
      </c>
      <c r="U47">
        <f>HYPERLINK("https://klasma.github.io/Logging_MONSTERAS/knärot/A 7475-2023.png")</f>
        <v/>
      </c>
      <c r="V47">
        <f>HYPERLINK("https://klasma.github.io/Logging_MONSTERAS/klagomål/A 7475-2023.docx")</f>
        <v/>
      </c>
      <c r="W47">
        <f>HYPERLINK("https://klasma.github.io/Logging_MONSTERAS/klagomålsmail/A 7475-2023.docx")</f>
        <v/>
      </c>
      <c r="X47">
        <f>HYPERLINK("https://klasma.github.io/Logging_MONSTERAS/tillsyn/A 7475-2023.docx")</f>
        <v/>
      </c>
      <c r="Y47">
        <f>HYPERLINK("https://klasma.github.io/Logging_MONSTERAS/tillsynsmail/A 7475-2023.docx")</f>
        <v/>
      </c>
    </row>
    <row r="48" ht="15" customHeight="1">
      <c r="A48" t="inlineStr">
        <is>
          <t>A 21915-2019</t>
        </is>
      </c>
      <c r="B48" s="1" t="n">
        <v>43584</v>
      </c>
      <c r="C48" s="1" t="n">
        <v>45175</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f>
        <v/>
      </c>
      <c r="T48">
        <f>HYPERLINK("https://klasma.github.io/Logging_MONSTERAS/kartor/A 21915-2019.png")</f>
        <v/>
      </c>
      <c r="V48">
        <f>HYPERLINK("https://klasma.github.io/Logging_MONSTERAS/klagomål/A 21915-2019.docx")</f>
        <v/>
      </c>
      <c r="W48">
        <f>HYPERLINK("https://klasma.github.io/Logging_MONSTERAS/klagomålsmail/A 21915-2019.docx")</f>
        <v/>
      </c>
      <c r="X48">
        <f>HYPERLINK("https://klasma.github.io/Logging_MONSTERAS/tillsyn/A 21915-2019.docx")</f>
        <v/>
      </c>
      <c r="Y48">
        <f>HYPERLINK("https://klasma.github.io/Logging_MONSTERAS/tillsynsmail/A 21915-2019.docx")</f>
        <v/>
      </c>
    </row>
    <row r="49" ht="15" customHeight="1">
      <c r="A49" t="inlineStr">
        <is>
          <t>A 47899-2019</t>
        </is>
      </c>
      <c r="B49" s="1" t="n">
        <v>43725</v>
      </c>
      <c r="C49" s="1" t="n">
        <v>45175</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f>
        <v/>
      </c>
      <c r="T49">
        <f>HYPERLINK("https://klasma.github.io/Logging_MORBYLANGA/kartor/A 47899-2019.png")</f>
        <v/>
      </c>
      <c r="V49">
        <f>HYPERLINK("https://klasma.github.io/Logging_MORBYLANGA/klagomål/A 47899-2019.docx")</f>
        <v/>
      </c>
      <c r="W49">
        <f>HYPERLINK("https://klasma.github.io/Logging_MORBYLANGA/klagomålsmail/A 47899-2019.docx")</f>
        <v/>
      </c>
      <c r="X49">
        <f>HYPERLINK("https://klasma.github.io/Logging_MORBYLANGA/tillsyn/A 47899-2019.docx")</f>
        <v/>
      </c>
      <c r="Y49">
        <f>HYPERLINK("https://klasma.github.io/Logging_MORBYLANGA/tillsynsmail/A 47899-2019.docx")</f>
        <v/>
      </c>
    </row>
    <row r="50" ht="15" customHeight="1">
      <c r="A50" t="inlineStr">
        <is>
          <t>A 52048-2019</t>
        </is>
      </c>
      <c r="B50" s="1" t="n">
        <v>43742</v>
      </c>
      <c r="C50" s="1" t="n">
        <v>45175</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f>
        <v/>
      </c>
      <c r="T50">
        <f>HYPERLINK("https://klasma.github.io/Logging_OSKARSHAMN/kartor/A 52048-2019.png")</f>
        <v/>
      </c>
      <c r="V50">
        <f>HYPERLINK("https://klasma.github.io/Logging_OSKARSHAMN/klagomål/A 52048-2019.docx")</f>
        <v/>
      </c>
      <c r="W50">
        <f>HYPERLINK("https://klasma.github.io/Logging_OSKARSHAMN/klagomålsmail/A 52048-2019.docx")</f>
        <v/>
      </c>
      <c r="X50">
        <f>HYPERLINK("https://klasma.github.io/Logging_OSKARSHAMN/tillsyn/A 52048-2019.docx")</f>
        <v/>
      </c>
      <c r="Y50">
        <f>HYPERLINK("https://klasma.github.io/Logging_OSKARSHAMN/tillsynsmail/A 52048-2019.docx")</f>
        <v/>
      </c>
    </row>
    <row r="51" ht="15" customHeight="1">
      <c r="A51" t="inlineStr">
        <is>
          <t>A 54178-2019</t>
        </is>
      </c>
      <c r="B51" s="1" t="n">
        <v>43753</v>
      </c>
      <c r="C51" s="1" t="n">
        <v>45175</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f>
        <v/>
      </c>
      <c r="T51">
        <f>HYPERLINK("https://klasma.github.io/Logging_VASTERVIK/kartor/A 54178-2019.png")</f>
        <v/>
      </c>
      <c r="U51">
        <f>HYPERLINK("https://klasma.github.io/Logging_VASTERVIK/knärot/A 54178-2019.png")</f>
        <v/>
      </c>
      <c r="V51">
        <f>HYPERLINK("https://klasma.github.io/Logging_VASTERVIK/klagomål/A 54178-2019.docx")</f>
        <v/>
      </c>
      <c r="W51">
        <f>HYPERLINK("https://klasma.github.io/Logging_VASTERVIK/klagomålsmail/A 54178-2019.docx")</f>
        <v/>
      </c>
      <c r="X51">
        <f>HYPERLINK("https://klasma.github.io/Logging_VASTERVIK/tillsyn/A 54178-2019.docx")</f>
        <v/>
      </c>
      <c r="Y51">
        <f>HYPERLINK("https://klasma.github.io/Logging_VASTERVIK/tillsynsmail/A 54178-2019.docx")</f>
        <v/>
      </c>
    </row>
    <row r="52" ht="15" customHeight="1">
      <c r="A52" t="inlineStr">
        <is>
          <t>A 54156-2019</t>
        </is>
      </c>
      <c r="B52" s="1" t="n">
        <v>43753</v>
      </c>
      <c r="C52" s="1" t="n">
        <v>45175</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f>
        <v/>
      </c>
      <c r="T52">
        <f>HYPERLINK("https://klasma.github.io/Logging_HULTSFRED/kartor/A 54156-2019.png")</f>
        <v/>
      </c>
      <c r="V52">
        <f>HYPERLINK("https://klasma.github.io/Logging_HULTSFRED/klagomål/A 54156-2019.docx")</f>
        <v/>
      </c>
      <c r="W52">
        <f>HYPERLINK("https://klasma.github.io/Logging_HULTSFRED/klagomålsmail/A 54156-2019.docx")</f>
        <v/>
      </c>
      <c r="X52">
        <f>HYPERLINK("https://klasma.github.io/Logging_HULTSFRED/tillsyn/A 54156-2019.docx")</f>
        <v/>
      </c>
      <c r="Y52">
        <f>HYPERLINK("https://klasma.github.io/Logging_HULTSFRED/tillsynsmail/A 54156-2019.docx")</f>
        <v/>
      </c>
    </row>
    <row r="53" ht="15" customHeight="1">
      <c r="A53" t="inlineStr">
        <is>
          <t>A 14767-2020</t>
        </is>
      </c>
      <c r="B53" s="1" t="n">
        <v>43909</v>
      </c>
      <c r="C53" s="1" t="n">
        <v>45175</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f>
        <v/>
      </c>
      <c r="T53">
        <f>HYPERLINK("https://klasma.github.io/Logging_BORGHOLM/kartor/A 14767-2020.png")</f>
        <v/>
      </c>
      <c r="V53">
        <f>HYPERLINK("https://klasma.github.io/Logging_BORGHOLM/klagomål/A 14767-2020.docx")</f>
        <v/>
      </c>
      <c r="W53">
        <f>HYPERLINK("https://klasma.github.io/Logging_BORGHOLM/klagomålsmail/A 14767-2020.docx")</f>
        <v/>
      </c>
      <c r="X53">
        <f>HYPERLINK("https://klasma.github.io/Logging_BORGHOLM/tillsyn/A 14767-2020.docx")</f>
        <v/>
      </c>
      <c r="Y53">
        <f>HYPERLINK("https://klasma.github.io/Logging_BORGHOLM/tillsynsmail/A 14767-2020.docx")</f>
        <v/>
      </c>
    </row>
    <row r="54" ht="15" customHeight="1">
      <c r="A54" t="inlineStr">
        <is>
          <t>A 16243-2020</t>
        </is>
      </c>
      <c r="B54" s="1" t="n">
        <v>43917</v>
      </c>
      <c r="C54" s="1" t="n">
        <v>45175</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f>
        <v/>
      </c>
      <c r="T54">
        <f>HYPERLINK("https://klasma.github.io/Logging_VASTERVIK/kartor/A 16243-2020.png")</f>
        <v/>
      </c>
      <c r="V54">
        <f>HYPERLINK("https://klasma.github.io/Logging_VASTERVIK/klagomål/A 16243-2020.docx")</f>
        <v/>
      </c>
      <c r="W54">
        <f>HYPERLINK("https://klasma.github.io/Logging_VASTERVIK/klagomålsmail/A 16243-2020.docx")</f>
        <v/>
      </c>
      <c r="X54">
        <f>HYPERLINK("https://klasma.github.io/Logging_VASTERVIK/tillsyn/A 16243-2020.docx")</f>
        <v/>
      </c>
      <c r="Y54">
        <f>HYPERLINK("https://klasma.github.io/Logging_VASTERVIK/tillsynsmail/A 16243-2020.docx")</f>
        <v/>
      </c>
    </row>
    <row r="55" ht="15" customHeight="1">
      <c r="A55" t="inlineStr">
        <is>
          <t>A 58854-2021</t>
        </is>
      </c>
      <c r="B55" s="1" t="n">
        <v>44489</v>
      </c>
      <c r="C55" s="1" t="n">
        <v>45175</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f>
        <v/>
      </c>
      <c r="T55">
        <f>HYPERLINK("https://klasma.github.io/Logging_KALMAR/kartor/A 58854-2021.png")</f>
        <v/>
      </c>
      <c r="U55">
        <f>HYPERLINK("https://klasma.github.io/Logging_KALMAR/knärot/A 58854-2021.png")</f>
        <v/>
      </c>
      <c r="V55">
        <f>HYPERLINK("https://klasma.github.io/Logging_KALMAR/klagomål/A 58854-2021.docx")</f>
        <v/>
      </c>
      <c r="W55">
        <f>HYPERLINK("https://klasma.github.io/Logging_KALMAR/klagomålsmail/A 58854-2021.docx")</f>
        <v/>
      </c>
      <c r="X55">
        <f>HYPERLINK("https://klasma.github.io/Logging_KALMAR/tillsyn/A 58854-2021.docx")</f>
        <v/>
      </c>
      <c r="Y55">
        <f>HYPERLINK("https://klasma.github.io/Logging_KALMAR/tillsynsmail/A 58854-2021.docx")</f>
        <v/>
      </c>
    </row>
    <row r="56" ht="15" customHeight="1">
      <c r="A56" t="inlineStr">
        <is>
          <t>A 4041-2023</t>
        </is>
      </c>
      <c r="B56" s="1" t="n">
        <v>44952</v>
      </c>
      <c r="C56" s="1" t="n">
        <v>45175</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f>
        <v/>
      </c>
      <c r="T56">
        <f>HYPERLINK("https://klasma.github.io/Logging_OSKARSHAMN/kartor/A 4041-2023.png")</f>
        <v/>
      </c>
      <c r="U56">
        <f>HYPERLINK("https://klasma.github.io/Logging_OSKARSHAMN/knärot/A 4041-2023.png")</f>
        <v/>
      </c>
      <c r="V56">
        <f>HYPERLINK("https://klasma.github.io/Logging_OSKARSHAMN/klagomål/A 4041-2023.docx")</f>
        <v/>
      </c>
      <c r="W56">
        <f>HYPERLINK("https://klasma.github.io/Logging_OSKARSHAMN/klagomålsmail/A 4041-2023.docx")</f>
        <v/>
      </c>
      <c r="X56">
        <f>HYPERLINK("https://klasma.github.io/Logging_OSKARSHAMN/tillsyn/A 4041-2023.docx")</f>
        <v/>
      </c>
      <c r="Y56">
        <f>HYPERLINK("https://klasma.github.io/Logging_OSKARSHAMN/tillsynsmail/A 4041-2023.docx")</f>
        <v/>
      </c>
    </row>
    <row r="57" ht="15" customHeight="1">
      <c r="A57" t="inlineStr">
        <is>
          <t>A 9916-2019</t>
        </is>
      </c>
      <c r="B57" s="1" t="n">
        <v>43509</v>
      </c>
      <c r="C57" s="1" t="n">
        <v>45175</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f>
        <v/>
      </c>
      <c r="T57">
        <f>HYPERLINK("https://klasma.github.io/Logging_OSKARSHAMN/kartor/A 9916-2019.png")</f>
        <v/>
      </c>
      <c r="V57">
        <f>HYPERLINK("https://klasma.github.io/Logging_OSKARSHAMN/klagomål/A 9916-2019.docx")</f>
        <v/>
      </c>
      <c r="W57">
        <f>HYPERLINK("https://klasma.github.io/Logging_OSKARSHAMN/klagomålsmail/A 9916-2019.docx")</f>
        <v/>
      </c>
      <c r="X57">
        <f>HYPERLINK("https://klasma.github.io/Logging_OSKARSHAMN/tillsyn/A 9916-2019.docx")</f>
        <v/>
      </c>
      <c r="Y57">
        <f>HYPERLINK("https://klasma.github.io/Logging_OSKARSHAMN/tillsynsmail/A 9916-2019.docx")</f>
        <v/>
      </c>
    </row>
    <row r="58" ht="15" customHeight="1">
      <c r="A58" t="inlineStr">
        <is>
          <t>A 17061-2020</t>
        </is>
      </c>
      <c r="B58" s="1" t="n">
        <v>43921</v>
      </c>
      <c r="C58" s="1" t="n">
        <v>45175</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f>
        <v/>
      </c>
      <c r="T58">
        <f>HYPERLINK("https://klasma.github.io/Logging_HULTSFRED/kartor/A 17061-2020.png")</f>
        <v/>
      </c>
      <c r="U58">
        <f>HYPERLINK("https://klasma.github.io/Logging_HULTSFRED/knärot/A 17061-2020.png")</f>
        <v/>
      </c>
      <c r="V58">
        <f>HYPERLINK("https://klasma.github.io/Logging_HULTSFRED/klagomål/A 17061-2020.docx")</f>
        <v/>
      </c>
      <c r="W58">
        <f>HYPERLINK("https://klasma.github.io/Logging_HULTSFRED/klagomålsmail/A 17061-2020.docx")</f>
        <v/>
      </c>
      <c r="X58">
        <f>HYPERLINK("https://klasma.github.io/Logging_HULTSFRED/tillsyn/A 17061-2020.docx")</f>
        <v/>
      </c>
      <c r="Y58">
        <f>HYPERLINK("https://klasma.github.io/Logging_HULTSFRED/tillsynsmail/A 17061-2020.docx")</f>
        <v/>
      </c>
    </row>
    <row r="59" ht="15" customHeight="1">
      <c r="A59" t="inlineStr">
        <is>
          <t>A 54370-2020</t>
        </is>
      </c>
      <c r="B59" s="1" t="n">
        <v>44125</v>
      </c>
      <c r="C59" s="1" t="n">
        <v>45175</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f>
        <v/>
      </c>
      <c r="T59">
        <f>HYPERLINK("https://klasma.github.io/Logging_HOGSBY/kartor/A 54370-2020.png")</f>
        <v/>
      </c>
      <c r="U59">
        <f>HYPERLINK("https://klasma.github.io/Logging_HOGSBY/knärot/A 54370-2020.png")</f>
        <v/>
      </c>
      <c r="V59">
        <f>HYPERLINK("https://klasma.github.io/Logging_HOGSBY/klagomål/A 54370-2020.docx")</f>
        <v/>
      </c>
      <c r="W59">
        <f>HYPERLINK("https://klasma.github.io/Logging_HOGSBY/klagomålsmail/A 54370-2020.docx")</f>
        <v/>
      </c>
      <c r="X59">
        <f>HYPERLINK("https://klasma.github.io/Logging_HOGSBY/tillsyn/A 54370-2020.docx")</f>
        <v/>
      </c>
      <c r="Y59">
        <f>HYPERLINK("https://klasma.github.io/Logging_HOGSBY/tillsynsmail/A 54370-2020.docx")</f>
        <v/>
      </c>
    </row>
    <row r="60" ht="15" customHeight="1">
      <c r="A60" t="inlineStr">
        <is>
          <t>A 8436-2021</t>
        </is>
      </c>
      <c r="B60" s="1" t="n">
        <v>44245</v>
      </c>
      <c r="C60" s="1" t="n">
        <v>45175</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f>
        <v/>
      </c>
      <c r="T60">
        <f>HYPERLINK("https://klasma.github.io/Logging_MORBYLANGA/kartor/A 8436-2021.png")</f>
        <v/>
      </c>
      <c r="V60">
        <f>HYPERLINK("https://klasma.github.io/Logging_MORBYLANGA/klagomål/A 8436-2021.docx")</f>
        <v/>
      </c>
      <c r="W60">
        <f>HYPERLINK("https://klasma.github.io/Logging_MORBYLANGA/klagomålsmail/A 8436-2021.docx")</f>
        <v/>
      </c>
      <c r="X60">
        <f>HYPERLINK("https://klasma.github.io/Logging_MORBYLANGA/tillsyn/A 8436-2021.docx")</f>
        <v/>
      </c>
      <c r="Y60">
        <f>HYPERLINK("https://klasma.github.io/Logging_MORBYLANGA/tillsynsmail/A 8436-2021.docx")</f>
        <v/>
      </c>
    </row>
    <row r="61" ht="15" customHeight="1">
      <c r="A61" t="inlineStr">
        <is>
          <t>A 49276-2021</t>
        </is>
      </c>
      <c r="B61" s="1" t="n">
        <v>44454</v>
      </c>
      <c r="C61" s="1" t="n">
        <v>45175</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f>
        <v/>
      </c>
      <c r="T61">
        <f>HYPERLINK("https://klasma.github.io/Logging_KALMAR/kartor/A 49276-2021.png")</f>
        <v/>
      </c>
      <c r="U61">
        <f>HYPERLINK("https://klasma.github.io/Logging_KALMAR/knärot/A 49276-2021.png")</f>
        <v/>
      </c>
      <c r="V61">
        <f>HYPERLINK("https://klasma.github.io/Logging_KALMAR/klagomål/A 49276-2021.docx")</f>
        <v/>
      </c>
      <c r="W61">
        <f>HYPERLINK("https://klasma.github.io/Logging_KALMAR/klagomålsmail/A 49276-2021.docx")</f>
        <v/>
      </c>
      <c r="X61">
        <f>HYPERLINK("https://klasma.github.io/Logging_KALMAR/tillsyn/A 49276-2021.docx")</f>
        <v/>
      </c>
      <c r="Y61">
        <f>HYPERLINK("https://klasma.github.io/Logging_KALMAR/tillsynsmail/A 49276-2021.docx")</f>
        <v/>
      </c>
    </row>
    <row r="62" ht="15" customHeight="1">
      <c r="A62" t="inlineStr">
        <is>
          <t>A 55671-2021</t>
        </is>
      </c>
      <c r="B62" s="1" t="n">
        <v>44476</v>
      </c>
      <c r="C62" s="1" t="n">
        <v>45175</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f>
        <v/>
      </c>
      <c r="T62">
        <f>HYPERLINK("https://klasma.github.io/Logging_KALMAR/kartor/A 55671-2021.png")</f>
        <v/>
      </c>
      <c r="U62">
        <f>HYPERLINK("https://klasma.github.io/Logging_KALMAR/knärot/A 55671-2021.png")</f>
        <v/>
      </c>
      <c r="V62">
        <f>HYPERLINK("https://klasma.github.io/Logging_KALMAR/klagomål/A 55671-2021.docx")</f>
        <v/>
      </c>
      <c r="W62">
        <f>HYPERLINK("https://klasma.github.io/Logging_KALMAR/klagomålsmail/A 55671-2021.docx")</f>
        <v/>
      </c>
      <c r="X62">
        <f>HYPERLINK("https://klasma.github.io/Logging_KALMAR/tillsyn/A 55671-2021.docx")</f>
        <v/>
      </c>
      <c r="Y62">
        <f>HYPERLINK("https://klasma.github.io/Logging_KALMAR/tillsynsmail/A 55671-2021.docx")</f>
        <v/>
      </c>
    </row>
    <row r="63" ht="15" customHeight="1">
      <c r="A63" t="inlineStr">
        <is>
          <t>A 34624-2022</t>
        </is>
      </c>
      <c r="B63" s="1" t="n">
        <v>44795</v>
      </c>
      <c r="C63" s="1" t="n">
        <v>45175</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f>
        <v/>
      </c>
      <c r="T63">
        <f>HYPERLINK("https://klasma.github.io/Logging_VASTERVIK/kartor/A 34624-2022.png")</f>
        <v/>
      </c>
      <c r="U63">
        <f>HYPERLINK("https://klasma.github.io/Logging_VASTERVIK/knärot/A 34624-2022.png")</f>
        <v/>
      </c>
      <c r="V63">
        <f>HYPERLINK("https://klasma.github.io/Logging_VASTERVIK/klagomål/A 34624-2022.docx")</f>
        <v/>
      </c>
      <c r="W63">
        <f>HYPERLINK("https://klasma.github.io/Logging_VASTERVIK/klagomålsmail/A 34624-2022.docx")</f>
        <v/>
      </c>
      <c r="X63">
        <f>HYPERLINK("https://klasma.github.io/Logging_VASTERVIK/tillsyn/A 34624-2022.docx")</f>
        <v/>
      </c>
      <c r="Y63">
        <f>HYPERLINK("https://klasma.github.io/Logging_VASTERVIK/tillsynsmail/A 34624-2022.docx")</f>
        <v/>
      </c>
    </row>
    <row r="64" ht="15" customHeight="1">
      <c r="A64" t="inlineStr">
        <is>
          <t>A 39281-2022</t>
        </is>
      </c>
      <c r="B64" s="1" t="n">
        <v>44817</v>
      </c>
      <c r="C64" s="1" t="n">
        <v>45175</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f>
        <v/>
      </c>
      <c r="T64">
        <f>HYPERLINK("https://klasma.github.io/Logging_MONSTERAS/kartor/A 39281-2022.png")</f>
        <v/>
      </c>
      <c r="V64">
        <f>HYPERLINK("https://klasma.github.io/Logging_MONSTERAS/klagomål/A 39281-2022.docx")</f>
        <v/>
      </c>
      <c r="W64">
        <f>HYPERLINK("https://klasma.github.io/Logging_MONSTERAS/klagomålsmail/A 39281-2022.docx")</f>
        <v/>
      </c>
      <c r="X64">
        <f>HYPERLINK("https://klasma.github.io/Logging_MONSTERAS/tillsyn/A 39281-2022.docx")</f>
        <v/>
      </c>
      <c r="Y64">
        <f>HYPERLINK("https://klasma.github.io/Logging_MONSTERAS/tillsynsmail/A 39281-2022.docx")</f>
        <v/>
      </c>
    </row>
    <row r="65" ht="15" customHeight="1">
      <c r="A65" t="inlineStr">
        <is>
          <t>A 20013-2023</t>
        </is>
      </c>
      <c r="B65" s="1" t="n">
        <v>45054</v>
      </c>
      <c r="C65" s="1" t="n">
        <v>45175</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f>
        <v/>
      </c>
      <c r="T65">
        <f>HYPERLINK("https://klasma.github.io/Logging_MONSTERAS/kartor/A 20013-2023.png")</f>
        <v/>
      </c>
      <c r="V65">
        <f>HYPERLINK("https://klasma.github.io/Logging_MONSTERAS/klagomål/A 20013-2023.docx")</f>
        <v/>
      </c>
      <c r="W65">
        <f>HYPERLINK("https://klasma.github.io/Logging_MONSTERAS/klagomålsmail/A 20013-2023.docx")</f>
        <v/>
      </c>
      <c r="X65">
        <f>HYPERLINK("https://klasma.github.io/Logging_MONSTERAS/tillsyn/A 20013-2023.docx")</f>
        <v/>
      </c>
      <c r="Y65">
        <f>HYPERLINK("https://klasma.github.io/Logging_MONSTERAS/tillsynsmail/A 20013-2023.docx")</f>
        <v/>
      </c>
    </row>
    <row r="66" ht="15" customHeight="1">
      <c r="A66" t="inlineStr">
        <is>
          <t>A 35062-2018</t>
        </is>
      </c>
      <c r="B66" s="1" t="n">
        <v>43322</v>
      </c>
      <c r="C66" s="1" t="n">
        <v>45175</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f>
        <v/>
      </c>
      <c r="T66">
        <f>HYPERLINK("https://klasma.github.io/Logging_NYBRO/kartor/A 35062-2018.png")</f>
        <v/>
      </c>
      <c r="V66">
        <f>HYPERLINK("https://klasma.github.io/Logging_NYBRO/klagomål/A 35062-2018.docx")</f>
        <v/>
      </c>
      <c r="W66">
        <f>HYPERLINK("https://klasma.github.io/Logging_NYBRO/klagomålsmail/A 35062-2018.docx")</f>
        <v/>
      </c>
      <c r="X66">
        <f>HYPERLINK("https://klasma.github.io/Logging_NYBRO/tillsyn/A 35062-2018.docx")</f>
        <v/>
      </c>
      <c r="Y66">
        <f>HYPERLINK("https://klasma.github.io/Logging_NYBRO/tillsynsmail/A 35062-2018.docx")</f>
        <v/>
      </c>
    </row>
    <row r="67" ht="15" customHeight="1">
      <c r="A67" t="inlineStr">
        <is>
          <t>A 68737-2018</t>
        </is>
      </c>
      <c r="B67" s="1" t="n">
        <v>43439</v>
      </c>
      <c r="C67" s="1" t="n">
        <v>45175</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f>
        <v/>
      </c>
      <c r="T67">
        <f>HYPERLINK("https://klasma.github.io/Logging_HOGSBY/kartor/A 68737-2018.png")</f>
        <v/>
      </c>
      <c r="V67">
        <f>HYPERLINK("https://klasma.github.io/Logging_HOGSBY/klagomål/A 68737-2018.docx")</f>
        <v/>
      </c>
      <c r="W67">
        <f>HYPERLINK("https://klasma.github.io/Logging_HOGSBY/klagomålsmail/A 68737-2018.docx")</f>
        <v/>
      </c>
      <c r="X67">
        <f>HYPERLINK("https://klasma.github.io/Logging_HOGSBY/tillsyn/A 68737-2018.docx")</f>
        <v/>
      </c>
      <c r="Y67">
        <f>HYPERLINK("https://klasma.github.io/Logging_HOGSBY/tillsynsmail/A 68737-2018.docx")</f>
        <v/>
      </c>
    </row>
    <row r="68" ht="15" customHeight="1">
      <c r="A68" t="inlineStr">
        <is>
          <t>A 6097-2019</t>
        </is>
      </c>
      <c r="B68" s="1" t="n">
        <v>43493</v>
      </c>
      <c r="C68" s="1" t="n">
        <v>45175</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f>
        <v/>
      </c>
      <c r="T68">
        <f>HYPERLINK("https://klasma.github.io/Logging_MORBYLANGA/kartor/A 6097-2019.png")</f>
        <v/>
      </c>
      <c r="V68">
        <f>HYPERLINK("https://klasma.github.io/Logging_MORBYLANGA/klagomål/A 6097-2019.docx")</f>
        <v/>
      </c>
      <c r="W68">
        <f>HYPERLINK("https://klasma.github.io/Logging_MORBYLANGA/klagomålsmail/A 6097-2019.docx")</f>
        <v/>
      </c>
      <c r="X68">
        <f>HYPERLINK("https://klasma.github.io/Logging_MORBYLANGA/tillsyn/A 6097-2019.docx")</f>
        <v/>
      </c>
      <c r="Y68">
        <f>HYPERLINK("https://klasma.github.io/Logging_MORBYLANGA/tillsynsmail/A 6097-2019.docx")</f>
        <v/>
      </c>
    </row>
    <row r="69" ht="15" customHeight="1">
      <c r="A69" t="inlineStr">
        <is>
          <t>A 9921-2019</t>
        </is>
      </c>
      <c r="B69" s="1" t="n">
        <v>43509</v>
      </c>
      <c r="C69" s="1" t="n">
        <v>45175</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f>
        <v/>
      </c>
      <c r="T69">
        <f>HYPERLINK("https://klasma.github.io/Logging_OSKARSHAMN/kartor/A 9921-2019.png")</f>
        <v/>
      </c>
      <c r="V69">
        <f>HYPERLINK("https://klasma.github.io/Logging_OSKARSHAMN/klagomål/A 9921-2019.docx")</f>
        <v/>
      </c>
      <c r="W69">
        <f>HYPERLINK("https://klasma.github.io/Logging_OSKARSHAMN/klagomålsmail/A 9921-2019.docx")</f>
        <v/>
      </c>
      <c r="X69">
        <f>HYPERLINK("https://klasma.github.io/Logging_OSKARSHAMN/tillsyn/A 9921-2019.docx")</f>
        <v/>
      </c>
      <c r="Y69">
        <f>HYPERLINK("https://klasma.github.io/Logging_OSKARSHAMN/tillsynsmail/A 9921-2019.docx")</f>
        <v/>
      </c>
    </row>
    <row r="70" ht="15" customHeight="1">
      <c r="A70" t="inlineStr">
        <is>
          <t>A 12792-2019</t>
        </is>
      </c>
      <c r="B70" s="1" t="n">
        <v>43525</v>
      </c>
      <c r="C70" s="1" t="n">
        <v>45175</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f>
        <v/>
      </c>
      <c r="T70">
        <f>HYPERLINK("https://klasma.github.io/Logging_BORGHOLM/kartor/A 12792-2019.png")</f>
        <v/>
      </c>
      <c r="V70">
        <f>HYPERLINK("https://klasma.github.io/Logging_BORGHOLM/klagomål/A 12792-2019.docx")</f>
        <v/>
      </c>
      <c r="W70">
        <f>HYPERLINK("https://klasma.github.io/Logging_BORGHOLM/klagomålsmail/A 12792-2019.docx")</f>
        <v/>
      </c>
      <c r="X70">
        <f>HYPERLINK("https://klasma.github.io/Logging_BORGHOLM/tillsyn/A 12792-2019.docx")</f>
        <v/>
      </c>
      <c r="Y70">
        <f>HYPERLINK("https://klasma.github.io/Logging_BORGHOLM/tillsynsmail/A 12792-2019.docx")</f>
        <v/>
      </c>
    </row>
    <row r="71" ht="15" customHeight="1">
      <c r="A71" t="inlineStr">
        <is>
          <t>A 27046-2019</t>
        </is>
      </c>
      <c r="B71" s="1" t="n">
        <v>43614</v>
      </c>
      <c r="C71" s="1" t="n">
        <v>45175</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f>
        <v/>
      </c>
      <c r="T71">
        <f>HYPERLINK("https://klasma.github.io/Logging_BORGHOLM/kartor/A 27046-2019.png")</f>
        <v/>
      </c>
      <c r="V71">
        <f>HYPERLINK("https://klasma.github.io/Logging_BORGHOLM/klagomål/A 27046-2019.docx")</f>
        <v/>
      </c>
      <c r="W71">
        <f>HYPERLINK("https://klasma.github.io/Logging_BORGHOLM/klagomålsmail/A 27046-2019.docx")</f>
        <v/>
      </c>
      <c r="X71">
        <f>HYPERLINK("https://klasma.github.io/Logging_BORGHOLM/tillsyn/A 27046-2019.docx")</f>
        <v/>
      </c>
      <c r="Y71">
        <f>HYPERLINK("https://klasma.github.io/Logging_BORGHOLM/tillsynsmail/A 27046-2019.docx")</f>
        <v/>
      </c>
    </row>
    <row r="72" ht="15" customHeight="1">
      <c r="A72" t="inlineStr">
        <is>
          <t>A 40023-2019</t>
        </is>
      </c>
      <c r="B72" s="1" t="n">
        <v>43693</v>
      </c>
      <c r="C72" s="1" t="n">
        <v>45175</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f>
        <v/>
      </c>
      <c r="T72">
        <f>HYPERLINK("https://klasma.github.io/Logging_TORSAS/kartor/A 40023-2019.png")</f>
        <v/>
      </c>
      <c r="V72">
        <f>HYPERLINK("https://klasma.github.io/Logging_TORSAS/klagomål/A 40023-2019.docx")</f>
        <v/>
      </c>
      <c r="W72">
        <f>HYPERLINK("https://klasma.github.io/Logging_TORSAS/klagomålsmail/A 40023-2019.docx")</f>
        <v/>
      </c>
      <c r="X72">
        <f>HYPERLINK("https://klasma.github.io/Logging_TORSAS/tillsyn/A 40023-2019.docx")</f>
        <v/>
      </c>
      <c r="Y72">
        <f>HYPERLINK("https://klasma.github.io/Logging_TORSAS/tillsynsmail/A 40023-2019.docx")</f>
        <v/>
      </c>
    </row>
    <row r="73" ht="15" customHeight="1">
      <c r="A73" t="inlineStr">
        <is>
          <t>A 62113-2019</t>
        </is>
      </c>
      <c r="B73" s="1" t="n">
        <v>43787</v>
      </c>
      <c r="C73" s="1" t="n">
        <v>45175</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f>
        <v/>
      </c>
      <c r="T73">
        <f>HYPERLINK("https://klasma.github.io/Logging_NYBRO/kartor/A 62113-2019.png")</f>
        <v/>
      </c>
      <c r="V73">
        <f>HYPERLINK("https://klasma.github.io/Logging_NYBRO/klagomål/A 62113-2019.docx")</f>
        <v/>
      </c>
      <c r="W73">
        <f>HYPERLINK("https://klasma.github.io/Logging_NYBRO/klagomålsmail/A 62113-2019.docx")</f>
        <v/>
      </c>
      <c r="X73">
        <f>HYPERLINK("https://klasma.github.io/Logging_NYBRO/tillsyn/A 62113-2019.docx")</f>
        <v/>
      </c>
      <c r="Y73">
        <f>HYPERLINK("https://klasma.github.io/Logging_NYBRO/tillsynsmail/A 62113-2019.docx")</f>
        <v/>
      </c>
    </row>
    <row r="74" ht="15" customHeight="1">
      <c r="A74" t="inlineStr">
        <is>
          <t>A 40640-2020</t>
        </is>
      </c>
      <c r="B74" s="1" t="n">
        <v>44069</v>
      </c>
      <c r="C74" s="1" t="n">
        <v>45175</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f>
        <v/>
      </c>
      <c r="T74">
        <f>HYPERLINK("https://klasma.github.io/Logging_HULTSFRED/kartor/A 40640-2020.png")</f>
        <v/>
      </c>
      <c r="V74">
        <f>HYPERLINK("https://klasma.github.io/Logging_HULTSFRED/klagomål/A 40640-2020.docx")</f>
        <v/>
      </c>
      <c r="W74">
        <f>HYPERLINK("https://klasma.github.io/Logging_HULTSFRED/klagomålsmail/A 40640-2020.docx")</f>
        <v/>
      </c>
      <c r="X74">
        <f>HYPERLINK("https://klasma.github.io/Logging_HULTSFRED/tillsyn/A 40640-2020.docx")</f>
        <v/>
      </c>
      <c r="Y74">
        <f>HYPERLINK("https://klasma.github.io/Logging_HULTSFRED/tillsynsmail/A 40640-2020.docx")</f>
        <v/>
      </c>
    </row>
    <row r="75" ht="15" customHeight="1">
      <c r="A75" t="inlineStr">
        <is>
          <t>A 52916-2020</t>
        </is>
      </c>
      <c r="B75" s="1" t="n">
        <v>44120</v>
      </c>
      <c r="C75" s="1" t="n">
        <v>45175</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f>
        <v/>
      </c>
      <c r="T75">
        <f>HYPERLINK("https://klasma.github.io/Logging_VASTERVIK/kartor/A 52916-2020.png")</f>
        <v/>
      </c>
      <c r="U75">
        <f>HYPERLINK("https://klasma.github.io/Logging_VASTERVIK/knärot/A 52916-2020.png")</f>
        <v/>
      </c>
      <c r="V75">
        <f>HYPERLINK("https://klasma.github.io/Logging_VASTERVIK/klagomål/A 52916-2020.docx")</f>
        <v/>
      </c>
      <c r="W75">
        <f>HYPERLINK("https://klasma.github.io/Logging_VASTERVIK/klagomålsmail/A 52916-2020.docx")</f>
        <v/>
      </c>
      <c r="X75">
        <f>HYPERLINK("https://klasma.github.io/Logging_VASTERVIK/tillsyn/A 52916-2020.docx")</f>
        <v/>
      </c>
      <c r="Y75">
        <f>HYPERLINK("https://klasma.github.io/Logging_VASTERVIK/tillsynsmail/A 52916-2020.docx")</f>
        <v/>
      </c>
    </row>
    <row r="76" ht="15" customHeight="1">
      <c r="A76" t="inlineStr">
        <is>
          <t>A 57656-2020</t>
        </is>
      </c>
      <c r="B76" s="1" t="n">
        <v>44140</v>
      </c>
      <c r="C76" s="1" t="n">
        <v>45175</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f>
        <v/>
      </c>
      <c r="T76">
        <f>HYPERLINK("https://klasma.github.io/Logging_BORGHOLM/kartor/A 57656-2020.png")</f>
        <v/>
      </c>
      <c r="V76">
        <f>HYPERLINK("https://klasma.github.io/Logging_BORGHOLM/klagomål/A 57656-2020.docx")</f>
        <v/>
      </c>
      <c r="W76">
        <f>HYPERLINK("https://klasma.github.io/Logging_BORGHOLM/klagomålsmail/A 57656-2020.docx")</f>
        <v/>
      </c>
      <c r="X76">
        <f>HYPERLINK("https://klasma.github.io/Logging_BORGHOLM/tillsyn/A 57656-2020.docx")</f>
        <v/>
      </c>
      <c r="Y76">
        <f>HYPERLINK("https://klasma.github.io/Logging_BORGHOLM/tillsynsmail/A 57656-2020.docx")</f>
        <v/>
      </c>
    </row>
    <row r="77" ht="15" customHeight="1">
      <c r="A77" t="inlineStr">
        <is>
          <t>A 11163-2021</t>
        </is>
      </c>
      <c r="B77" s="1" t="n">
        <v>44262</v>
      </c>
      <c r="C77" s="1" t="n">
        <v>45175</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f>
        <v/>
      </c>
      <c r="T77">
        <f>HYPERLINK("https://klasma.github.io/Logging_MORBYLANGA/kartor/A 11163-2021.png")</f>
        <v/>
      </c>
      <c r="V77">
        <f>HYPERLINK("https://klasma.github.io/Logging_MORBYLANGA/klagomål/A 11163-2021.docx")</f>
        <v/>
      </c>
      <c r="W77">
        <f>HYPERLINK("https://klasma.github.io/Logging_MORBYLANGA/klagomålsmail/A 11163-2021.docx")</f>
        <v/>
      </c>
      <c r="X77">
        <f>HYPERLINK("https://klasma.github.io/Logging_MORBYLANGA/tillsyn/A 11163-2021.docx")</f>
        <v/>
      </c>
      <c r="Y77">
        <f>HYPERLINK("https://klasma.github.io/Logging_MORBYLANGA/tillsynsmail/A 11163-2021.docx")</f>
        <v/>
      </c>
    </row>
    <row r="78" ht="15" customHeight="1">
      <c r="A78" t="inlineStr">
        <is>
          <t>A 18048-2021</t>
        </is>
      </c>
      <c r="B78" s="1" t="n">
        <v>44302</v>
      </c>
      <c r="C78" s="1" t="n">
        <v>45175</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f>
        <v/>
      </c>
      <c r="T78">
        <f>HYPERLINK("https://klasma.github.io/Logging_OSKARSHAMN/kartor/A 18048-2021.png")</f>
        <v/>
      </c>
      <c r="V78">
        <f>HYPERLINK("https://klasma.github.io/Logging_OSKARSHAMN/klagomål/A 18048-2021.docx")</f>
        <v/>
      </c>
      <c r="W78">
        <f>HYPERLINK("https://klasma.github.io/Logging_OSKARSHAMN/klagomålsmail/A 18048-2021.docx")</f>
        <v/>
      </c>
      <c r="X78">
        <f>HYPERLINK("https://klasma.github.io/Logging_OSKARSHAMN/tillsyn/A 18048-2021.docx")</f>
        <v/>
      </c>
      <c r="Y78">
        <f>HYPERLINK("https://klasma.github.io/Logging_OSKARSHAMN/tillsynsmail/A 18048-2021.docx")</f>
        <v/>
      </c>
    </row>
    <row r="79" ht="15" customHeight="1">
      <c r="A79" t="inlineStr">
        <is>
          <t>A 28292-2021</t>
        </is>
      </c>
      <c r="B79" s="1" t="n">
        <v>44356</v>
      </c>
      <c r="C79" s="1" t="n">
        <v>45175</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f>
        <v/>
      </c>
      <c r="T79">
        <f>HYPERLINK("https://klasma.github.io/Logging_OSKARSHAMN/kartor/A 28292-2021.png")</f>
        <v/>
      </c>
      <c r="V79">
        <f>HYPERLINK("https://klasma.github.io/Logging_OSKARSHAMN/klagomål/A 28292-2021.docx")</f>
        <v/>
      </c>
      <c r="W79">
        <f>HYPERLINK("https://klasma.github.io/Logging_OSKARSHAMN/klagomålsmail/A 28292-2021.docx")</f>
        <v/>
      </c>
      <c r="X79">
        <f>HYPERLINK("https://klasma.github.io/Logging_OSKARSHAMN/tillsyn/A 28292-2021.docx")</f>
        <v/>
      </c>
      <c r="Y79">
        <f>HYPERLINK("https://klasma.github.io/Logging_OSKARSHAMN/tillsynsmail/A 28292-2021.docx")</f>
        <v/>
      </c>
    </row>
    <row r="80" ht="15" customHeight="1">
      <c r="A80" t="inlineStr">
        <is>
          <t>A 28304-2021</t>
        </is>
      </c>
      <c r="B80" s="1" t="n">
        <v>44356</v>
      </c>
      <c r="C80" s="1" t="n">
        <v>45175</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f>
        <v/>
      </c>
      <c r="T80">
        <f>HYPERLINK("https://klasma.github.io/Logging_OSKARSHAMN/kartor/A 28304-2021.png")</f>
        <v/>
      </c>
      <c r="V80">
        <f>HYPERLINK("https://klasma.github.io/Logging_OSKARSHAMN/klagomål/A 28304-2021.docx")</f>
        <v/>
      </c>
      <c r="W80">
        <f>HYPERLINK("https://klasma.github.io/Logging_OSKARSHAMN/klagomålsmail/A 28304-2021.docx")</f>
        <v/>
      </c>
      <c r="X80">
        <f>HYPERLINK("https://klasma.github.io/Logging_OSKARSHAMN/tillsyn/A 28304-2021.docx")</f>
        <v/>
      </c>
      <c r="Y80">
        <f>HYPERLINK("https://klasma.github.io/Logging_OSKARSHAMN/tillsynsmail/A 28304-2021.docx")</f>
        <v/>
      </c>
    </row>
    <row r="81" ht="15" customHeight="1">
      <c r="A81" t="inlineStr">
        <is>
          <t>A 53760-2021</t>
        </is>
      </c>
      <c r="B81" s="1" t="n">
        <v>44467</v>
      </c>
      <c r="C81" s="1" t="n">
        <v>45175</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f>
        <v/>
      </c>
      <c r="T81">
        <f>HYPERLINK("https://klasma.github.io/Logging_VASTERVIK/kartor/A 53760-2021.png")</f>
        <v/>
      </c>
      <c r="V81">
        <f>HYPERLINK("https://klasma.github.io/Logging_VASTERVIK/klagomål/A 53760-2021.docx")</f>
        <v/>
      </c>
      <c r="W81">
        <f>HYPERLINK("https://klasma.github.io/Logging_VASTERVIK/klagomålsmail/A 53760-2021.docx")</f>
        <v/>
      </c>
      <c r="X81">
        <f>HYPERLINK("https://klasma.github.io/Logging_VASTERVIK/tillsyn/A 53760-2021.docx")</f>
        <v/>
      </c>
      <c r="Y81">
        <f>HYPERLINK("https://klasma.github.io/Logging_VASTERVIK/tillsynsmail/A 53760-2021.docx")</f>
        <v/>
      </c>
    </row>
    <row r="82" ht="15" customHeight="1">
      <c r="A82" t="inlineStr">
        <is>
          <t>A 60996-2021</t>
        </is>
      </c>
      <c r="B82" s="1" t="n">
        <v>44497</v>
      </c>
      <c r="C82" s="1" t="n">
        <v>45175</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f>
        <v/>
      </c>
      <c r="T82">
        <f>HYPERLINK("https://klasma.github.io/Logging_VASTERVIK/kartor/A 60996-2021.png")</f>
        <v/>
      </c>
      <c r="U82">
        <f>HYPERLINK("https://klasma.github.io/Logging_VASTERVIK/knärot/A 60996-2021.png")</f>
        <v/>
      </c>
      <c r="V82">
        <f>HYPERLINK("https://klasma.github.io/Logging_VASTERVIK/klagomål/A 60996-2021.docx")</f>
        <v/>
      </c>
      <c r="W82">
        <f>HYPERLINK("https://klasma.github.io/Logging_VASTERVIK/klagomålsmail/A 60996-2021.docx")</f>
        <v/>
      </c>
      <c r="X82">
        <f>HYPERLINK("https://klasma.github.io/Logging_VASTERVIK/tillsyn/A 60996-2021.docx")</f>
        <v/>
      </c>
      <c r="Y82">
        <f>HYPERLINK("https://klasma.github.io/Logging_VASTERVIK/tillsynsmail/A 60996-2021.docx")</f>
        <v/>
      </c>
    </row>
    <row r="83" ht="15" customHeight="1">
      <c r="A83" t="inlineStr">
        <is>
          <t>A 71188-2021</t>
        </is>
      </c>
      <c r="B83" s="1" t="n">
        <v>44539</v>
      </c>
      <c r="C83" s="1" t="n">
        <v>45175</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f>
        <v/>
      </c>
      <c r="T83">
        <f>HYPERLINK("https://klasma.github.io/Logging_VASTERVIK/kartor/A 71188-2021.png")</f>
        <v/>
      </c>
      <c r="V83">
        <f>HYPERLINK("https://klasma.github.io/Logging_VASTERVIK/klagomål/A 71188-2021.docx")</f>
        <v/>
      </c>
      <c r="W83">
        <f>HYPERLINK("https://klasma.github.io/Logging_VASTERVIK/klagomålsmail/A 71188-2021.docx")</f>
        <v/>
      </c>
      <c r="X83">
        <f>HYPERLINK("https://klasma.github.io/Logging_VASTERVIK/tillsyn/A 71188-2021.docx")</f>
        <v/>
      </c>
      <c r="Y83">
        <f>HYPERLINK("https://klasma.github.io/Logging_VASTERVIK/tillsynsmail/A 71188-2021.docx")</f>
        <v/>
      </c>
    </row>
    <row r="84" ht="15" customHeight="1">
      <c r="A84" t="inlineStr">
        <is>
          <t>A 74213-2021</t>
        </is>
      </c>
      <c r="B84" s="1" t="n">
        <v>44558</v>
      </c>
      <c r="C84" s="1" t="n">
        <v>45175</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f>
        <v/>
      </c>
      <c r="T84">
        <f>HYPERLINK("https://klasma.github.io/Logging_KALMAR/kartor/A 74213-2021.png")</f>
        <v/>
      </c>
      <c r="U84">
        <f>HYPERLINK("https://klasma.github.io/Logging_KALMAR/knärot/A 74213-2021.png")</f>
        <v/>
      </c>
      <c r="V84">
        <f>HYPERLINK("https://klasma.github.io/Logging_KALMAR/klagomål/A 74213-2021.docx")</f>
        <v/>
      </c>
      <c r="W84">
        <f>HYPERLINK("https://klasma.github.io/Logging_KALMAR/klagomålsmail/A 74213-2021.docx")</f>
        <v/>
      </c>
      <c r="X84">
        <f>HYPERLINK("https://klasma.github.io/Logging_KALMAR/tillsyn/A 74213-2021.docx")</f>
        <v/>
      </c>
      <c r="Y84">
        <f>HYPERLINK("https://klasma.github.io/Logging_KALMAR/tillsynsmail/A 74213-2021.docx")</f>
        <v/>
      </c>
    </row>
    <row r="85" ht="15" customHeight="1">
      <c r="A85" t="inlineStr">
        <is>
          <t>A 74479-2021</t>
        </is>
      </c>
      <c r="B85" s="1" t="n">
        <v>44559</v>
      </c>
      <c r="C85" s="1" t="n">
        <v>45175</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f>
        <v/>
      </c>
      <c r="T85">
        <f>HYPERLINK("https://klasma.github.io/Logging_HOGSBY/kartor/A 74479-2021.png")</f>
        <v/>
      </c>
      <c r="U85">
        <f>HYPERLINK("https://klasma.github.io/Logging_HOGSBY/knärot/A 74479-2021.png")</f>
        <v/>
      </c>
      <c r="V85">
        <f>HYPERLINK("https://klasma.github.io/Logging_HOGSBY/klagomål/A 74479-2021.docx")</f>
        <v/>
      </c>
      <c r="W85">
        <f>HYPERLINK("https://klasma.github.io/Logging_HOGSBY/klagomålsmail/A 74479-2021.docx")</f>
        <v/>
      </c>
      <c r="X85">
        <f>HYPERLINK("https://klasma.github.io/Logging_HOGSBY/tillsyn/A 74479-2021.docx")</f>
        <v/>
      </c>
      <c r="Y85">
        <f>HYPERLINK("https://klasma.github.io/Logging_HOGSBY/tillsynsmail/A 74479-2021.docx")</f>
        <v/>
      </c>
    </row>
    <row r="86" ht="15" customHeight="1">
      <c r="A86" t="inlineStr">
        <is>
          <t>A 7031-2022</t>
        </is>
      </c>
      <c r="B86" s="1" t="n">
        <v>44603</v>
      </c>
      <c r="C86" s="1" t="n">
        <v>45175</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f>
        <v/>
      </c>
      <c r="T86">
        <f>HYPERLINK("https://klasma.github.io/Logging_HOGSBY/kartor/A 7031-2022.png")</f>
        <v/>
      </c>
      <c r="U86">
        <f>HYPERLINK("https://klasma.github.io/Logging_HOGSBY/knärot/A 7031-2022.png")</f>
        <v/>
      </c>
      <c r="V86">
        <f>HYPERLINK("https://klasma.github.io/Logging_HOGSBY/klagomål/A 7031-2022.docx")</f>
        <v/>
      </c>
      <c r="W86">
        <f>HYPERLINK("https://klasma.github.io/Logging_HOGSBY/klagomålsmail/A 7031-2022.docx")</f>
        <v/>
      </c>
      <c r="X86">
        <f>HYPERLINK("https://klasma.github.io/Logging_HOGSBY/tillsyn/A 7031-2022.docx")</f>
        <v/>
      </c>
      <c r="Y86">
        <f>HYPERLINK("https://klasma.github.io/Logging_HOGSBY/tillsynsmail/A 7031-2022.docx")</f>
        <v/>
      </c>
    </row>
    <row r="87" ht="15" customHeight="1">
      <c r="A87" t="inlineStr">
        <is>
          <t>A 7218-2022</t>
        </is>
      </c>
      <c r="B87" s="1" t="n">
        <v>44606</v>
      </c>
      <c r="C87" s="1" t="n">
        <v>45175</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f>
        <v/>
      </c>
      <c r="T87">
        <f>HYPERLINK("https://klasma.github.io/Logging_NYBRO/kartor/A 7218-2022.png")</f>
        <v/>
      </c>
      <c r="V87">
        <f>HYPERLINK("https://klasma.github.io/Logging_NYBRO/klagomål/A 7218-2022.docx")</f>
        <v/>
      </c>
      <c r="W87">
        <f>HYPERLINK("https://klasma.github.io/Logging_NYBRO/klagomålsmail/A 7218-2022.docx")</f>
        <v/>
      </c>
      <c r="X87">
        <f>HYPERLINK("https://klasma.github.io/Logging_NYBRO/tillsyn/A 7218-2022.docx")</f>
        <v/>
      </c>
      <c r="Y87">
        <f>HYPERLINK("https://klasma.github.io/Logging_NYBRO/tillsynsmail/A 7218-2022.docx")</f>
        <v/>
      </c>
    </row>
    <row r="88" ht="15" customHeight="1">
      <c r="A88" t="inlineStr">
        <is>
          <t>A 32178-2022</t>
        </is>
      </c>
      <c r="B88" s="1" t="n">
        <v>44781</v>
      </c>
      <c r="C88" s="1" t="n">
        <v>45175</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f>
        <v/>
      </c>
      <c r="T88">
        <f>HYPERLINK("https://klasma.github.io/Logging_BORGHOLM/kartor/A 32178-2022.png")</f>
        <v/>
      </c>
      <c r="V88">
        <f>HYPERLINK("https://klasma.github.io/Logging_BORGHOLM/klagomål/A 32178-2022.docx")</f>
        <v/>
      </c>
      <c r="W88">
        <f>HYPERLINK("https://klasma.github.io/Logging_BORGHOLM/klagomålsmail/A 32178-2022.docx")</f>
        <v/>
      </c>
      <c r="X88">
        <f>HYPERLINK("https://klasma.github.io/Logging_BORGHOLM/tillsyn/A 32178-2022.docx")</f>
        <v/>
      </c>
      <c r="Y88">
        <f>HYPERLINK("https://klasma.github.io/Logging_BORGHOLM/tillsynsmail/A 32178-2022.docx")</f>
        <v/>
      </c>
    </row>
    <row r="89" ht="15" customHeight="1">
      <c r="A89" t="inlineStr">
        <is>
          <t>A 38039-2022</t>
        </is>
      </c>
      <c r="B89" s="1" t="n">
        <v>44811</v>
      </c>
      <c r="C89" s="1" t="n">
        <v>45175</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f>
        <v/>
      </c>
      <c r="T89">
        <f>HYPERLINK("https://klasma.github.io/Logging_MORBYLANGA/kartor/A 38039-2022.png")</f>
        <v/>
      </c>
      <c r="V89">
        <f>HYPERLINK("https://klasma.github.io/Logging_MORBYLANGA/klagomål/A 38039-2022.docx")</f>
        <v/>
      </c>
      <c r="W89">
        <f>HYPERLINK("https://klasma.github.io/Logging_MORBYLANGA/klagomålsmail/A 38039-2022.docx")</f>
        <v/>
      </c>
      <c r="X89">
        <f>HYPERLINK("https://klasma.github.io/Logging_MORBYLANGA/tillsyn/A 38039-2022.docx")</f>
        <v/>
      </c>
      <c r="Y89">
        <f>HYPERLINK("https://klasma.github.io/Logging_MORBYLANGA/tillsynsmail/A 38039-2022.docx")</f>
        <v/>
      </c>
    </row>
    <row r="90" ht="15" customHeight="1">
      <c r="A90" t="inlineStr">
        <is>
          <t>A 49484-2022</t>
        </is>
      </c>
      <c r="B90" s="1" t="n">
        <v>44861</v>
      </c>
      <c r="C90" s="1" t="n">
        <v>45175</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f>
        <v/>
      </c>
      <c r="T90">
        <f>HYPERLINK("https://klasma.github.io/Logging_HOGSBY/kartor/A 49484-2022.png")</f>
        <v/>
      </c>
      <c r="V90">
        <f>HYPERLINK("https://klasma.github.io/Logging_HOGSBY/klagomål/A 49484-2022.docx")</f>
        <v/>
      </c>
      <c r="W90">
        <f>HYPERLINK("https://klasma.github.io/Logging_HOGSBY/klagomålsmail/A 49484-2022.docx")</f>
        <v/>
      </c>
      <c r="X90">
        <f>HYPERLINK("https://klasma.github.io/Logging_HOGSBY/tillsyn/A 49484-2022.docx")</f>
        <v/>
      </c>
      <c r="Y90">
        <f>HYPERLINK("https://klasma.github.io/Logging_HOGSBY/tillsynsmail/A 49484-2022.docx")</f>
        <v/>
      </c>
    </row>
    <row r="91" ht="15" customHeight="1">
      <c r="A91" t="inlineStr">
        <is>
          <t>A 53162-2022</t>
        </is>
      </c>
      <c r="B91" s="1" t="n">
        <v>44873</v>
      </c>
      <c r="C91" s="1" t="n">
        <v>45175</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f>
        <v/>
      </c>
      <c r="T91">
        <f>HYPERLINK("https://klasma.github.io/Logging_MONSTERAS/kartor/A 53162-2022.png")</f>
        <v/>
      </c>
      <c r="V91">
        <f>HYPERLINK("https://klasma.github.io/Logging_MONSTERAS/klagomål/A 53162-2022.docx")</f>
        <v/>
      </c>
      <c r="W91">
        <f>HYPERLINK("https://klasma.github.io/Logging_MONSTERAS/klagomålsmail/A 53162-2022.docx")</f>
        <v/>
      </c>
      <c r="X91">
        <f>HYPERLINK("https://klasma.github.io/Logging_MONSTERAS/tillsyn/A 53162-2022.docx")</f>
        <v/>
      </c>
      <c r="Y91">
        <f>HYPERLINK("https://klasma.github.io/Logging_MONSTERAS/tillsynsmail/A 53162-2022.docx")</f>
        <v/>
      </c>
    </row>
    <row r="92" ht="15" customHeight="1">
      <c r="A92" t="inlineStr">
        <is>
          <t>A 974-2023</t>
        </is>
      </c>
      <c r="B92" s="1" t="n">
        <v>44935</v>
      </c>
      <c r="C92" s="1" t="n">
        <v>45175</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f>
        <v/>
      </c>
      <c r="T92">
        <f>HYPERLINK("https://klasma.github.io/Logging_VASTERVIK/kartor/A 974-2023.png")</f>
        <v/>
      </c>
      <c r="V92">
        <f>HYPERLINK("https://klasma.github.io/Logging_VASTERVIK/klagomål/A 974-2023.docx")</f>
        <v/>
      </c>
      <c r="W92">
        <f>HYPERLINK("https://klasma.github.io/Logging_VASTERVIK/klagomålsmail/A 974-2023.docx")</f>
        <v/>
      </c>
      <c r="X92">
        <f>HYPERLINK("https://klasma.github.io/Logging_VASTERVIK/tillsyn/A 974-2023.docx")</f>
        <v/>
      </c>
      <c r="Y92">
        <f>HYPERLINK("https://klasma.github.io/Logging_VASTERVIK/tillsynsmail/A 974-2023.docx")</f>
        <v/>
      </c>
    </row>
    <row r="93" ht="15" customHeight="1">
      <c r="A93" t="inlineStr">
        <is>
          <t>A 1960-2023</t>
        </is>
      </c>
      <c r="B93" s="1" t="n">
        <v>44939</v>
      </c>
      <c r="C93" s="1" t="n">
        <v>45175</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f>
        <v/>
      </c>
      <c r="T93">
        <f>HYPERLINK("https://klasma.github.io/Logging_VIMMERBY/kartor/A 1960-2023.png")</f>
        <v/>
      </c>
      <c r="V93">
        <f>HYPERLINK("https://klasma.github.io/Logging_VIMMERBY/klagomål/A 1960-2023.docx")</f>
        <v/>
      </c>
      <c r="W93">
        <f>HYPERLINK("https://klasma.github.io/Logging_VIMMERBY/klagomålsmail/A 1960-2023.docx")</f>
        <v/>
      </c>
      <c r="X93">
        <f>HYPERLINK("https://klasma.github.io/Logging_VIMMERBY/tillsyn/A 1960-2023.docx")</f>
        <v/>
      </c>
      <c r="Y93">
        <f>HYPERLINK("https://klasma.github.io/Logging_VIMMERBY/tillsynsmail/A 1960-2023.docx")</f>
        <v/>
      </c>
    </row>
    <row r="94" ht="15" customHeight="1">
      <c r="A94" t="inlineStr">
        <is>
          <t>A 5139-2023</t>
        </is>
      </c>
      <c r="B94" s="1" t="n">
        <v>44958</v>
      </c>
      <c r="C94" s="1" t="n">
        <v>45175</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f>
        <v/>
      </c>
      <c r="T94">
        <f>HYPERLINK("https://klasma.github.io/Logging_KALMAR/kartor/A 5139-2023.png")</f>
        <v/>
      </c>
      <c r="V94">
        <f>HYPERLINK("https://klasma.github.io/Logging_KALMAR/klagomål/A 5139-2023.docx")</f>
        <v/>
      </c>
      <c r="W94">
        <f>HYPERLINK("https://klasma.github.io/Logging_KALMAR/klagomålsmail/A 5139-2023.docx")</f>
        <v/>
      </c>
      <c r="X94">
        <f>HYPERLINK("https://klasma.github.io/Logging_KALMAR/tillsyn/A 5139-2023.docx")</f>
        <v/>
      </c>
      <c r="Y94">
        <f>HYPERLINK("https://klasma.github.io/Logging_KALMAR/tillsynsmail/A 5139-2023.docx")</f>
        <v/>
      </c>
    </row>
    <row r="95" ht="15" customHeight="1">
      <c r="A95" t="inlineStr">
        <is>
          <t>A 11740-2023</t>
        </is>
      </c>
      <c r="B95" s="1" t="n">
        <v>44994</v>
      </c>
      <c r="C95" s="1" t="n">
        <v>45175</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f>
        <v/>
      </c>
      <c r="T95">
        <f>HYPERLINK("https://klasma.github.io/Logging_VASTERVIK/kartor/A 11740-2023.png")</f>
        <v/>
      </c>
      <c r="V95">
        <f>HYPERLINK("https://klasma.github.io/Logging_VASTERVIK/klagomål/A 11740-2023.docx")</f>
        <v/>
      </c>
      <c r="W95">
        <f>HYPERLINK("https://klasma.github.io/Logging_VASTERVIK/klagomålsmail/A 11740-2023.docx")</f>
        <v/>
      </c>
      <c r="X95">
        <f>HYPERLINK("https://klasma.github.io/Logging_VASTERVIK/tillsyn/A 11740-2023.docx")</f>
        <v/>
      </c>
      <c r="Y95">
        <f>HYPERLINK("https://klasma.github.io/Logging_VASTERVIK/tillsynsmail/A 11740-2023.docx")</f>
        <v/>
      </c>
    </row>
    <row r="96" ht="15" customHeight="1">
      <c r="A96" t="inlineStr">
        <is>
          <t>A 27636-2023</t>
        </is>
      </c>
      <c r="B96" s="1" t="n">
        <v>45097</v>
      </c>
      <c r="C96" s="1" t="n">
        <v>45175</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f>
        <v/>
      </c>
      <c r="T96">
        <f>HYPERLINK("https://klasma.github.io/Logging_MORBYLANGA/kartor/A 27636-2023.png")</f>
        <v/>
      </c>
      <c r="V96">
        <f>HYPERLINK("https://klasma.github.io/Logging_MORBYLANGA/klagomål/A 27636-2023.docx")</f>
        <v/>
      </c>
      <c r="W96">
        <f>HYPERLINK("https://klasma.github.io/Logging_MORBYLANGA/klagomålsmail/A 27636-2023.docx")</f>
        <v/>
      </c>
      <c r="X96">
        <f>HYPERLINK("https://klasma.github.io/Logging_MORBYLANGA/tillsyn/A 27636-2023.docx")</f>
        <v/>
      </c>
      <c r="Y96">
        <f>HYPERLINK("https://klasma.github.io/Logging_MORBYLANGA/tillsynsmail/A 27636-2023.docx")</f>
        <v/>
      </c>
    </row>
    <row r="97" ht="15" customHeight="1">
      <c r="A97" t="inlineStr">
        <is>
          <t>A 30779-2023</t>
        </is>
      </c>
      <c r="B97" s="1" t="n">
        <v>45112</v>
      </c>
      <c r="C97" s="1" t="n">
        <v>45175</v>
      </c>
      <c r="D97" t="inlineStr">
        <is>
          <t>KALMAR LÄN</t>
        </is>
      </c>
      <c r="E97" t="inlineStr">
        <is>
          <t>VÄSTERVIK</t>
        </is>
      </c>
      <c r="G97" t="n">
        <v>14.5</v>
      </c>
      <c r="H97" t="n">
        <v>3</v>
      </c>
      <c r="I97" t="n">
        <v>1</v>
      </c>
      <c r="J97" t="n">
        <v>3</v>
      </c>
      <c r="K97" t="n">
        <v>2</v>
      </c>
      <c r="L97" t="n">
        <v>0</v>
      </c>
      <c r="M97" t="n">
        <v>0</v>
      </c>
      <c r="N97" t="n">
        <v>0</v>
      </c>
      <c r="O97" t="n">
        <v>5</v>
      </c>
      <c r="P97" t="n">
        <v>2</v>
      </c>
      <c r="Q97" t="n">
        <v>6</v>
      </c>
      <c r="R97" s="2" t="inlineStr">
        <is>
          <t>Knärot
Sandödla
Knölspindel
Tallticka
Talltita
Grönpyrola</t>
        </is>
      </c>
      <c r="S97">
        <f>HYPERLINK("https://klasma.github.io/Logging_VASTERVIK/artfynd/A 30779-2023.xlsx")</f>
        <v/>
      </c>
      <c r="T97">
        <f>HYPERLINK("https://klasma.github.io/Logging_VASTERVIK/kartor/A 30779-2023.png")</f>
        <v/>
      </c>
      <c r="U97">
        <f>HYPERLINK("https://klasma.github.io/Logging_VASTERVIK/knärot/A 30779-2023.png")</f>
        <v/>
      </c>
      <c r="V97">
        <f>HYPERLINK("https://klasma.github.io/Logging_VASTERVIK/klagomål/A 30779-2023.docx")</f>
        <v/>
      </c>
      <c r="W97">
        <f>HYPERLINK("https://klasma.github.io/Logging_VASTERVIK/klagomålsmail/A 30779-2023.docx")</f>
        <v/>
      </c>
      <c r="X97">
        <f>HYPERLINK("https://klasma.github.io/Logging_VASTERVIK/tillsyn/A 30779-2023.docx")</f>
        <v/>
      </c>
      <c r="Y97">
        <f>HYPERLINK("https://klasma.github.io/Logging_VASTERVIK/tillsynsmail/A 30779-2023.docx")</f>
        <v/>
      </c>
    </row>
    <row r="98" ht="15" customHeight="1">
      <c r="A98" t="inlineStr">
        <is>
          <t>A 39231-2018</t>
        </is>
      </c>
      <c r="B98" s="1" t="n">
        <v>43339</v>
      </c>
      <c r="C98" s="1" t="n">
        <v>45175</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f>
        <v/>
      </c>
      <c r="T98">
        <f>HYPERLINK("https://klasma.github.io/Logging_NYBRO/kartor/A 39231-2018.png")</f>
        <v/>
      </c>
      <c r="V98">
        <f>HYPERLINK("https://klasma.github.io/Logging_NYBRO/klagomål/A 39231-2018.docx")</f>
        <v/>
      </c>
      <c r="W98">
        <f>HYPERLINK("https://klasma.github.io/Logging_NYBRO/klagomålsmail/A 39231-2018.docx")</f>
        <v/>
      </c>
      <c r="X98">
        <f>HYPERLINK("https://klasma.github.io/Logging_NYBRO/tillsyn/A 39231-2018.docx")</f>
        <v/>
      </c>
      <c r="Y98">
        <f>HYPERLINK("https://klasma.github.io/Logging_NYBRO/tillsynsmail/A 39231-2018.docx")</f>
        <v/>
      </c>
    </row>
    <row r="99" ht="15" customHeight="1">
      <c r="A99" t="inlineStr">
        <is>
          <t>A 63553-2018</t>
        </is>
      </c>
      <c r="B99" s="1" t="n">
        <v>43427</v>
      </c>
      <c r="C99" s="1" t="n">
        <v>45175</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f>
        <v/>
      </c>
      <c r="T99">
        <f>HYPERLINK("https://klasma.github.io/Logging_VASTERVIK/kartor/A 63553-2018.png")</f>
        <v/>
      </c>
      <c r="V99">
        <f>HYPERLINK("https://klasma.github.io/Logging_VASTERVIK/klagomål/A 63553-2018.docx")</f>
        <v/>
      </c>
      <c r="W99">
        <f>HYPERLINK("https://klasma.github.io/Logging_VASTERVIK/klagomålsmail/A 63553-2018.docx")</f>
        <v/>
      </c>
      <c r="X99">
        <f>HYPERLINK("https://klasma.github.io/Logging_VASTERVIK/tillsyn/A 63553-2018.docx")</f>
        <v/>
      </c>
      <c r="Y99">
        <f>HYPERLINK("https://klasma.github.io/Logging_VASTERVIK/tillsynsmail/A 63553-2018.docx")</f>
        <v/>
      </c>
    </row>
    <row r="100" ht="15" customHeight="1">
      <c r="A100" t="inlineStr">
        <is>
          <t>A 68401-2018</t>
        </is>
      </c>
      <c r="B100" s="1" t="n">
        <v>43438</v>
      </c>
      <c r="C100" s="1" t="n">
        <v>45175</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f>
        <v/>
      </c>
      <c r="T100">
        <f>HYPERLINK("https://klasma.github.io/Logging_HULTSFRED/kartor/A 68401-2018.png")</f>
        <v/>
      </c>
      <c r="V100">
        <f>HYPERLINK("https://klasma.github.io/Logging_HULTSFRED/klagomål/A 68401-2018.docx")</f>
        <v/>
      </c>
      <c r="W100">
        <f>HYPERLINK("https://klasma.github.io/Logging_HULTSFRED/klagomålsmail/A 68401-2018.docx")</f>
        <v/>
      </c>
      <c r="X100">
        <f>HYPERLINK("https://klasma.github.io/Logging_HULTSFRED/tillsyn/A 68401-2018.docx")</f>
        <v/>
      </c>
      <c r="Y100">
        <f>HYPERLINK("https://klasma.github.io/Logging_HULTSFRED/tillsynsmail/A 68401-2018.docx")</f>
        <v/>
      </c>
    </row>
    <row r="101" ht="15" customHeight="1">
      <c r="A101" t="inlineStr">
        <is>
          <t>A 70338-2018</t>
        </is>
      </c>
      <c r="B101" s="1" t="n">
        <v>43446</v>
      </c>
      <c r="C101" s="1" t="n">
        <v>45175</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f>
        <v/>
      </c>
      <c r="T101">
        <f>HYPERLINK("https://klasma.github.io/Logging_MONSTERAS/kartor/A 70338-2018.png")</f>
        <v/>
      </c>
      <c r="V101">
        <f>HYPERLINK("https://klasma.github.io/Logging_MONSTERAS/klagomål/A 70338-2018.docx")</f>
        <v/>
      </c>
      <c r="W101">
        <f>HYPERLINK("https://klasma.github.io/Logging_MONSTERAS/klagomålsmail/A 70338-2018.docx")</f>
        <v/>
      </c>
      <c r="X101">
        <f>HYPERLINK("https://klasma.github.io/Logging_MONSTERAS/tillsyn/A 70338-2018.docx")</f>
        <v/>
      </c>
      <c r="Y101">
        <f>HYPERLINK("https://klasma.github.io/Logging_MONSTERAS/tillsynsmail/A 70338-2018.docx")</f>
        <v/>
      </c>
    </row>
    <row r="102" ht="15" customHeight="1">
      <c r="A102" t="inlineStr">
        <is>
          <t>A 9408-2019</t>
        </is>
      </c>
      <c r="B102" s="1" t="n">
        <v>43507</v>
      </c>
      <c r="C102" s="1" t="n">
        <v>45175</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f>
        <v/>
      </c>
      <c r="T102">
        <f>HYPERLINK("https://klasma.github.io/Logging_HULTSFRED/kartor/A 9408-2019.png")</f>
        <v/>
      </c>
      <c r="V102">
        <f>HYPERLINK("https://klasma.github.io/Logging_HULTSFRED/klagomål/A 9408-2019.docx")</f>
        <v/>
      </c>
      <c r="W102">
        <f>HYPERLINK("https://klasma.github.io/Logging_HULTSFRED/klagomålsmail/A 9408-2019.docx")</f>
        <v/>
      </c>
      <c r="X102">
        <f>HYPERLINK("https://klasma.github.io/Logging_HULTSFRED/tillsyn/A 9408-2019.docx")</f>
        <v/>
      </c>
      <c r="Y102">
        <f>HYPERLINK("https://klasma.github.io/Logging_HULTSFRED/tillsynsmail/A 9408-2019.docx")</f>
        <v/>
      </c>
    </row>
    <row r="103" ht="15" customHeight="1">
      <c r="A103" t="inlineStr">
        <is>
          <t>A 17826-2019</t>
        </is>
      </c>
      <c r="B103" s="1" t="n">
        <v>43556</v>
      </c>
      <c r="C103" s="1" t="n">
        <v>45175</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f>
        <v/>
      </c>
      <c r="T103">
        <f>HYPERLINK("https://klasma.github.io/Logging_NYBRO/kartor/A 17826-2019.png")</f>
        <v/>
      </c>
      <c r="V103">
        <f>HYPERLINK("https://klasma.github.io/Logging_NYBRO/klagomål/A 17826-2019.docx")</f>
        <v/>
      </c>
      <c r="W103">
        <f>HYPERLINK("https://klasma.github.io/Logging_NYBRO/klagomålsmail/A 17826-2019.docx")</f>
        <v/>
      </c>
      <c r="X103">
        <f>HYPERLINK("https://klasma.github.io/Logging_NYBRO/tillsyn/A 17826-2019.docx")</f>
        <v/>
      </c>
      <c r="Y103">
        <f>HYPERLINK("https://klasma.github.io/Logging_NYBRO/tillsynsmail/A 17826-2019.docx")</f>
        <v/>
      </c>
    </row>
    <row r="104" ht="15" customHeight="1">
      <c r="A104" t="inlineStr">
        <is>
          <t>A 20823-2019</t>
        </is>
      </c>
      <c r="B104" s="1" t="n">
        <v>43573</v>
      </c>
      <c r="C104" s="1" t="n">
        <v>45175</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f>
        <v/>
      </c>
      <c r="T104">
        <f>HYPERLINK("https://klasma.github.io/Logging_HOGSBY/kartor/A 20823-2019.png")</f>
        <v/>
      </c>
      <c r="U104">
        <f>HYPERLINK("https://klasma.github.io/Logging_HOGSBY/knärot/A 20823-2019.png")</f>
        <v/>
      </c>
      <c r="V104">
        <f>HYPERLINK("https://klasma.github.io/Logging_HOGSBY/klagomål/A 20823-2019.docx")</f>
        <v/>
      </c>
      <c r="W104">
        <f>HYPERLINK("https://klasma.github.io/Logging_HOGSBY/klagomålsmail/A 20823-2019.docx")</f>
        <v/>
      </c>
      <c r="X104">
        <f>HYPERLINK("https://klasma.github.io/Logging_HOGSBY/tillsyn/A 20823-2019.docx")</f>
        <v/>
      </c>
      <c r="Y104">
        <f>HYPERLINK("https://klasma.github.io/Logging_HOGSBY/tillsynsmail/A 20823-2019.docx")</f>
        <v/>
      </c>
    </row>
    <row r="105" ht="15" customHeight="1">
      <c r="A105" t="inlineStr">
        <is>
          <t>A 36145-2019</t>
        </is>
      </c>
      <c r="B105" s="1" t="n">
        <v>43668</v>
      </c>
      <c r="C105" s="1" t="n">
        <v>45175</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f>
        <v/>
      </c>
      <c r="T105">
        <f>HYPERLINK("https://klasma.github.io/Logging_HOGSBY/kartor/A 36145-2019.png")</f>
        <v/>
      </c>
      <c r="V105">
        <f>HYPERLINK("https://klasma.github.io/Logging_HOGSBY/klagomål/A 36145-2019.docx")</f>
        <v/>
      </c>
      <c r="W105">
        <f>HYPERLINK("https://klasma.github.io/Logging_HOGSBY/klagomålsmail/A 36145-2019.docx")</f>
        <v/>
      </c>
      <c r="X105">
        <f>HYPERLINK("https://klasma.github.io/Logging_HOGSBY/tillsyn/A 36145-2019.docx")</f>
        <v/>
      </c>
      <c r="Y105">
        <f>HYPERLINK("https://klasma.github.io/Logging_HOGSBY/tillsynsmail/A 36145-2019.docx")</f>
        <v/>
      </c>
    </row>
    <row r="106" ht="15" customHeight="1">
      <c r="A106" t="inlineStr">
        <is>
          <t>A 55589-2019</t>
        </is>
      </c>
      <c r="B106" s="1" t="n">
        <v>43760</v>
      </c>
      <c r="C106" s="1" t="n">
        <v>45175</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f>
        <v/>
      </c>
      <c r="T106">
        <f>HYPERLINK("https://klasma.github.io/Logging_MORBYLANGA/kartor/A 55589-2019.png")</f>
        <v/>
      </c>
      <c r="V106">
        <f>HYPERLINK("https://klasma.github.io/Logging_MORBYLANGA/klagomål/A 55589-2019.docx")</f>
        <v/>
      </c>
      <c r="W106">
        <f>HYPERLINK("https://klasma.github.io/Logging_MORBYLANGA/klagomålsmail/A 55589-2019.docx")</f>
        <v/>
      </c>
      <c r="X106">
        <f>HYPERLINK("https://klasma.github.io/Logging_MORBYLANGA/tillsyn/A 55589-2019.docx")</f>
        <v/>
      </c>
      <c r="Y106">
        <f>HYPERLINK("https://klasma.github.io/Logging_MORBYLANGA/tillsynsmail/A 55589-2019.docx")</f>
        <v/>
      </c>
    </row>
    <row r="107" ht="15" customHeight="1">
      <c r="A107" t="inlineStr">
        <is>
          <t>A 2085-2020</t>
        </is>
      </c>
      <c r="B107" s="1" t="n">
        <v>43845</v>
      </c>
      <c r="C107" s="1" t="n">
        <v>45175</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f>
        <v/>
      </c>
      <c r="T107">
        <f>HYPERLINK("https://klasma.github.io/Logging_HULTSFRED/kartor/A 2085-2020.png")</f>
        <v/>
      </c>
      <c r="U107">
        <f>HYPERLINK("https://klasma.github.io/Logging_HULTSFRED/knärot/A 2085-2020.png")</f>
        <v/>
      </c>
      <c r="V107">
        <f>HYPERLINK("https://klasma.github.io/Logging_HULTSFRED/klagomål/A 2085-2020.docx")</f>
        <v/>
      </c>
      <c r="W107">
        <f>HYPERLINK("https://klasma.github.io/Logging_HULTSFRED/klagomålsmail/A 2085-2020.docx")</f>
        <v/>
      </c>
      <c r="X107">
        <f>HYPERLINK("https://klasma.github.io/Logging_HULTSFRED/tillsyn/A 2085-2020.docx")</f>
        <v/>
      </c>
      <c r="Y107">
        <f>HYPERLINK("https://klasma.github.io/Logging_HULTSFRED/tillsynsmail/A 2085-2020.docx")</f>
        <v/>
      </c>
    </row>
    <row r="108" ht="15" customHeight="1">
      <c r="A108" t="inlineStr">
        <is>
          <t>A 16102-2020</t>
        </is>
      </c>
      <c r="B108" s="1" t="n">
        <v>43916</v>
      </c>
      <c r="C108" s="1" t="n">
        <v>45175</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f>
        <v/>
      </c>
      <c r="T108">
        <f>HYPERLINK("https://klasma.github.io/Logging_HULTSFRED/kartor/A 16102-2020.png")</f>
        <v/>
      </c>
      <c r="V108">
        <f>HYPERLINK("https://klasma.github.io/Logging_HULTSFRED/klagomål/A 16102-2020.docx")</f>
        <v/>
      </c>
      <c r="W108">
        <f>HYPERLINK("https://klasma.github.io/Logging_HULTSFRED/klagomålsmail/A 16102-2020.docx")</f>
        <v/>
      </c>
      <c r="X108">
        <f>HYPERLINK("https://klasma.github.io/Logging_HULTSFRED/tillsyn/A 16102-2020.docx")</f>
        <v/>
      </c>
      <c r="Y108">
        <f>HYPERLINK("https://klasma.github.io/Logging_HULTSFRED/tillsynsmail/A 16102-2020.docx")</f>
        <v/>
      </c>
    </row>
    <row r="109" ht="15" customHeight="1">
      <c r="A109" t="inlineStr">
        <is>
          <t>A 26222-2020</t>
        </is>
      </c>
      <c r="B109" s="1" t="n">
        <v>43986</v>
      </c>
      <c r="C109" s="1" t="n">
        <v>45175</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f>
        <v/>
      </c>
      <c r="T109">
        <f>HYPERLINK("https://klasma.github.io/Logging_HULTSFRED/kartor/A 26222-2020.png")</f>
        <v/>
      </c>
      <c r="V109">
        <f>HYPERLINK("https://klasma.github.io/Logging_HULTSFRED/klagomål/A 26222-2020.docx")</f>
        <v/>
      </c>
      <c r="W109">
        <f>HYPERLINK("https://klasma.github.io/Logging_HULTSFRED/klagomålsmail/A 26222-2020.docx")</f>
        <v/>
      </c>
      <c r="X109">
        <f>HYPERLINK("https://klasma.github.io/Logging_HULTSFRED/tillsyn/A 26222-2020.docx")</f>
        <v/>
      </c>
      <c r="Y109">
        <f>HYPERLINK("https://klasma.github.io/Logging_HULTSFRED/tillsynsmail/A 26222-2020.docx")</f>
        <v/>
      </c>
    </row>
    <row r="110" ht="15" customHeight="1">
      <c r="A110" t="inlineStr">
        <is>
          <t>A 55371-2020</t>
        </is>
      </c>
      <c r="B110" s="1" t="n">
        <v>44130</v>
      </c>
      <c r="C110" s="1" t="n">
        <v>45175</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f>
        <v/>
      </c>
      <c r="T110">
        <f>HYPERLINK("https://klasma.github.io/Logging_MONSTERAS/kartor/A 55371-2020.png")</f>
        <v/>
      </c>
      <c r="V110">
        <f>HYPERLINK("https://klasma.github.io/Logging_MONSTERAS/klagomål/A 55371-2020.docx")</f>
        <v/>
      </c>
      <c r="W110">
        <f>HYPERLINK("https://klasma.github.io/Logging_MONSTERAS/klagomålsmail/A 55371-2020.docx")</f>
        <v/>
      </c>
      <c r="X110">
        <f>HYPERLINK("https://klasma.github.io/Logging_MONSTERAS/tillsyn/A 55371-2020.docx")</f>
        <v/>
      </c>
      <c r="Y110">
        <f>HYPERLINK("https://klasma.github.io/Logging_MONSTERAS/tillsynsmail/A 55371-2020.docx")</f>
        <v/>
      </c>
    </row>
    <row r="111" ht="15" customHeight="1">
      <c r="A111" t="inlineStr">
        <is>
          <t>A 4881-2021</t>
        </is>
      </c>
      <c r="B111" s="1" t="n">
        <v>44225</v>
      </c>
      <c r="C111" s="1" t="n">
        <v>45175</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f>
        <v/>
      </c>
      <c r="T111">
        <f>HYPERLINK("https://klasma.github.io/Logging_BORGHOLM/kartor/A 4881-2021.png")</f>
        <v/>
      </c>
      <c r="V111">
        <f>HYPERLINK("https://klasma.github.io/Logging_BORGHOLM/klagomål/A 4881-2021.docx")</f>
        <v/>
      </c>
      <c r="W111">
        <f>HYPERLINK("https://klasma.github.io/Logging_BORGHOLM/klagomålsmail/A 4881-2021.docx")</f>
        <v/>
      </c>
      <c r="X111">
        <f>HYPERLINK("https://klasma.github.io/Logging_BORGHOLM/tillsyn/A 4881-2021.docx")</f>
        <v/>
      </c>
      <c r="Y111">
        <f>HYPERLINK("https://klasma.github.io/Logging_BORGHOLM/tillsynsmail/A 4881-2021.docx")</f>
        <v/>
      </c>
    </row>
    <row r="112" ht="15" customHeight="1">
      <c r="A112" t="inlineStr">
        <is>
          <t>A 11931-2021</t>
        </is>
      </c>
      <c r="B112" s="1" t="n">
        <v>44265</v>
      </c>
      <c r="C112" s="1" t="n">
        <v>45175</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f>
        <v/>
      </c>
      <c r="T112">
        <f>HYPERLINK("https://klasma.github.io/Logging_NYBRO/kartor/A 11931-2021.png")</f>
        <v/>
      </c>
      <c r="V112">
        <f>HYPERLINK("https://klasma.github.io/Logging_NYBRO/klagomål/A 11931-2021.docx")</f>
        <v/>
      </c>
      <c r="W112">
        <f>HYPERLINK("https://klasma.github.io/Logging_NYBRO/klagomålsmail/A 11931-2021.docx")</f>
        <v/>
      </c>
      <c r="X112">
        <f>HYPERLINK("https://klasma.github.io/Logging_NYBRO/tillsyn/A 11931-2021.docx")</f>
        <v/>
      </c>
      <c r="Y112">
        <f>HYPERLINK("https://klasma.github.io/Logging_NYBRO/tillsynsmail/A 11931-2021.docx")</f>
        <v/>
      </c>
    </row>
    <row r="113" ht="15" customHeight="1">
      <c r="A113" t="inlineStr">
        <is>
          <t>A 31837-2021</t>
        </is>
      </c>
      <c r="B113" s="1" t="n">
        <v>44370</v>
      </c>
      <c r="C113" s="1" t="n">
        <v>45175</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f>
        <v/>
      </c>
      <c r="T113">
        <f>HYPERLINK("https://klasma.github.io/Logging_BORGHOLM/kartor/A 31837-2021.png")</f>
        <v/>
      </c>
      <c r="V113">
        <f>HYPERLINK("https://klasma.github.io/Logging_BORGHOLM/klagomål/A 31837-2021.docx")</f>
        <v/>
      </c>
      <c r="W113">
        <f>HYPERLINK("https://klasma.github.io/Logging_BORGHOLM/klagomålsmail/A 31837-2021.docx")</f>
        <v/>
      </c>
      <c r="X113">
        <f>HYPERLINK("https://klasma.github.io/Logging_BORGHOLM/tillsyn/A 31837-2021.docx")</f>
        <v/>
      </c>
      <c r="Y113">
        <f>HYPERLINK("https://klasma.github.io/Logging_BORGHOLM/tillsynsmail/A 31837-2021.docx")</f>
        <v/>
      </c>
    </row>
    <row r="114" ht="15" customHeight="1">
      <c r="A114" t="inlineStr">
        <is>
          <t>A 45095-2021</t>
        </is>
      </c>
      <c r="B114" s="1" t="n">
        <v>44439</v>
      </c>
      <c r="C114" s="1" t="n">
        <v>45175</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f>
        <v/>
      </c>
      <c r="T114">
        <f>HYPERLINK("https://klasma.github.io/Logging_KALMAR/kartor/A 45095-2021.png")</f>
        <v/>
      </c>
      <c r="V114">
        <f>HYPERLINK("https://klasma.github.io/Logging_KALMAR/klagomål/A 45095-2021.docx")</f>
        <v/>
      </c>
      <c r="W114">
        <f>HYPERLINK("https://klasma.github.io/Logging_KALMAR/klagomålsmail/A 45095-2021.docx")</f>
        <v/>
      </c>
      <c r="X114">
        <f>HYPERLINK("https://klasma.github.io/Logging_KALMAR/tillsyn/A 45095-2021.docx")</f>
        <v/>
      </c>
      <c r="Y114">
        <f>HYPERLINK("https://klasma.github.io/Logging_KALMAR/tillsynsmail/A 45095-2021.docx")</f>
        <v/>
      </c>
    </row>
    <row r="115" ht="15" customHeight="1">
      <c r="A115" t="inlineStr">
        <is>
          <t>A 63779-2021</t>
        </is>
      </c>
      <c r="B115" s="1" t="n">
        <v>44508</v>
      </c>
      <c r="C115" s="1" t="n">
        <v>45175</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f>
        <v/>
      </c>
      <c r="T115">
        <f>HYPERLINK("https://klasma.github.io/Logging_MORBYLANGA/kartor/A 63779-2021.png")</f>
        <v/>
      </c>
      <c r="V115">
        <f>HYPERLINK("https://klasma.github.io/Logging_MORBYLANGA/klagomål/A 63779-2021.docx")</f>
        <v/>
      </c>
      <c r="W115">
        <f>HYPERLINK("https://klasma.github.io/Logging_MORBYLANGA/klagomålsmail/A 63779-2021.docx")</f>
        <v/>
      </c>
      <c r="X115">
        <f>HYPERLINK("https://klasma.github.io/Logging_MORBYLANGA/tillsyn/A 63779-2021.docx")</f>
        <v/>
      </c>
      <c r="Y115">
        <f>HYPERLINK("https://klasma.github.io/Logging_MORBYLANGA/tillsynsmail/A 63779-2021.docx")</f>
        <v/>
      </c>
    </row>
    <row r="116" ht="15" customHeight="1">
      <c r="A116" t="inlineStr">
        <is>
          <t>A 7701-2022</t>
        </is>
      </c>
      <c r="B116" s="1" t="n">
        <v>44607</v>
      </c>
      <c r="C116" s="1" t="n">
        <v>45175</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f>
        <v/>
      </c>
      <c r="T116">
        <f>HYPERLINK("https://klasma.github.io/Logging_HOGSBY/kartor/A 7701-2022.png")</f>
        <v/>
      </c>
      <c r="V116">
        <f>HYPERLINK("https://klasma.github.io/Logging_HOGSBY/klagomål/A 7701-2022.docx")</f>
        <v/>
      </c>
      <c r="W116">
        <f>HYPERLINK("https://klasma.github.io/Logging_HOGSBY/klagomålsmail/A 7701-2022.docx")</f>
        <v/>
      </c>
      <c r="X116">
        <f>HYPERLINK("https://klasma.github.io/Logging_HOGSBY/tillsyn/A 7701-2022.docx")</f>
        <v/>
      </c>
      <c r="Y116">
        <f>HYPERLINK("https://klasma.github.io/Logging_HOGSBY/tillsynsmail/A 7701-2022.docx")</f>
        <v/>
      </c>
    </row>
    <row r="117" ht="15" customHeight="1">
      <c r="A117" t="inlineStr">
        <is>
          <t>A 24778-2022</t>
        </is>
      </c>
      <c r="B117" s="1" t="n">
        <v>44728</v>
      </c>
      <c r="C117" s="1" t="n">
        <v>45175</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f>
        <v/>
      </c>
      <c r="T117">
        <f>HYPERLINK("https://klasma.github.io/Logging_MORBYLANGA/kartor/A 24778-2022.png")</f>
        <v/>
      </c>
      <c r="V117">
        <f>HYPERLINK("https://klasma.github.io/Logging_MORBYLANGA/klagomål/A 24778-2022.docx")</f>
        <v/>
      </c>
      <c r="W117">
        <f>HYPERLINK("https://klasma.github.io/Logging_MORBYLANGA/klagomålsmail/A 24778-2022.docx")</f>
        <v/>
      </c>
      <c r="X117">
        <f>HYPERLINK("https://klasma.github.io/Logging_MORBYLANGA/tillsyn/A 24778-2022.docx")</f>
        <v/>
      </c>
      <c r="Y117">
        <f>HYPERLINK("https://klasma.github.io/Logging_MORBYLANGA/tillsynsmail/A 24778-2022.docx")</f>
        <v/>
      </c>
    </row>
    <row r="118" ht="15" customHeight="1">
      <c r="A118" t="inlineStr">
        <is>
          <t>A 34948-2022</t>
        </is>
      </c>
      <c r="B118" s="1" t="n">
        <v>44796</v>
      </c>
      <c r="C118" s="1" t="n">
        <v>45175</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f>
        <v/>
      </c>
      <c r="T118">
        <f>HYPERLINK("https://klasma.github.io/Logging_BORGHOLM/kartor/A 34948-2022.png")</f>
        <v/>
      </c>
      <c r="V118">
        <f>HYPERLINK("https://klasma.github.io/Logging_BORGHOLM/klagomål/A 34948-2022.docx")</f>
        <v/>
      </c>
      <c r="W118">
        <f>HYPERLINK("https://klasma.github.io/Logging_BORGHOLM/klagomålsmail/A 34948-2022.docx")</f>
        <v/>
      </c>
      <c r="X118">
        <f>HYPERLINK("https://klasma.github.io/Logging_BORGHOLM/tillsyn/A 34948-2022.docx")</f>
        <v/>
      </c>
      <c r="Y118">
        <f>HYPERLINK("https://klasma.github.io/Logging_BORGHOLM/tillsynsmail/A 34948-2022.docx")</f>
        <v/>
      </c>
    </row>
    <row r="119" ht="15" customHeight="1">
      <c r="A119" t="inlineStr">
        <is>
          <t>A 60730-2022</t>
        </is>
      </c>
      <c r="B119" s="1" t="n">
        <v>44913</v>
      </c>
      <c r="C119" s="1" t="n">
        <v>45175</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f>
        <v/>
      </c>
      <c r="T119">
        <f>HYPERLINK("https://klasma.github.io/Logging_EMMABODA/kartor/A 60730-2022.png")</f>
        <v/>
      </c>
      <c r="V119">
        <f>HYPERLINK("https://klasma.github.io/Logging_EMMABODA/klagomål/A 60730-2022.docx")</f>
        <v/>
      </c>
      <c r="W119">
        <f>HYPERLINK("https://klasma.github.io/Logging_EMMABODA/klagomålsmail/A 60730-2022.docx")</f>
        <v/>
      </c>
      <c r="X119">
        <f>HYPERLINK("https://klasma.github.io/Logging_EMMABODA/tillsyn/A 60730-2022.docx")</f>
        <v/>
      </c>
      <c r="Y119">
        <f>HYPERLINK("https://klasma.github.io/Logging_EMMABODA/tillsynsmail/A 60730-2022.docx")</f>
        <v/>
      </c>
    </row>
    <row r="120" ht="15" customHeight="1">
      <c r="A120" t="inlineStr">
        <is>
          <t>A 781-2023</t>
        </is>
      </c>
      <c r="B120" s="1" t="n">
        <v>44931</v>
      </c>
      <c r="C120" s="1" t="n">
        <v>45175</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f>
        <v/>
      </c>
      <c r="T120">
        <f>HYPERLINK("https://klasma.github.io/Logging_VASTERVIK/kartor/A 781-2023.png")</f>
        <v/>
      </c>
      <c r="V120">
        <f>HYPERLINK("https://klasma.github.io/Logging_VASTERVIK/klagomål/A 781-2023.docx")</f>
        <v/>
      </c>
      <c r="W120">
        <f>HYPERLINK("https://klasma.github.io/Logging_VASTERVIK/klagomålsmail/A 781-2023.docx")</f>
        <v/>
      </c>
      <c r="X120">
        <f>HYPERLINK("https://klasma.github.io/Logging_VASTERVIK/tillsyn/A 781-2023.docx")</f>
        <v/>
      </c>
      <c r="Y120">
        <f>HYPERLINK("https://klasma.github.io/Logging_VASTERVIK/tillsynsmail/A 781-2023.docx")</f>
        <v/>
      </c>
    </row>
    <row r="121" ht="15" customHeight="1">
      <c r="A121" t="inlineStr">
        <is>
          <t>A 24863-2023</t>
        </is>
      </c>
      <c r="B121" s="1" t="n">
        <v>45078</v>
      </c>
      <c r="C121" s="1" t="n">
        <v>45175</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f>
        <v/>
      </c>
      <c r="T121">
        <f>HYPERLINK("https://klasma.github.io/Logging_VASTERVIK/kartor/A 24863-2023.png")</f>
        <v/>
      </c>
      <c r="U121">
        <f>HYPERLINK("https://klasma.github.io/Logging_VASTERVIK/knärot/A 24863-2023.png")</f>
        <v/>
      </c>
      <c r="V121">
        <f>HYPERLINK("https://klasma.github.io/Logging_VASTERVIK/klagomål/A 24863-2023.docx")</f>
        <v/>
      </c>
      <c r="W121">
        <f>HYPERLINK("https://klasma.github.io/Logging_VASTERVIK/klagomålsmail/A 24863-2023.docx")</f>
        <v/>
      </c>
      <c r="X121">
        <f>HYPERLINK("https://klasma.github.io/Logging_VASTERVIK/tillsyn/A 24863-2023.docx")</f>
        <v/>
      </c>
      <c r="Y121">
        <f>HYPERLINK("https://klasma.github.io/Logging_VASTERVIK/tillsynsmail/A 24863-2023.docx")</f>
        <v/>
      </c>
    </row>
    <row r="122" ht="15" customHeight="1">
      <c r="A122" t="inlineStr">
        <is>
          <t>A 39665-2018</t>
        </is>
      </c>
      <c r="B122" s="1" t="n">
        <v>43341</v>
      </c>
      <c r="C122" s="1" t="n">
        <v>45175</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f>
        <v/>
      </c>
      <c r="T122">
        <f>HYPERLINK("https://klasma.github.io/Logging_VASTERVIK/kartor/A 39665-2018.png")</f>
        <v/>
      </c>
      <c r="V122">
        <f>HYPERLINK("https://klasma.github.io/Logging_VASTERVIK/klagomål/A 39665-2018.docx")</f>
        <v/>
      </c>
      <c r="W122">
        <f>HYPERLINK("https://klasma.github.io/Logging_VASTERVIK/klagomålsmail/A 39665-2018.docx")</f>
        <v/>
      </c>
      <c r="X122">
        <f>HYPERLINK("https://klasma.github.io/Logging_VASTERVIK/tillsyn/A 39665-2018.docx")</f>
        <v/>
      </c>
      <c r="Y122">
        <f>HYPERLINK("https://klasma.github.io/Logging_VASTERVIK/tillsynsmail/A 39665-2018.docx")</f>
        <v/>
      </c>
    </row>
    <row r="123" ht="15" customHeight="1">
      <c r="A123" t="inlineStr">
        <is>
          <t>A 61912-2018</t>
        </is>
      </c>
      <c r="B123" s="1" t="n">
        <v>43425</v>
      </c>
      <c r="C123" s="1" t="n">
        <v>45175</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f>
        <v/>
      </c>
      <c r="T123">
        <f>HYPERLINK("https://klasma.github.io/Logging_TORSAS/kartor/A 61912-2018.png")</f>
        <v/>
      </c>
      <c r="V123">
        <f>HYPERLINK("https://klasma.github.io/Logging_TORSAS/klagomål/A 61912-2018.docx")</f>
        <v/>
      </c>
      <c r="W123">
        <f>HYPERLINK("https://klasma.github.io/Logging_TORSAS/klagomålsmail/A 61912-2018.docx")</f>
        <v/>
      </c>
      <c r="X123">
        <f>HYPERLINK("https://klasma.github.io/Logging_TORSAS/tillsyn/A 61912-2018.docx")</f>
        <v/>
      </c>
      <c r="Y123">
        <f>HYPERLINK("https://klasma.github.io/Logging_TORSAS/tillsynsmail/A 61912-2018.docx")</f>
        <v/>
      </c>
    </row>
    <row r="124" ht="15" customHeight="1">
      <c r="A124" t="inlineStr">
        <is>
          <t>A 63237-2018</t>
        </is>
      </c>
      <c r="B124" s="1" t="n">
        <v>43426</v>
      </c>
      <c r="C124" s="1" t="n">
        <v>45175</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f>
        <v/>
      </c>
      <c r="T124">
        <f>HYPERLINK("https://klasma.github.io/Logging_HULTSFRED/kartor/A 63237-2018.png")</f>
        <v/>
      </c>
      <c r="V124">
        <f>HYPERLINK("https://klasma.github.io/Logging_HULTSFRED/klagomål/A 63237-2018.docx")</f>
        <v/>
      </c>
      <c r="W124">
        <f>HYPERLINK("https://klasma.github.io/Logging_HULTSFRED/klagomålsmail/A 63237-2018.docx")</f>
        <v/>
      </c>
      <c r="X124">
        <f>HYPERLINK("https://klasma.github.io/Logging_HULTSFRED/tillsyn/A 63237-2018.docx")</f>
        <v/>
      </c>
      <c r="Y124">
        <f>HYPERLINK("https://klasma.github.io/Logging_HULTSFRED/tillsynsmail/A 63237-2018.docx")</f>
        <v/>
      </c>
    </row>
    <row r="125" ht="15" customHeight="1">
      <c r="A125" t="inlineStr">
        <is>
          <t>A 70687-2018</t>
        </is>
      </c>
      <c r="B125" s="1" t="n">
        <v>43447</v>
      </c>
      <c r="C125" s="1" t="n">
        <v>45175</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f>
        <v/>
      </c>
      <c r="T125">
        <f>HYPERLINK("https://klasma.github.io/Logging_HULTSFRED/kartor/A 70687-2018.png")</f>
        <v/>
      </c>
      <c r="U125">
        <f>HYPERLINK("https://klasma.github.io/Logging_HULTSFRED/knärot/A 70687-2018.png")</f>
        <v/>
      </c>
      <c r="V125">
        <f>HYPERLINK("https://klasma.github.io/Logging_HULTSFRED/klagomål/A 70687-2018.docx")</f>
        <v/>
      </c>
      <c r="W125">
        <f>HYPERLINK("https://klasma.github.io/Logging_HULTSFRED/klagomålsmail/A 70687-2018.docx")</f>
        <v/>
      </c>
      <c r="X125">
        <f>HYPERLINK("https://klasma.github.io/Logging_HULTSFRED/tillsyn/A 70687-2018.docx")</f>
        <v/>
      </c>
      <c r="Y125">
        <f>HYPERLINK("https://klasma.github.io/Logging_HULTSFRED/tillsynsmail/A 70687-2018.docx")</f>
        <v/>
      </c>
    </row>
    <row r="126" ht="15" customHeight="1">
      <c r="A126" t="inlineStr">
        <is>
          <t>A 11550-2019</t>
        </is>
      </c>
      <c r="B126" s="1" t="n">
        <v>43517</v>
      </c>
      <c r="C126" s="1" t="n">
        <v>45175</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f>
        <v/>
      </c>
      <c r="T126">
        <f>HYPERLINK("https://klasma.github.io/Logging_OSKARSHAMN/kartor/A 11550-2019.png")</f>
        <v/>
      </c>
      <c r="V126">
        <f>HYPERLINK("https://klasma.github.io/Logging_OSKARSHAMN/klagomål/A 11550-2019.docx")</f>
        <v/>
      </c>
      <c r="W126">
        <f>HYPERLINK("https://klasma.github.io/Logging_OSKARSHAMN/klagomålsmail/A 11550-2019.docx")</f>
        <v/>
      </c>
      <c r="X126">
        <f>HYPERLINK("https://klasma.github.io/Logging_OSKARSHAMN/tillsyn/A 11550-2019.docx")</f>
        <v/>
      </c>
      <c r="Y126">
        <f>HYPERLINK("https://klasma.github.io/Logging_OSKARSHAMN/tillsynsmail/A 11550-2019.docx")</f>
        <v/>
      </c>
    </row>
    <row r="127" ht="15" customHeight="1">
      <c r="A127" t="inlineStr">
        <is>
          <t>A 19978-2019</t>
        </is>
      </c>
      <c r="B127" s="1" t="n">
        <v>43566</v>
      </c>
      <c r="C127" s="1" t="n">
        <v>45175</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f>
        <v/>
      </c>
      <c r="T127">
        <f>HYPERLINK("https://klasma.github.io/Logging_VIMMERBY/kartor/A 19978-2019.png")</f>
        <v/>
      </c>
      <c r="V127">
        <f>HYPERLINK("https://klasma.github.io/Logging_VIMMERBY/klagomål/A 19978-2019.docx")</f>
        <v/>
      </c>
      <c r="W127">
        <f>HYPERLINK("https://klasma.github.io/Logging_VIMMERBY/klagomålsmail/A 19978-2019.docx")</f>
        <v/>
      </c>
      <c r="X127">
        <f>HYPERLINK("https://klasma.github.io/Logging_VIMMERBY/tillsyn/A 19978-2019.docx")</f>
        <v/>
      </c>
      <c r="Y127">
        <f>HYPERLINK("https://klasma.github.io/Logging_VIMMERBY/tillsynsmail/A 19978-2019.docx")</f>
        <v/>
      </c>
    </row>
    <row r="128" ht="15" customHeight="1">
      <c r="A128" t="inlineStr">
        <is>
          <t>A 22939-2019</t>
        </is>
      </c>
      <c r="B128" s="1" t="n">
        <v>43591</v>
      </c>
      <c r="C128" s="1" t="n">
        <v>45175</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f>
        <v/>
      </c>
      <c r="T128">
        <f>HYPERLINK("https://klasma.github.io/Logging_KALMAR/kartor/A 22939-2019.png")</f>
        <v/>
      </c>
      <c r="U128">
        <f>HYPERLINK("https://klasma.github.io/Logging_KALMAR/knärot/A 22939-2019.png")</f>
        <v/>
      </c>
      <c r="V128">
        <f>HYPERLINK("https://klasma.github.io/Logging_KALMAR/klagomål/A 22939-2019.docx")</f>
        <v/>
      </c>
      <c r="W128">
        <f>HYPERLINK("https://klasma.github.io/Logging_KALMAR/klagomålsmail/A 22939-2019.docx")</f>
        <v/>
      </c>
      <c r="X128">
        <f>HYPERLINK("https://klasma.github.io/Logging_KALMAR/tillsyn/A 22939-2019.docx")</f>
        <v/>
      </c>
      <c r="Y128">
        <f>HYPERLINK("https://klasma.github.io/Logging_KALMAR/tillsynsmail/A 22939-2019.docx")</f>
        <v/>
      </c>
    </row>
    <row r="129" ht="15" customHeight="1">
      <c r="A129" t="inlineStr">
        <is>
          <t>A 32058-2019</t>
        </is>
      </c>
      <c r="B129" s="1" t="n">
        <v>43643</v>
      </c>
      <c r="C129" s="1" t="n">
        <v>45175</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f>
        <v/>
      </c>
      <c r="T129">
        <f>HYPERLINK("https://klasma.github.io/Logging_KALMAR/kartor/A 32058-2019.png")</f>
        <v/>
      </c>
      <c r="V129">
        <f>HYPERLINK("https://klasma.github.io/Logging_KALMAR/klagomål/A 32058-2019.docx")</f>
        <v/>
      </c>
      <c r="W129">
        <f>HYPERLINK("https://klasma.github.io/Logging_KALMAR/klagomålsmail/A 32058-2019.docx")</f>
        <v/>
      </c>
      <c r="X129">
        <f>HYPERLINK("https://klasma.github.io/Logging_KALMAR/tillsyn/A 32058-2019.docx")</f>
        <v/>
      </c>
      <c r="Y129">
        <f>HYPERLINK("https://klasma.github.io/Logging_KALMAR/tillsynsmail/A 32058-2019.docx")</f>
        <v/>
      </c>
    </row>
    <row r="130" ht="15" customHeight="1">
      <c r="A130" t="inlineStr">
        <is>
          <t>A 37646-2019</t>
        </is>
      </c>
      <c r="B130" s="1" t="n">
        <v>43682</v>
      </c>
      <c r="C130" s="1" t="n">
        <v>45175</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f>
        <v/>
      </c>
      <c r="T130">
        <f>HYPERLINK("https://klasma.github.io/Logging_TORSAS/kartor/A 37646-2019.png")</f>
        <v/>
      </c>
      <c r="V130">
        <f>HYPERLINK("https://klasma.github.io/Logging_TORSAS/klagomål/A 37646-2019.docx")</f>
        <v/>
      </c>
      <c r="W130">
        <f>HYPERLINK("https://klasma.github.io/Logging_TORSAS/klagomålsmail/A 37646-2019.docx")</f>
        <v/>
      </c>
      <c r="X130">
        <f>HYPERLINK("https://klasma.github.io/Logging_TORSAS/tillsyn/A 37646-2019.docx")</f>
        <v/>
      </c>
      <c r="Y130">
        <f>HYPERLINK("https://klasma.github.io/Logging_TORSAS/tillsynsmail/A 37646-2019.docx")</f>
        <v/>
      </c>
    </row>
    <row r="131" ht="15" customHeight="1">
      <c r="A131" t="inlineStr">
        <is>
          <t>A 39570-2019</t>
        </is>
      </c>
      <c r="B131" s="1" t="n">
        <v>43686</v>
      </c>
      <c r="C131" s="1" t="n">
        <v>45175</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f>
        <v/>
      </c>
      <c r="T131">
        <f>HYPERLINK("https://klasma.github.io/Logging_KALMAR/kartor/A 39570-2019.png")</f>
        <v/>
      </c>
      <c r="V131">
        <f>HYPERLINK("https://klasma.github.io/Logging_KALMAR/klagomål/A 39570-2019.docx")</f>
        <v/>
      </c>
      <c r="W131">
        <f>HYPERLINK("https://klasma.github.io/Logging_KALMAR/klagomålsmail/A 39570-2019.docx")</f>
        <v/>
      </c>
      <c r="X131">
        <f>HYPERLINK("https://klasma.github.io/Logging_KALMAR/tillsyn/A 39570-2019.docx")</f>
        <v/>
      </c>
      <c r="Y131">
        <f>HYPERLINK("https://klasma.github.io/Logging_KALMAR/tillsynsmail/A 39570-2019.docx")</f>
        <v/>
      </c>
    </row>
    <row r="132" ht="15" customHeight="1">
      <c r="A132" t="inlineStr">
        <is>
          <t>A 43862-2019</t>
        </is>
      </c>
      <c r="B132" s="1" t="n">
        <v>43707</v>
      </c>
      <c r="C132" s="1" t="n">
        <v>45175</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f>
        <v/>
      </c>
      <c r="T132">
        <f>HYPERLINK("https://klasma.github.io/Logging_VASTERVIK/kartor/A 43862-2019.png")</f>
        <v/>
      </c>
      <c r="U132">
        <f>HYPERLINK("https://klasma.github.io/Logging_VASTERVIK/knärot/A 43862-2019.png")</f>
        <v/>
      </c>
      <c r="V132">
        <f>HYPERLINK("https://klasma.github.io/Logging_VASTERVIK/klagomål/A 43862-2019.docx")</f>
        <v/>
      </c>
      <c r="W132">
        <f>HYPERLINK("https://klasma.github.io/Logging_VASTERVIK/klagomålsmail/A 43862-2019.docx")</f>
        <v/>
      </c>
      <c r="X132">
        <f>HYPERLINK("https://klasma.github.io/Logging_VASTERVIK/tillsyn/A 43862-2019.docx")</f>
        <v/>
      </c>
      <c r="Y132">
        <f>HYPERLINK("https://klasma.github.io/Logging_VASTERVIK/tillsynsmail/A 43862-2019.docx")</f>
        <v/>
      </c>
    </row>
    <row r="133" ht="15" customHeight="1">
      <c r="A133" t="inlineStr">
        <is>
          <t>A 62797-2019</t>
        </is>
      </c>
      <c r="B133" s="1" t="n">
        <v>43790</v>
      </c>
      <c r="C133" s="1" t="n">
        <v>45175</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f>
        <v/>
      </c>
      <c r="T133">
        <f>HYPERLINK("https://klasma.github.io/Logging_VIMMERBY/kartor/A 62797-2019.png")</f>
        <v/>
      </c>
      <c r="V133">
        <f>HYPERLINK("https://klasma.github.io/Logging_VIMMERBY/klagomål/A 62797-2019.docx")</f>
        <v/>
      </c>
      <c r="W133">
        <f>HYPERLINK("https://klasma.github.io/Logging_VIMMERBY/klagomålsmail/A 62797-2019.docx")</f>
        <v/>
      </c>
      <c r="X133">
        <f>HYPERLINK("https://klasma.github.io/Logging_VIMMERBY/tillsyn/A 62797-2019.docx")</f>
        <v/>
      </c>
      <c r="Y133">
        <f>HYPERLINK("https://klasma.github.io/Logging_VIMMERBY/tillsynsmail/A 62797-2019.docx")</f>
        <v/>
      </c>
    </row>
    <row r="134" ht="15" customHeight="1">
      <c r="A134" t="inlineStr">
        <is>
          <t>A 1127-2020</t>
        </is>
      </c>
      <c r="B134" s="1" t="n">
        <v>43840</v>
      </c>
      <c r="C134" s="1" t="n">
        <v>45175</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f>
        <v/>
      </c>
      <c r="T134">
        <f>HYPERLINK("https://klasma.github.io/Logging_TORSAS/kartor/A 1127-2020.png")</f>
        <v/>
      </c>
      <c r="V134">
        <f>HYPERLINK("https://klasma.github.io/Logging_TORSAS/klagomål/A 1127-2020.docx")</f>
        <v/>
      </c>
      <c r="W134">
        <f>HYPERLINK("https://klasma.github.io/Logging_TORSAS/klagomålsmail/A 1127-2020.docx")</f>
        <v/>
      </c>
      <c r="X134">
        <f>HYPERLINK("https://klasma.github.io/Logging_TORSAS/tillsyn/A 1127-2020.docx")</f>
        <v/>
      </c>
      <c r="Y134">
        <f>HYPERLINK("https://klasma.github.io/Logging_TORSAS/tillsynsmail/A 1127-2020.docx")</f>
        <v/>
      </c>
    </row>
    <row r="135" ht="15" customHeight="1">
      <c r="A135" t="inlineStr">
        <is>
          <t>A 3470-2020</t>
        </is>
      </c>
      <c r="B135" s="1" t="n">
        <v>43852</v>
      </c>
      <c r="C135" s="1" t="n">
        <v>45175</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f>
        <v/>
      </c>
      <c r="T135">
        <f>HYPERLINK("https://klasma.github.io/Logging_VASTERVIK/kartor/A 3470-2020.png")</f>
        <v/>
      </c>
      <c r="V135">
        <f>HYPERLINK("https://klasma.github.io/Logging_VASTERVIK/klagomål/A 3470-2020.docx")</f>
        <v/>
      </c>
      <c r="W135">
        <f>HYPERLINK("https://klasma.github.io/Logging_VASTERVIK/klagomålsmail/A 3470-2020.docx")</f>
        <v/>
      </c>
      <c r="X135">
        <f>HYPERLINK("https://klasma.github.io/Logging_VASTERVIK/tillsyn/A 3470-2020.docx")</f>
        <v/>
      </c>
      <c r="Y135">
        <f>HYPERLINK("https://klasma.github.io/Logging_VASTERVIK/tillsynsmail/A 3470-2020.docx")</f>
        <v/>
      </c>
    </row>
    <row r="136" ht="15" customHeight="1">
      <c r="A136" t="inlineStr">
        <is>
          <t>A 5747-2020</t>
        </is>
      </c>
      <c r="B136" s="1" t="n">
        <v>43863</v>
      </c>
      <c r="C136" s="1" t="n">
        <v>45175</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f>
        <v/>
      </c>
      <c r="T136">
        <f>HYPERLINK("https://klasma.github.io/Logging_OSKARSHAMN/kartor/A 5747-2020.png")</f>
        <v/>
      </c>
      <c r="V136">
        <f>HYPERLINK("https://klasma.github.io/Logging_OSKARSHAMN/klagomål/A 5747-2020.docx")</f>
        <v/>
      </c>
      <c r="W136">
        <f>HYPERLINK("https://klasma.github.io/Logging_OSKARSHAMN/klagomålsmail/A 5747-2020.docx")</f>
        <v/>
      </c>
      <c r="X136">
        <f>HYPERLINK("https://klasma.github.io/Logging_OSKARSHAMN/tillsyn/A 5747-2020.docx")</f>
        <v/>
      </c>
      <c r="Y136">
        <f>HYPERLINK("https://klasma.github.io/Logging_OSKARSHAMN/tillsynsmail/A 5747-2020.docx")</f>
        <v/>
      </c>
    </row>
    <row r="137" ht="15" customHeight="1">
      <c r="A137" t="inlineStr">
        <is>
          <t>A 8226-2020</t>
        </is>
      </c>
      <c r="B137" s="1" t="n">
        <v>43874</v>
      </c>
      <c r="C137" s="1" t="n">
        <v>45175</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f>
        <v/>
      </c>
      <c r="T137">
        <f>HYPERLINK("https://klasma.github.io/Logging_HULTSFRED/kartor/A 8226-2020.png")</f>
        <v/>
      </c>
      <c r="U137">
        <f>HYPERLINK("https://klasma.github.io/Logging_HULTSFRED/knärot/A 8226-2020.png")</f>
        <v/>
      </c>
      <c r="V137">
        <f>HYPERLINK("https://klasma.github.io/Logging_HULTSFRED/klagomål/A 8226-2020.docx")</f>
        <v/>
      </c>
      <c r="W137">
        <f>HYPERLINK("https://klasma.github.io/Logging_HULTSFRED/klagomålsmail/A 8226-2020.docx")</f>
        <v/>
      </c>
      <c r="X137">
        <f>HYPERLINK("https://klasma.github.io/Logging_HULTSFRED/tillsyn/A 8226-2020.docx")</f>
        <v/>
      </c>
      <c r="Y137">
        <f>HYPERLINK("https://klasma.github.io/Logging_HULTSFRED/tillsynsmail/A 8226-2020.docx")</f>
        <v/>
      </c>
    </row>
    <row r="138" ht="15" customHeight="1">
      <c r="A138" t="inlineStr">
        <is>
          <t>A 15978-2020</t>
        </is>
      </c>
      <c r="B138" s="1" t="n">
        <v>43915</v>
      </c>
      <c r="C138" s="1" t="n">
        <v>45175</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f>
        <v/>
      </c>
      <c r="T138">
        <f>HYPERLINK("https://klasma.github.io/Logging_VASTERVIK/kartor/A 15978-2020.png")</f>
        <v/>
      </c>
      <c r="U138">
        <f>HYPERLINK("https://klasma.github.io/Logging_VASTERVIK/knärot/A 15978-2020.png")</f>
        <v/>
      </c>
      <c r="V138">
        <f>HYPERLINK("https://klasma.github.io/Logging_VASTERVIK/klagomål/A 15978-2020.docx")</f>
        <v/>
      </c>
      <c r="W138">
        <f>HYPERLINK("https://klasma.github.io/Logging_VASTERVIK/klagomålsmail/A 15978-2020.docx")</f>
        <v/>
      </c>
      <c r="X138">
        <f>HYPERLINK("https://klasma.github.io/Logging_VASTERVIK/tillsyn/A 15978-2020.docx")</f>
        <v/>
      </c>
      <c r="Y138">
        <f>HYPERLINK("https://klasma.github.io/Logging_VASTERVIK/tillsynsmail/A 15978-2020.docx")</f>
        <v/>
      </c>
    </row>
    <row r="139" ht="15" customHeight="1">
      <c r="A139" t="inlineStr">
        <is>
          <t>A 24795-2020</t>
        </is>
      </c>
      <c r="B139" s="1" t="n">
        <v>43978</v>
      </c>
      <c r="C139" s="1" t="n">
        <v>45175</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f>
        <v/>
      </c>
      <c r="T139">
        <f>HYPERLINK("https://klasma.github.io/Logging_HOGSBY/kartor/A 24795-2020.png")</f>
        <v/>
      </c>
      <c r="V139">
        <f>HYPERLINK("https://klasma.github.io/Logging_HOGSBY/klagomål/A 24795-2020.docx")</f>
        <v/>
      </c>
      <c r="W139">
        <f>HYPERLINK("https://klasma.github.io/Logging_HOGSBY/klagomålsmail/A 24795-2020.docx")</f>
        <v/>
      </c>
      <c r="X139">
        <f>HYPERLINK("https://klasma.github.io/Logging_HOGSBY/tillsyn/A 24795-2020.docx")</f>
        <v/>
      </c>
      <c r="Y139">
        <f>HYPERLINK("https://klasma.github.io/Logging_HOGSBY/tillsynsmail/A 24795-2020.docx")</f>
        <v/>
      </c>
    </row>
    <row r="140" ht="15" customHeight="1">
      <c r="A140" t="inlineStr">
        <is>
          <t>A 38049-2020</t>
        </is>
      </c>
      <c r="B140" s="1" t="n">
        <v>44057</v>
      </c>
      <c r="C140" s="1" t="n">
        <v>45175</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f>
        <v/>
      </c>
      <c r="T140">
        <f>HYPERLINK("https://klasma.github.io/Logging_KALMAR/kartor/A 38049-2020.png")</f>
        <v/>
      </c>
      <c r="U140">
        <f>HYPERLINK("https://klasma.github.io/Logging_KALMAR/knärot/A 38049-2020.png")</f>
        <v/>
      </c>
      <c r="V140">
        <f>HYPERLINK("https://klasma.github.io/Logging_KALMAR/klagomål/A 38049-2020.docx")</f>
        <v/>
      </c>
      <c r="W140">
        <f>HYPERLINK("https://klasma.github.io/Logging_KALMAR/klagomålsmail/A 38049-2020.docx")</f>
        <v/>
      </c>
      <c r="X140">
        <f>HYPERLINK("https://klasma.github.io/Logging_KALMAR/tillsyn/A 38049-2020.docx")</f>
        <v/>
      </c>
      <c r="Y140">
        <f>HYPERLINK("https://klasma.github.io/Logging_KALMAR/tillsynsmail/A 38049-2020.docx")</f>
        <v/>
      </c>
    </row>
    <row r="141" ht="15" customHeight="1">
      <c r="A141" t="inlineStr">
        <is>
          <t>A 41561-2020</t>
        </is>
      </c>
      <c r="B141" s="1" t="n">
        <v>44074</v>
      </c>
      <c r="C141" s="1" t="n">
        <v>45175</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f>
        <v/>
      </c>
      <c r="T141">
        <f>HYPERLINK("https://klasma.github.io/Logging_BORGHOLM/kartor/A 41561-2020.png")</f>
        <v/>
      </c>
      <c r="V141">
        <f>HYPERLINK("https://klasma.github.io/Logging_BORGHOLM/klagomål/A 41561-2020.docx")</f>
        <v/>
      </c>
      <c r="W141">
        <f>HYPERLINK("https://klasma.github.io/Logging_BORGHOLM/klagomålsmail/A 41561-2020.docx")</f>
        <v/>
      </c>
      <c r="X141">
        <f>HYPERLINK("https://klasma.github.io/Logging_BORGHOLM/tillsyn/A 41561-2020.docx")</f>
        <v/>
      </c>
      <c r="Y141">
        <f>HYPERLINK("https://klasma.github.io/Logging_BORGHOLM/tillsynsmail/A 41561-2020.docx")</f>
        <v/>
      </c>
    </row>
    <row r="142" ht="15" customHeight="1">
      <c r="A142" t="inlineStr">
        <is>
          <t>A 42561-2020</t>
        </is>
      </c>
      <c r="B142" s="1" t="n">
        <v>44077</v>
      </c>
      <c r="C142" s="1" t="n">
        <v>45175</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f>
        <v/>
      </c>
      <c r="T142">
        <f>HYPERLINK("https://klasma.github.io/Logging_NYBRO/kartor/A 42561-2020.png")</f>
        <v/>
      </c>
      <c r="V142">
        <f>HYPERLINK("https://klasma.github.io/Logging_NYBRO/klagomål/A 42561-2020.docx")</f>
        <v/>
      </c>
      <c r="W142">
        <f>HYPERLINK("https://klasma.github.io/Logging_NYBRO/klagomålsmail/A 42561-2020.docx")</f>
        <v/>
      </c>
      <c r="X142">
        <f>HYPERLINK("https://klasma.github.io/Logging_NYBRO/tillsyn/A 42561-2020.docx")</f>
        <v/>
      </c>
      <c r="Y142">
        <f>HYPERLINK("https://klasma.github.io/Logging_NYBRO/tillsynsmail/A 42561-2020.docx")</f>
        <v/>
      </c>
    </row>
    <row r="143" ht="15" customHeight="1">
      <c r="A143" t="inlineStr">
        <is>
          <t>A 51578-2020</t>
        </is>
      </c>
      <c r="B143" s="1" t="n">
        <v>44109</v>
      </c>
      <c r="C143" s="1" t="n">
        <v>45175</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f>
        <v/>
      </c>
      <c r="T143">
        <f>HYPERLINK("https://klasma.github.io/Logging_HOGSBY/kartor/A 51578-2020.png")</f>
        <v/>
      </c>
      <c r="V143">
        <f>HYPERLINK("https://klasma.github.io/Logging_HOGSBY/klagomål/A 51578-2020.docx")</f>
        <v/>
      </c>
      <c r="W143">
        <f>HYPERLINK("https://klasma.github.io/Logging_HOGSBY/klagomålsmail/A 51578-2020.docx")</f>
        <v/>
      </c>
      <c r="X143">
        <f>HYPERLINK("https://klasma.github.io/Logging_HOGSBY/tillsyn/A 51578-2020.docx")</f>
        <v/>
      </c>
      <c r="Y143">
        <f>HYPERLINK("https://klasma.github.io/Logging_HOGSBY/tillsynsmail/A 51578-2020.docx")</f>
        <v/>
      </c>
    </row>
    <row r="144" ht="15" customHeight="1">
      <c r="A144" t="inlineStr">
        <is>
          <t>A 55210-2020</t>
        </is>
      </c>
      <c r="B144" s="1" t="n">
        <v>44130</v>
      </c>
      <c r="C144" s="1" t="n">
        <v>45175</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f>
        <v/>
      </c>
      <c r="T144">
        <f>HYPERLINK("https://klasma.github.io/Logging_BORGHOLM/kartor/A 55210-2020.png")</f>
        <v/>
      </c>
      <c r="V144">
        <f>HYPERLINK("https://klasma.github.io/Logging_BORGHOLM/klagomål/A 55210-2020.docx")</f>
        <v/>
      </c>
      <c r="W144">
        <f>HYPERLINK("https://klasma.github.io/Logging_BORGHOLM/klagomålsmail/A 55210-2020.docx")</f>
        <v/>
      </c>
      <c r="X144">
        <f>HYPERLINK("https://klasma.github.io/Logging_BORGHOLM/tillsyn/A 55210-2020.docx")</f>
        <v/>
      </c>
      <c r="Y144">
        <f>HYPERLINK("https://klasma.github.io/Logging_BORGHOLM/tillsynsmail/A 55210-2020.docx")</f>
        <v/>
      </c>
    </row>
    <row r="145" ht="15" customHeight="1">
      <c r="A145" t="inlineStr">
        <is>
          <t>A 61854-2020</t>
        </is>
      </c>
      <c r="B145" s="1" t="n">
        <v>44155</v>
      </c>
      <c r="C145" s="1" t="n">
        <v>45175</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f>
        <v/>
      </c>
      <c r="T145">
        <f>HYPERLINK("https://klasma.github.io/Logging_MORBYLANGA/kartor/A 61854-2020.png")</f>
        <v/>
      </c>
      <c r="V145">
        <f>HYPERLINK("https://klasma.github.io/Logging_MORBYLANGA/klagomål/A 61854-2020.docx")</f>
        <v/>
      </c>
      <c r="W145">
        <f>HYPERLINK("https://klasma.github.io/Logging_MORBYLANGA/klagomålsmail/A 61854-2020.docx")</f>
        <v/>
      </c>
      <c r="X145">
        <f>HYPERLINK("https://klasma.github.io/Logging_MORBYLANGA/tillsyn/A 61854-2020.docx")</f>
        <v/>
      </c>
      <c r="Y145">
        <f>HYPERLINK("https://klasma.github.io/Logging_MORBYLANGA/tillsynsmail/A 61854-2020.docx")</f>
        <v/>
      </c>
    </row>
    <row r="146" ht="15" customHeight="1">
      <c r="A146" t="inlineStr">
        <is>
          <t>A 10511-2021</t>
        </is>
      </c>
      <c r="B146" s="1" t="n">
        <v>44258</v>
      </c>
      <c r="C146" s="1" t="n">
        <v>45175</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f>
        <v/>
      </c>
      <c r="T146">
        <f>HYPERLINK("https://klasma.github.io/Logging_HULTSFRED/kartor/A 10511-2021.png")</f>
        <v/>
      </c>
      <c r="U146">
        <f>HYPERLINK("https://klasma.github.io/Logging_HULTSFRED/knärot/A 10511-2021.png")</f>
        <v/>
      </c>
      <c r="V146">
        <f>HYPERLINK("https://klasma.github.io/Logging_HULTSFRED/klagomål/A 10511-2021.docx")</f>
        <v/>
      </c>
      <c r="W146">
        <f>HYPERLINK("https://klasma.github.io/Logging_HULTSFRED/klagomålsmail/A 10511-2021.docx")</f>
        <v/>
      </c>
      <c r="X146">
        <f>HYPERLINK("https://klasma.github.io/Logging_HULTSFRED/tillsyn/A 10511-2021.docx")</f>
        <v/>
      </c>
      <c r="Y146">
        <f>HYPERLINK("https://klasma.github.io/Logging_HULTSFRED/tillsynsmail/A 10511-2021.docx")</f>
        <v/>
      </c>
    </row>
    <row r="147" ht="15" customHeight="1">
      <c r="A147" t="inlineStr">
        <is>
          <t>A 28301-2021</t>
        </is>
      </c>
      <c r="B147" s="1" t="n">
        <v>44356</v>
      </c>
      <c r="C147" s="1" t="n">
        <v>45175</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f>
        <v/>
      </c>
      <c r="T147">
        <f>HYPERLINK("https://klasma.github.io/Logging_OSKARSHAMN/kartor/A 28301-2021.png")</f>
        <v/>
      </c>
      <c r="V147">
        <f>HYPERLINK("https://klasma.github.io/Logging_OSKARSHAMN/klagomål/A 28301-2021.docx")</f>
        <v/>
      </c>
      <c r="W147">
        <f>HYPERLINK("https://klasma.github.io/Logging_OSKARSHAMN/klagomålsmail/A 28301-2021.docx")</f>
        <v/>
      </c>
      <c r="X147">
        <f>HYPERLINK("https://klasma.github.io/Logging_OSKARSHAMN/tillsyn/A 28301-2021.docx")</f>
        <v/>
      </c>
      <c r="Y147">
        <f>HYPERLINK("https://klasma.github.io/Logging_OSKARSHAMN/tillsynsmail/A 28301-2021.docx")</f>
        <v/>
      </c>
    </row>
    <row r="148" ht="15" customHeight="1">
      <c r="A148" t="inlineStr">
        <is>
          <t>A 28297-2021</t>
        </is>
      </c>
      <c r="B148" s="1" t="n">
        <v>44356</v>
      </c>
      <c r="C148" s="1" t="n">
        <v>45175</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f>
        <v/>
      </c>
      <c r="T148">
        <f>HYPERLINK("https://klasma.github.io/Logging_OSKARSHAMN/kartor/A 28297-2021.png")</f>
        <v/>
      </c>
      <c r="V148">
        <f>HYPERLINK("https://klasma.github.io/Logging_OSKARSHAMN/klagomål/A 28297-2021.docx")</f>
        <v/>
      </c>
      <c r="W148">
        <f>HYPERLINK("https://klasma.github.io/Logging_OSKARSHAMN/klagomålsmail/A 28297-2021.docx")</f>
        <v/>
      </c>
      <c r="X148">
        <f>HYPERLINK("https://klasma.github.io/Logging_OSKARSHAMN/tillsyn/A 28297-2021.docx")</f>
        <v/>
      </c>
      <c r="Y148">
        <f>HYPERLINK("https://klasma.github.io/Logging_OSKARSHAMN/tillsynsmail/A 28297-2021.docx")</f>
        <v/>
      </c>
    </row>
    <row r="149" ht="15" customHeight="1">
      <c r="A149" t="inlineStr">
        <is>
          <t>A 42768-2021</t>
        </is>
      </c>
      <c r="B149" s="1" t="n">
        <v>44428</v>
      </c>
      <c r="C149" s="1" t="n">
        <v>45175</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f>
        <v/>
      </c>
      <c r="T149">
        <f>HYPERLINK("https://klasma.github.io/Logging_NYBRO/kartor/A 42768-2021.png")</f>
        <v/>
      </c>
      <c r="U149">
        <f>HYPERLINK("https://klasma.github.io/Logging_NYBRO/knärot/A 42768-2021.png")</f>
        <v/>
      </c>
      <c r="V149">
        <f>HYPERLINK("https://klasma.github.io/Logging_NYBRO/klagomål/A 42768-2021.docx")</f>
        <v/>
      </c>
      <c r="W149">
        <f>HYPERLINK("https://klasma.github.io/Logging_NYBRO/klagomålsmail/A 42768-2021.docx")</f>
        <v/>
      </c>
      <c r="X149">
        <f>HYPERLINK("https://klasma.github.io/Logging_NYBRO/tillsyn/A 42768-2021.docx")</f>
        <v/>
      </c>
      <c r="Y149">
        <f>HYPERLINK("https://klasma.github.io/Logging_NYBRO/tillsynsmail/A 42768-2021.docx")</f>
        <v/>
      </c>
    </row>
    <row r="150" ht="15" customHeight="1">
      <c r="A150" t="inlineStr">
        <is>
          <t>A 50720-2021</t>
        </is>
      </c>
      <c r="B150" s="1" t="n">
        <v>44459</v>
      </c>
      <c r="C150" s="1" t="n">
        <v>45175</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f>
        <v/>
      </c>
      <c r="T150">
        <f>HYPERLINK("https://klasma.github.io/Logging_BORGHOLM/kartor/A 50720-2021.png")</f>
        <v/>
      </c>
      <c r="V150">
        <f>HYPERLINK("https://klasma.github.io/Logging_BORGHOLM/klagomål/A 50720-2021.docx")</f>
        <v/>
      </c>
      <c r="W150">
        <f>HYPERLINK("https://klasma.github.io/Logging_BORGHOLM/klagomålsmail/A 50720-2021.docx")</f>
        <v/>
      </c>
      <c r="X150">
        <f>HYPERLINK("https://klasma.github.io/Logging_BORGHOLM/tillsyn/A 50720-2021.docx")</f>
        <v/>
      </c>
      <c r="Y150">
        <f>HYPERLINK("https://klasma.github.io/Logging_BORGHOLM/tillsynsmail/A 50720-2021.docx")</f>
        <v/>
      </c>
    </row>
    <row r="151" ht="15" customHeight="1">
      <c r="A151" t="inlineStr">
        <is>
          <t>A 55135-2021</t>
        </is>
      </c>
      <c r="B151" s="1" t="n">
        <v>44474</v>
      </c>
      <c r="C151" s="1" t="n">
        <v>45175</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f>
        <v/>
      </c>
      <c r="T151">
        <f>HYPERLINK("https://klasma.github.io/Logging_HULTSFRED/kartor/A 55135-2021.png")</f>
        <v/>
      </c>
      <c r="U151">
        <f>HYPERLINK("https://klasma.github.io/Logging_HULTSFRED/knärot/A 55135-2021.png")</f>
        <v/>
      </c>
      <c r="V151">
        <f>HYPERLINK("https://klasma.github.io/Logging_HULTSFRED/klagomål/A 55135-2021.docx")</f>
        <v/>
      </c>
      <c r="W151">
        <f>HYPERLINK("https://klasma.github.io/Logging_HULTSFRED/klagomålsmail/A 55135-2021.docx")</f>
        <v/>
      </c>
      <c r="X151">
        <f>HYPERLINK("https://klasma.github.io/Logging_HULTSFRED/tillsyn/A 55135-2021.docx")</f>
        <v/>
      </c>
      <c r="Y151">
        <f>HYPERLINK("https://klasma.github.io/Logging_HULTSFRED/tillsynsmail/A 55135-2021.docx")</f>
        <v/>
      </c>
    </row>
    <row r="152" ht="15" customHeight="1">
      <c r="A152" t="inlineStr">
        <is>
          <t>A 55017-2021</t>
        </is>
      </c>
      <c r="B152" s="1" t="n">
        <v>44474</v>
      </c>
      <c r="C152" s="1" t="n">
        <v>45175</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f>
        <v/>
      </c>
      <c r="T152">
        <f>HYPERLINK("https://klasma.github.io/Logging_VASTERVIK/kartor/A 55017-2021.png")</f>
        <v/>
      </c>
      <c r="U152">
        <f>HYPERLINK("https://klasma.github.io/Logging_VASTERVIK/knärot/A 55017-2021.png")</f>
        <v/>
      </c>
      <c r="V152">
        <f>HYPERLINK("https://klasma.github.io/Logging_VASTERVIK/klagomål/A 55017-2021.docx")</f>
        <v/>
      </c>
      <c r="W152">
        <f>HYPERLINK("https://klasma.github.io/Logging_VASTERVIK/klagomålsmail/A 55017-2021.docx")</f>
        <v/>
      </c>
      <c r="X152">
        <f>HYPERLINK("https://klasma.github.io/Logging_VASTERVIK/tillsyn/A 55017-2021.docx")</f>
        <v/>
      </c>
      <c r="Y152">
        <f>HYPERLINK("https://klasma.github.io/Logging_VASTERVIK/tillsynsmail/A 55017-2021.docx")</f>
        <v/>
      </c>
    </row>
    <row r="153" ht="15" customHeight="1">
      <c r="A153" t="inlineStr">
        <is>
          <t>A 63850-2021</t>
        </is>
      </c>
      <c r="B153" s="1" t="n">
        <v>44505</v>
      </c>
      <c r="C153" s="1" t="n">
        <v>45175</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f>
        <v/>
      </c>
      <c r="T153">
        <f>HYPERLINK("https://klasma.github.io/Logging_VASTERVIK/kartor/A 63850-2021.png")</f>
        <v/>
      </c>
      <c r="U153">
        <f>HYPERLINK("https://klasma.github.io/Logging_VASTERVIK/knärot/A 63850-2021.png")</f>
        <v/>
      </c>
      <c r="V153">
        <f>HYPERLINK("https://klasma.github.io/Logging_VASTERVIK/klagomål/A 63850-2021.docx")</f>
        <v/>
      </c>
      <c r="W153">
        <f>HYPERLINK("https://klasma.github.io/Logging_VASTERVIK/klagomålsmail/A 63850-2021.docx")</f>
        <v/>
      </c>
      <c r="X153">
        <f>HYPERLINK("https://klasma.github.io/Logging_VASTERVIK/tillsyn/A 63850-2021.docx")</f>
        <v/>
      </c>
      <c r="Y153">
        <f>HYPERLINK("https://klasma.github.io/Logging_VASTERVIK/tillsynsmail/A 63850-2021.docx")</f>
        <v/>
      </c>
    </row>
    <row r="154" ht="15" customHeight="1">
      <c r="A154" t="inlineStr">
        <is>
          <t>A 73465-2021</t>
        </is>
      </c>
      <c r="B154" s="1" t="n">
        <v>44551</v>
      </c>
      <c r="C154" s="1" t="n">
        <v>45175</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f>
        <v/>
      </c>
      <c r="T154">
        <f>HYPERLINK("https://klasma.github.io/Logging_HULTSFRED/kartor/A 73465-2021.png")</f>
        <v/>
      </c>
      <c r="U154">
        <f>HYPERLINK("https://klasma.github.io/Logging_HULTSFRED/knärot/A 73465-2021.png")</f>
        <v/>
      </c>
      <c r="V154">
        <f>HYPERLINK("https://klasma.github.io/Logging_HULTSFRED/klagomål/A 73465-2021.docx")</f>
        <v/>
      </c>
      <c r="W154">
        <f>HYPERLINK("https://klasma.github.io/Logging_HULTSFRED/klagomålsmail/A 73465-2021.docx")</f>
        <v/>
      </c>
      <c r="X154">
        <f>HYPERLINK("https://klasma.github.io/Logging_HULTSFRED/tillsyn/A 73465-2021.docx")</f>
        <v/>
      </c>
      <c r="Y154">
        <f>HYPERLINK("https://klasma.github.io/Logging_HULTSFRED/tillsynsmail/A 73465-2021.docx")</f>
        <v/>
      </c>
    </row>
    <row r="155" ht="15" customHeight="1">
      <c r="A155" t="inlineStr">
        <is>
          <t>A 1650-2022</t>
        </is>
      </c>
      <c r="B155" s="1" t="n">
        <v>44574</v>
      </c>
      <c r="C155" s="1" t="n">
        <v>45175</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f>
        <v/>
      </c>
      <c r="T155">
        <f>HYPERLINK("https://klasma.github.io/Logging_OSKARSHAMN/kartor/A 1650-2022.png")</f>
        <v/>
      </c>
      <c r="U155">
        <f>HYPERLINK("https://klasma.github.io/Logging_OSKARSHAMN/knärot/A 1650-2022.png")</f>
        <v/>
      </c>
      <c r="V155">
        <f>HYPERLINK("https://klasma.github.io/Logging_OSKARSHAMN/klagomål/A 1650-2022.docx")</f>
        <v/>
      </c>
      <c r="W155">
        <f>HYPERLINK("https://klasma.github.io/Logging_OSKARSHAMN/klagomålsmail/A 1650-2022.docx")</f>
        <v/>
      </c>
      <c r="X155">
        <f>HYPERLINK("https://klasma.github.io/Logging_OSKARSHAMN/tillsyn/A 1650-2022.docx")</f>
        <v/>
      </c>
      <c r="Y155">
        <f>HYPERLINK("https://klasma.github.io/Logging_OSKARSHAMN/tillsynsmail/A 1650-2022.docx")</f>
        <v/>
      </c>
    </row>
    <row r="156" ht="15" customHeight="1">
      <c r="A156" t="inlineStr">
        <is>
          <t>A 35331-2022</t>
        </is>
      </c>
      <c r="B156" s="1" t="n">
        <v>44798</v>
      </c>
      <c r="C156" s="1" t="n">
        <v>45175</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f>
        <v/>
      </c>
      <c r="T156">
        <f>HYPERLINK("https://klasma.github.io/Logging_VIMMERBY/kartor/A 35331-2022.png")</f>
        <v/>
      </c>
      <c r="V156">
        <f>HYPERLINK("https://klasma.github.io/Logging_VIMMERBY/klagomål/A 35331-2022.docx")</f>
        <v/>
      </c>
      <c r="W156">
        <f>HYPERLINK("https://klasma.github.io/Logging_VIMMERBY/klagomålsmail/A 35331-2022.docx")</f>
        <v/>
      </c>
      <c r="X156">
        <f>HYPERLINK("https://klasma.github.io/Logging_VIMMERBY/tillsyn/A 35331-2022.docx")</f>
        <v/>
      </c>
      <c r="Y156">
        <f>HYPERLINK("https://klasma.github.io/Logging_VIMMERBY/tillsynsmail/A 35331-2022.docx")</f>
        <v/>
      </c>
    </row>
    <row r="157" ht="15" customHeight="1">
      <c r="A157" t="inlineStr">
        <is>
          <t>A 51923-2022</t>
        </is>
      </c>
      <c r="B157" s="1" t="n">
        <v>44868</v>
      </c>
      <c r="C157" s="1" t="n">
        <v>45175</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f>
        <v/>
      </c>
      <c r="T157">
        <f>HYPERLINK("https://klasma.github.io/Logging_VASTERVIK/kartor/A 51923-2022.png")</f>
        <v/>
      </c>
      <c r="V157">
        <f>HYPERLINK("https://klasma.github.io/Logging_VASTERVIK/klagomål/A 51923-2022.docx")</f>
        <v/>
      </c>
      <c r="W157">
        <f>HYPERLINK("https://klasma.github.io/Logging_VASTERVIK/klagomålsmail/A 51923-2022.docx")</f>
        <v/>
      </c>
      <c r="X157">
        <f>HYPERLINK("https://klasma.github.io/Logging_VASTERVIK/tillsyn/A 51923-2022.docx")</f>
        <v/>
      </c>
      <c r="Y157">
        <f>HYPERLINK("https://klasma.github.io/Logging_VASTERVIK/tillsynsmail/A 51923-2022.docx")</f>
        <v/>
      </c>
    </row>
    <row r="158" ht="15" customHeight="1">
      <c r="A158" t="inlineStr">
        <is>
          <t>A 53167-2022</t>
        </is>
      </c>
      <c r="B158" s="1" t="n">
        <v>44873</v>
      </c>
      <c r="C158" s="1" t="n">
        <v>45175</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f>
        <v/>
      </c>
      <c r="T158">
        <f>HYPERLINK("https://klasma.github.io/Logging_MONSTERAS/kartor/A 53167-2022.png")</f>
        <v/>
      </c>
      <c r="V158">
        <f>HYPERLINK("https://klasma.github.io/Logging_MONSTERAS/klagomål/A 53167-2022.docx")</f>
        <v/>
      </c>
      <c r="W158">
        <f>HYPERLINK("https://klasma.github.io/Logging_MONSTERAS/klagomålsmail/A 53167-2022.docx")</f>
        <v/>
      </c>
      <c r="X158">
        <f>HYPERLINK("https://klasma.github.io/Logging_MONSTERAS/tillsyn/A 53167-2022.docx")</f>
        <v/>
      </c>
      <c r="Y158">
        <f>HYPERLINK("https://klasma.github.io/Logging_MONSTERAS/tillsynsmail/A 53167-2022.docx")</f>
        <v/>
      </c>
    </row>
    <row r="159" ht="15" customHeight="1">
      <c r="A159" t="inlineStr">
        <is>
          <t>A 53368-2022</t>
        </is>
      </c>
      <c r="B159" s="1" t="n">
        <v>44879</v>
      </c>
      <c r="C159" s="1" t="n">
        <v>45175</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f>
        <v/>
      </c>
      <c r="T159">
        <f>HYPERLINK("https://klasma.github.io/Logging_NYBRO/kartor/A 53368-2022.png")</f>
        <v/>
      </c>
      <c r="V159">
        <f>HYPERLINK("https://klasma.github.io/Logging_NYBRO/klagomål/A 53368-2022.docx")</f>
        <v/>
      </c>
      <c r="W159">
        <f>HYPERLINK("https://klasma.github.io/Logging_NYBRO/klagomålsmail/A 53368-2022.docx")</f>
        <v/>
      </c>
      <c r="X159">
        <f>HYPERLINK("https://klasma.github.io/Logging_NYBRO/tillsyn/A 53368-2022.docx")</f>
        <v/>
      </c>
      <c r="Y159">
        <f>HYPERLINK("https://klasma.github.io/Logging_NYBRO/tillsynsmail/A 53368-2022.docx")</f>
        <v/>
      </c>
    </row>
    <row r="160" ht="15" customHeight="1">
      <c r="A160" t="inlineStr">
        <is>
          <t>A 6933-2023</t>
        </is>
      </c>
      <c r="B160" s="1" t="n">
        <v>44951</v>
      </c>
      <c r="C160" s="1" t="n">
        <v>45175</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f>
        <v/>
      </c>
      <c r="T160">
        <f>HYPERLINK("https://klasma.github.io/Logging_KALMAR/kartor/A 6933-2023.png")</f>
        <v/>
      </c>
      <c r="U160">
        <f>HYPERLINK("https://klasma.github.io/Logging_KALMAR/knärot/A 6933-2023.png")</f>
        <v/>
      </c>
      <c r="V160">
        <f>HYPERLINK("https://klasma.github.io/Logging_KALMAR/klagomål/A 6933-2023.docx")</f>
        <v/>
      </c>
      <c r="W160">
        <f>HYPERLINK("https://klasma.github.io/Logging_KALMAR/klagomålsmail/A 6933-2023.docx")</f>
        <v/>
      </c>
      <c r="X160">
        <f>HYPERLINK("https://klasma.github.io/Logging_KALMAR/tillsyn/A 6933-2023.docx")</f>
        <v/>
      </c>
      <c r="Y160">
        <f>HYPERLINK("https://klasma.github.io/Logging_KALMAR/tillsynsmail/A 6933-2023.docx")</f>
        <v/>
      </c>
    </row>
    <row r="161" ht="15" customHeight="1">
      <c r="A161" t="inlineStr">
        <is>
          <t>A 8929-2023</t>
        </is>
      </c>
      <c r="B161" s="1" t="n">
        <v>44979</v>
      </c>
      <c r="C161" s="1" t="n">
        <v>45175</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f>
        <v/>
      </c>
      <c r="T161">
        <f>HYPERLINK("https://klasma.github.io/Logging_KALMAR/kartor/A 8929-2023.png")</f>
        <v/>
      </c>
      <c r="V161">
        <f>HYPERLINK("https://klasma.github.io/Logging_KALMAR/klagomål/A 8929-2023.docx")</f>
        <v/>
      </c>
      <c r="W161">
        <f>HYPERLINK("https://klasma.github.io/Logging_KALMAR/klagomålsmail/A 8929-2023.docx")</f>
        <v/>
      </c>
      <c r="X161">
        <f>HYPERLINK("https://klasma.github.io/Logging_KALMAR/tillsyn/A 8929-2023.docx")</f>
        <v/>
      </c>
      <c r="Y161">
        <f>HYPERLINK("https://klasma.github.io/Logging_KALMAR/tillsynsmail/A 8929-2023.docx")</f>
        <v/>
      </c>
    </row>
    <row r="162" ht="15" customHeight="1">
      <c r="A162" t="inlineStr">
        <is>
          <t>A 12870-2023</t>
        </is>
      </c>
      <c r="B162" s="1" t="n">
        <v>45001</v>
      </c>
      <c r="C162" s="1" t="n">
        <v>45175</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f>
        <v/>
      </c>
      <c r="T162">
        <f>HYPERLINK("https://klasma.github.io/Logging_TORSAS/kartor/A 12870-2023.png")</f>
        <v/>
      </c>
      <c r="V162">
        <f>HYPERLINK("https://klasma.github.io/Logging_TORSAS/klagomål/A 12870-2023.docx")</f>
        <v/>
      </c>
      <c r="W162">
        <f>HYPERLINK("https://klasma.github.io/Logging_TORSAS/klagomålsmail/A 12870-2023.docx")</f>
        <v/>
      </c>
      <c r="X162">
        <f>HYPERLINK("https://klasma.github.io/Logging_TORSAS/tillsyn/A 12870-2023.docx")</f>
        <v/>
      </c>
      <c r="Y162">
        <f>HYPERLINK("https://klasma.github.io/Logging_TORSAS/tillsynsmail/A 12870-2023.docx")</f>
        <v/>
      </c>
    </row>
    <row r="163" ht="15" customHeight="1">
      <c r="A163" t="inlineStr">
        <is>
          <t>A 71226-2018</t>
        </is>
      </c>
      <c r="B163" s="1" t="n">
        <v>43453</v>
      </c>
      <c r="C163" s="1" t="n">
        <v>45175</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f>
        <v/>
      </c>
      <c r="T163">
        <f>HYPERLINK("https://klasma.github.io/Logging_VIMMERBY/kartor/A 71226-2018.png")</f>
        <v/>
      </c>
      <c r="V163">
        <f>HYPERLINK("https://klasma.github.io/Logging_VIMMERBY/klagomål/A 71226-2018.docx")</f>
        <v/>
      </c>
      <c r="W163">
        <f>HYPERLINK("https://klasma.github.io/Logging_VIMMERBY/klagomålsmail/A 71226-2018.docx")</f>
        <v/>
      </c>
      <c r="X163">
        <f>HYPERLINK("https://klasma.github.io/Logging_VIMMERBY/tillsyn/A 71226-2018.docx")</f>
        <v/>
      </c>
      <c r="Y163">
        <f>HYPERLINK("https://klasma.github.io/Logging_VIMMERBY/tillsynsmail/A 71226-2018.docx")</f>
        <v/>
      </c>
    </row>
    <row r="164" ht="15" customHeight="1">
      <c r="A164" t="inlineStr">
        <is>
          <t>A 3816-2019</t>
        </is>
      </c>
      <c r="B164" s="1" t="n">
        <v>43475</v>
      </c>
      <c r="C164" s="1" t="n">
        <v>45175</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f>
        <v/>
      </c>
      <c r="T164">
        <f>HYPERLINK("https://klasma.github.io/Logging_HOGSBY/kartor/A 3816-2019.png")</f>
        <v/>
      </c>
      <c r="V164">
        <f>HYPERLINK("https://klasma.github.io/Logging_HOGSBY/klagomål/A 3816-2019.docx")</f>
        <v/>
      </c>
      <c r="W164">
        <f>HYPERLINK("https://klasma.github.io/Logging_HOGSBY/klagomålsmail/A 3816-2019.docx")</f>
        <v/>
      </c>
      <c r="X164">
        <f>HYPERLINK("https://klasma.github.io/Logging_HOGSBY/tillsyn/A 3816-2019.docx")</f>
        <v/>
      </c>
      <c r="Y164">
        <f>HYPERLINK("https://klasma.github.io/Logging_HOGSBY/tillsynsmail/A 3816-2019.docx")</f>
        <v/>
      </c>
    </row>
    <row r="165" ht="15" customHeight="1">
      <c r="A165" t="inlineStr">
        <is>
          <t>A 3993-2019</t>
        </is>
      </c>
      <c r="B165" s="1" t="n">
        <v>43475</v>
      </c>
      <c r="C165" s="1" t="n">
        <v>45175</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f>
        <v/>
      </c>
      <c r="T165">
        <f>HYPERLINK("https://klasma.github.io/Logging_NYBRO/kartor/A 3993-2019.png")</f>
        <v/>
      </c>
      <c r="V165">
        <f>HYPERLINK("https://klasma.github.io/Logging_NYBRO/klagomål/A 3993-2019.docx")</f>
        <v/>
      </c>
      <c r="W165">
        <f>HYPERLINK("https://klasma.github.io/Logging_NYBRO/klagomålsmail/A 3993-2019.docx")</f>
        <v/>
      </c>
      <c r="X165">
        <f>HYPERLINK("https://klasma.github.io/Logging_NYBRO/tillsyn/A 3993-2019.docx")</f>
        <v/>
      </c>
      <c r="Y165">
        <f>HYPERLINK("https://klasma.github.io/Logging_NYBRO/tillsynsmail/A 3993-2019.docx")</f>
        <v/>
      </c>
    </row>
    <row r="166" ht="15" customHeight="1">
      <c r="A166" t="inlineStr">
        <is>
          <t>A 6157-2019</t>
        </is>
      </c>
      <c r="B166" s="1" t="n">
        <v>43493</v>
      </c>
      <c r="C166" s="1" t="n">
        <v>45175</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f>
        <v/>
      </c>
      <c r="T166">
        <f>HYPERLINK("https://klasma.github.io/Logging_HOGSBY/kartor/A 6157-2019.png")</f>
        <v/>
      </c>
      <c r="V166">
        <f>HYPERLINK("https://klasma.github.io/Logging_HOGSBY/klagomål/A 6157-2019.docx")</f>
        <v/>
      </c>
      <c r="W166">
        <f>HYPERLINK("https://klasma.github.io/Logging_HOGSBY/klagomålsmail/A 6157-2019.docx")</f>
        <v/>
      </c>
      <c r="X166">
        <f>HYPERLINK("https://klasma.github.io/Logging_HOGSBY/tillsyn/A 6157-2019.docx")</f>
        <v/>
      </c>
      <c r="Y166">
        <f>HYPERLINK("https://klasma.github.io/Logging_HOGSBY/tillsynsmail/A 6157-2019.docx")</f>
        <v/>
      </c>
    </row>
    <row r="167" ht="15" customHeight="1">
      <c r="A167" t="inlineStr">
        <is>
          <t>A 26717-2019</t>
        </is>
      </c>
      <c r="B167" s="1" t="n">
        <v>43613</v>
      </c>
      <c r="C167" s="1" t="n">
        <v>45175</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f>
        <v/>
      </c>
      <c r="T167">
        <f>HYPERLINK("https://klasma.github.io/Logging_KALMAR/kartor/A 26717-2019.png")</f>
        <v/>
      </c>
      <c r="U167">
        <f>HYPERLINK("https://klasma.github.io/Logging_KALMAR/knärot/A 26717-2019.png")</f>
        <v/>
      </c>
      <c r="V167">
        <f>HYPERLINK("https://klasma.github.io/Logging_KALMAR/klagomål/A 26717-2019.docx")</f>
        <v/>
      </c>
      <c r="W167">
        <f>HYPERLINK("https://klasma.github.io/Logging_KALMAR/klagomålsmail/A 26717-2019.docx")</f>
        <v/>
      </c>
      <c r="X167">
        <f>HYPERLINK("https://klasma.github.io/Logging_KALMAR/tillsyn/A 26717-2019.docx")</f>
        <v/>
      </c>
      <c r="Y167">
        <f>HYPERLINK("https://klasma.github.io/Logging_KALMAR/tillsynsmail/A 26717-2019.docx")</f>
        <v/>
      </c>
    </row>
    <row r="168" ht="15" customHeight="1">
      <c r="A168" t="inlineStr">
        <is>
          <t>A 36349-2019</t>
        </is>
      </c>
      <c r="B168" s="1" t="n">
        <v>43670</v>
      </c>
      <c r="C168" s="1" t="n">
        <v>45175</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f>
        <v/>
      </c>
      <c r="T168">
        <f>HYPERLINK("https://klasma.github.io/Logging_VIMMERBY/kartor/A 36349-2019.png")</f>
        <v/>
      </c>
      <c r="V168">
        <f>HYPERLINK("https://klasma.github.io/Logging_VIMMERBY/klagomål/A 36349-2019.docx")</f>
        <v/>
      </c>
      <c r="W168">
        <f>HYPERLINK("https://klasma.github.io/Logging_VIMMERBY/klagomålsmail/A 36349-2019.docx")</f>
        <v/>
      </c>
      <c r="X168">
        <f>HYPERLINK("https://klasma.github.io/Logging_VIMMERBY/tillsyn/A 36349-2019.docx")</f>
        <v/>
      </c>
      <c r="Y168">
        <f>HYPERLINK("https://klasma.github.io/Logging_VIMMERBY/tillsynsmail/A 36349-2019.docx")</f>
        <v/>
      </c>
    </row>
    <row r="169" ht="15" customHeight="1">
      <c r="A169" t="inlineStr">
        <is>
          <t>A 48149-2019</t>
        </is>
      </c>
      <c r="B169" s="1" t="n">
        <v>43726</v>
      </c>
      <c r="C169" s="1" t="n">
        <v>45175</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f>
        <v/>
      </c>
      <c r="T169">
        <f>HYPERLINK("https://klasma.github.io/Logging_BORGHOLM/kartor/A 48149-2019.png")</f>
        <v/>
      </c>
      <c r="V169">
        <f>HYPERLINK("https://klasma.github.io/Logging_BORGHOLM/klagomål/A 48149-2019.docx")</f>
        <v/>
      </c>
      <c r="W169">
        <f>HYPERLINK("https://klasma.github.io/Logging_BORGHOLM/klagomålsmail/A 48149-2019.docx")</f>
        <v/>
      </c>
      <c r="X169">
        <f>HYPERLINK("https://klasma.github.io/Logging_BORGHOLM/tillsyn/A 48149-2019.docx")</f>
        <v/>
      </c>
      <c r="Y169">
        <f>HYPERLINK("https://klasma.github.io/Logging_BORGHOLM/tillsynsmail/A 48149-2019.docx")</f>
        <v/>
      </c>
    </row>
    <row r="170" ht="15" customHeight="1">
      <c r="A170" t="inlineStr">
        <is>
          <t>A 61247-2019</t>
        </is>
      </c>
      <c r="B170" s="1" t="n">
        <v>43783</v>
      </c>
      <c r="C170" s="1" t="n">
        <v>45175</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f>
        <v/>
      </c>
      <c r="T170">
        <f>HYPERLINK("https://klasma.github.io/Logging_TORSAS/kartor/A 61247-2019.png")</f>
        <v/>
      </c>
      <c r="V170">
        <f>HYPERLINK("https://klasma.github.io/Logging_TORSAS/klagomål/A 61247-2019.docx")</f>
        <v/>
      </c>
      <c r="W170">
        <f>HYPERLINK("https://klasma.github.io/Logging_TORSAS/klagomålsmail/A 61247-2019.docx")</f>
        <v/>
      </c>
      <c r="X170">
        <f>HYPERLINK("https://klasma.github.io/Logging_TORSAS/tillsyn/A 61247-2019.docx")</f>
        <v/>
      </c>
      <c r="Y170">
        <f>HYPERLINK("https://klasma.github.io/Logging_TORSAS/tillsynsmail/A 61247-2019.docx")</f>
        <v/>
      </c>
    </row>
    <row r="171" ht="15" customHeight="1">
      <c r="A171" t="inlineStr">
        <is>
          <t>A 61610-2019</t>
        </is>
      </c>
      <c r="B171" s="1" t="n">
        <v>43784</v>
      </c>
      <c r="C171" s="1" t="n">
        <v>45175</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f>
        <v/>
      </c>
      <c r="T171">
        <f>HYPERLINK("https://klasma.github.io/Logging_HOGSBY/kartor/A 61610-2019.png")</f>
        <v/>
      </c>
      <c r="V171">
        <f>HYPERLINK("https://klasma.github.io/Logging_HOGSBY/klagomål/A 61610-2019.docx")</f>
        <v/>
      </c>
      <c r="W171">
        <f>HYPERLINK("https://klasma.github.io/Logging_HOGSBY/klagomålsmail/A 61610-2019.docx")</f>
        <v/>
      </c>
      <c r="X171">
        <f>HYPERLINK("https://klasma.github.io/Logging_HOGSBY/tillsyn/A 61610-2019.docx")</f>
        <v/>
      </c>
      <c r="Y171">
        <f>HYPERLINK("https://klasma.github.io/Logging_HOGSBY/tillsynsmail/A 61610-2019.docx")</f>
        <v/>
      </c>
    </row>
    <row r="172" ht="15" customHeight="1">
      <c r="A172" t="inlineStr">
        <is>
          <t>A 6509-2020</t>
        </is>
      </c>
      <c r="B172" s="1" t="n">
        <v>43867</v>
      </c>
      <c r="C172" s="1" t="n">
        <v>45175</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f>
        <v/>
      </c>
      <c r="T172">
        <f>HYPERLINK("https://klasma.github.io/Logging_MONSTERAS/kartor/A 6509-2020.png")</f>
        <v/>
      </c>
      <c r="U172">
        <f>HYPERLINK("https://klasma.github.io/Logging_MONSTERAS/knärot/A 6509-2020.png")</f>
        <v/>
      </c>
      <c r="V172">
        <f>HYPERLINK("https://klasma.github.io/Logging_MONSTERAS/klagomål/A 6509-2020.docx")</f>
        <v/>
      </c>
      <c r="W172">
        <f>HYPERLINK("https://klasma.github.io/Logging_MONSTERAS/klagomålsmail/A 6509-2020.docx")</f>
        <v/>
      </c>
      <c r="X172">
        <f>HYPERLINK("https://klasma.github.io/Logging_MONSTERAS/tillsyn/A 6509-2020.docx")</f>
        <v/>
      </c>
      <c r="Y172">
        <f>HYPERLINK("https://klasma.github.io/Logging_MONSTERAS/tillsynsmail/A 6509-2020.docx")</f>
        <v/>
      </c>
    </row>
    <row r="173" ht="15" customHeight="1">
      <c r="A173" t="inlineStr">
        <is>
          <t>A 9270-2020</t>
        </is>
      </c>
      <c r="B173" s="1" t="n">
        <v>43880</v>
      </c>
      <c r="C173" s="1" t="n">
        <v>45175</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f>
        <v/>
      </c>
      <c r="T173">
        <f>HYPERLINK("https://klasma.github.io/Logging_MORBYLANGA/kartor/A 9270-2020.png")</f>
        <v/>
      </c>
      <c r="V173">
        <f>HYPERLINK("https://klasma.github.io/Logging_MORBYLANGA/klagomål/A 9270-2020.docx")</f>
        <v/>
      </c>
      <c r="W173">
        <f>HYPERLINK("https://klasma.github.io/Logging_MORBYLANGA/klagomålsmail/A 9270-2020.docx")</f>
        <v/>
      </c>
      <c r="X173">
        <f>HYPERLINK("https://klasma.github.io/Logging_MORBYLANGA/tillsyn/A 9270-2020.docx")</f>
        <v/>
      </c>
      <c r="Y173">
        <f>HYPERLINK("https://klasma.github.io/Logging_MORBYLANGA/tillsynsmail/A 9270-2020.docx")</f>
        <v/>
      </c>
    </row>
    <row r="174" ht="15" customHeight="1">
      <c r="A174" t="inlineStr">
        <is>
          <t>A 10069-2020</t>
        </is>
      </c>
      <c r="B174" s="1" t="n">
        <v>43883</v>
      </c>
      <c r="C174" s="1" t="n">
        <v>45175</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f>
        <v/>
      </c>
      <c r="T174">
        <f>HYPERLINK("https://klasma.github.io/Logging_OSKARSHAMN/kartor/A 10069-2020.png")</f>
        <v/>
      </c>
      <c r="U174">
        <f>HYPERLINK("https://klasma.github.io/Logging_OSKARSHAMN/knärot/A 10069-2020.png")</f>
        <v/>
      </c>
      <c r="V174">
        <f>HYPERLINK("https://klasma.github.io/Logging_OSKARSHAMN/klagomål/A 10069-2020.docx")</f>
        <v/>
      </c>
      <c r="W174">
        <f>HYPERLINK("https://klasma.github.io/Logging_OSKARSHAMN/klagomålsmail/A 10069-2020.docx")</f>
        <v/>
      </c>
      <c r="X174">
        <f>HYPERLINK("https://klasma.github.io/Logging_OSKARSHAMN/tillsyn/A 10069-2020.docx")</f>
        <v/>
      </c>
      <c r="Y174">
        <f>HYPERLINK("https://klasma.github.io/Logging_OSKARSHAMN/tillsynsmail/A 10069-2020.docx")</f>
        <v/>
      </c>
    </row>
    <row r="175" ht="15" customHeight="1">
      <c r="A175" t="inlineStr">
        <is>
          <t>A 25348-2020</t>
        </is>
      </c>
      <c r="B175" s="1" t="n">
        <v>43980</v>
      </c>
      <c r="C175" s="1" t="n">
        <v>45175</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f>
        <v/>
      </c>
      <c r="T175">
        <f>HYPERLINK("https://klasma.github.io/Logging_MONSTERAS/kartor/A 25348-2020.png")</f>
        <v/>
      </c>
      <c r="U175">
        <f>HYPERLINK("https://klasma.github.io/Logging_MONSTERAS/knärot/A 25348-2020.png")</f>
        <v/>
      </c>
      <c r="V175">
        <f>HYPERLINK("https://klasma.github.io/Logging_MONSTERAS/klagomål/A 25348-2020.docx")</f>
        <v/>
      </c>
      <c r="W175">
        <f>HYPERLINK("https://klasma.github.io/Logging_MONSTERAS/klagomålsmail/A 25348-2020.docx")</f>
        <v/>
      </c>
      <c r="X175">
        <f>HYPERLINK("https://klasma.github.io/Logging_MONSTERAS/tillsyn/A 25348-2020.docx")</f>
        <v/>
      </c>
      <c r="Y175">
        <f>HYPERLINK("https://klasma.github.io/Logging_MONSTERAS/tillsynsmail/A 25348-2020.docx")</f>
        <v/>
      </c>
    </row>
    <row r="176" ht="15" customHeight="1">
      <c r="A176" t="inlineStr">
        <is>
          <t>A 57704-2020</t>
        </is>
      </c>
      <c r="B176" s="1" t="n">
        <v>44140</v>
      </c>
      <c r="C176" s="1" t="n">
        <v>45175</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f>
        <v/>
      </c>
      <c r="T176">
        <f>HYPERLINK("https://klasma.github.io/Logging_MORBYLANGA/kartor/A 57704-2020.png")</f>
        <v/>
      </c>
      <c r="V176">
        <f>HYPERLINK("https://klasma.github.io/Logging_MORBYLANGA/klagomål/A 57704-2020.docx")</f>
        <v/>
      </c>
      <c r="W176">
        <f>HYPERLINK("https://klasma.github.io/Logging_MORBYLANGA/klagomålsmail/A 57704-2020.docx")</f>
        <v/>
      </c>
      <c r="X176">
        <f>HYPERLINK("https://klasma.github.io/Logging_MORBYLANGA/tillsyn/A 57704-2020.docx")</f>
        <v/>
      </c>
      <c r="Y176">
        <f>HYPERLINK("https://klasma.github.io/Logging_MORBYLANGA/tillsynsmail/A 57704-2020.docx")</f>
        <v/>
      </c>
    </row>
    <row r="177" ht="15" customHeight="1">
      <c r="A177" t="inlineStr">
        <is>
          <t>A 58231-2020</t>
        </is>
      </c>
      <c r="B177" s="1" t="n">
        <v>44144</v>
      </c>
      <c r="C177" s="1" t="n">
        <v>45175</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f>
        <v/>
      </c>
      <c r="T177">
        <f>HYPERLINK("https://klasma.github.io/Logging_BORGHOLM/kartor/A 58231-2020.png")</f>
        <v/>
      </c>
      <c r="V177">
        <f>HYPERLINK("https://klasma.github.io/Logging_BORGHOLM/klagomål/A 58231-2020.docx")</f>
        <v/>
      </c>
      <c r="W177">
        <f>HYPERLINK("https://klasma.github.io/Logging_BORGHOLM/klagomålsmail/A 58231-2020.docx")</f>
        <v/>
      </c>
      <c r="X177">
        <f>HYPERLINK("https://klasma.github.io/Logging_BORGHOLM/tillsyn/A 58231-2020.docx")</f>
        <v/>
      </c>
      <c r="Y177">
        <f>HYPERLINK("https://klasma.github.io/Logging_BORGHOLM/tillsynsmail/A 58231-2020.docx")</f>
        <v/>
      </c>
    </row>
    <row r="178" ht="15" customHeight="1">
      <c r="A178" t="inlineStr">
        <is>
          <t>A 4574-2021</t>
        </is>
      </c>
      <c r="B178" s="1" t="n">
        <v>44224</v>
      </c>
      <c r="C178" s="1" t="n">
        <v>45175</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f>
        <v/>
      </c>
      <c r="T178">
        <f>HYPERLINK("https://klasma.github.io/Logging_HULTSFRED/kartor/A 4574-2021.png")</f>
        <v/>
      </c>
      <c r="V178">
        <f>HYPERLINK("https://klasma.github.io/Logging_HULTSFRED/klagomål/A 4574-2021.docx")</f>
        <v/>
      </c>
      <c r="W178">
        <f>HYPERLINK("https://klasma.github.io/Logging_HULTSFRED/klagomålsmail/A 4574-2021.docx")</f>
        <v/>
      </c>
      <c r="X178">
        <f>HYPERLINK("https://klasma.github.io/Logging_HULTSFRED/tillsyn/A 4574-2021.docx")</f>
        <v/>
      </c>
      <c r="Y178">
        <f>HYPERLINK("https://klasma.github.io/Logging_HULTSFRED/tillsynsmail/A 4574-2021.docx")</f>
        <v/>
      </c>
    </row>
    <row r="179" ht="15" customHeight="1">
      <c r="A179" t="inlineStr">
        <is>
          <t>A 8411-2021</t>
        </is>
      </c>
      <c r="B179" s="1" t="n">
        <v>44245</v>
      </c>
      <c r="C179" s="1" t="n">
        <v>45175</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f>
        <v/>
      </c>
      <c r="T179">
        <f>HYPERLINK("https://klasma.github.io/Logging_VIMMERBY/kartor/A 8411-2021.png")</f>
        <v/>
      </c>
      <c r="V179">
        <f>HYPERLINK("https://klasma.github.io/Logging_VIMMERBY/klagomål/A 8411-2021.docx")</f>
        <v/>
      </c>
      <c r="W179">
        <f>HYPERLINK("https://klasma.github.io/Logging_VIMMERBY/klagomålsmail/A 8411-2021.docx")</f>
        <v/>
      </c>
      <c r="X179">
        <f>HYPERLINK("https://klasma.github.io/Logging_VIMMERBY/tillsyn/A 8411-2021.docx")</f>
        <v/>
      </c>
      <c r="Y179">
        <f>HYPERLINK("https://klasma.github.io/Logging_VIMMERBY/tillsynsmail/A 8411-2021.docx")</f>
        <v/>
      </c>
    </row>
    <row r="180" ht="15" customHeight="1">
      <c r="A180" t="inlineStr">
        <is>
          <t>A 9097-2021</t>
        </is>
      </c>
      <c r="B180" s="1" t="n">
        <v>44249</v>
      </c>
      <c r="C180" s="1" t="n">
        <v>45175</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f>
        <v/>
      </c>
      <c r="T180">
        <f>HYPERLINK("https://klasma.github.io/Logging_VASTERVIK/kartor/A 9097-2021.png")</f>
        <v/>
      </c>
      <c r="V180">
        <f>HYPERLINK("https://klasma.github.io/Logging_VASTERVIK/klagomål/A 9097-2021.docx")</f>
        <v/>
      </c>
      <c r="W180">
        <f>HYPERLINK("https://klasma.github.io/Logging_VASTERVIK/klagomålsmail/A 9097-2021.docx")</f>
        <v/>
      </c>
      <c r="X180">
        <f>HYPERLINK("https://klasma.github.io/Logging_VASTERVIK/tillsyn/A 9097-2021.docx")</f>
        <v/>
      </c>
      <c r="Y180">
        <f>HYPERLINK("https://klasma.github.io/Logging_VASTERVIK/tillsynsmail/A 9097-2021.docx")</f>
        <v/>
      </c>
    </row>
    <row r="181" ht="15" customHeight="1">
      <c r="A181" t="inlineStr">
        <is>
          <t>A 25280-2021</t>
        </is>
      </c>
      <c r="B181" s="1" t="n">
        <v>44342</v>
      </c>
      <c r="C181" s="1" t="n">
        <v>45175</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f>
        <v/>
      </c>
      <c r="T181">
        <f>HYPERLINK("https://klasma.github.io/Logging_VASTERVIK/kartor/A 25280-2021.png")</f>
        <v/>
      </c>
      <c r="U181">
        <f>HYPERLINK("https://klasma.github.io/Logging_VASTERVIK/knärot/A 25280-2021.png")</f>
        <v/>
      </c>
      <c r="V181">
        <f>HYPERLINK("https://klasma.github.io/Logging_VASTERVIK/klagomål/A 25280-2021.docx")</f>
        <v/>
      </c>
      <c r="W181">
        <f>HYPERLINK("https://klasma.github.io/Logging_VASTERVIK/klagomålsmail/A 25280-2021.docx")</f>
        <v/>
      </c>
      <c r="X181">
        <f>HYPERLINK("https://klasma.github.io/Logging_VASTERVIK/tillsyn/A 25280-2021.docx")</f>
        <v/>
      </c>
      <c r="Y181">
        <f>HYPERLINK("https://klasma.github.io/Logging_VASTERVIK/tillsynsmail/A 25280-2021.docx")</f>
        <v/>
      </c>
    </row>
    <row r="182" ht="15" customHeight="1">
      <c r="A182" t="inlineStr">
        <is>
          <t>A 46995-2021</t>
        </is>
      </c>
      <c r="B182" s="1" t="n">
        <v>44446</v>
      </c>
      <c r="C182" s="1" t="n">
        <v>45175</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f>
        <v/>
      </c>
      <c r="T182">
        <f>HYPERLINK("https://klasma.github.io/Logging_MONSTERAS/kartor/A 46995-2021.png")</f>
        <v/>
      </c>
      <c r="U182">
        <f>HYPERLINK("https://klasma.github.io/Logging_MONSTERAS/knärot/A 46995-2021.png")</f>
        <v/>
      </c>
      <c r="V182">
        <f>HYPERLINK("https://klasma.github.io/Logging_MONSTERAS/klagomål/A 46995-2021.docx")</f>
        <v/>
      </c>
      <c r="W182">
        <f>HYPERLINK("https://klasma.github.io/Logging_MONSTERAS/klagomålsmail/A 46995-2021.docx")</f>
        <v/>
      </c>
      <c r="X182">
        <f>HYPERLINK("https://klasma.github.io/Logging_MONSTERAS/tillsyn/A 46995-2021.docx")</f>
        <v/>
      </c>
      <c r="Y182">
        <f>HYPERLINK("https://klasma.github.io/Logging_MONSTERAS/tillsynsmail/A 46995-2021.docx")</f>
        <v/>
      </c>
    </row>
    <row r="183" ht="15" customHeight="1">
      <c r="A183" t="inlineStr">
        <is>
          <t>A 50351-2021</t>
        </is>
      </c>
      <c r="B183" s="1" t="n">
        <v>44459</v>
      </c>
      <c r="C183" s="1" t="n">
        <v>45175</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f>
        <v/>
      </c>
      <c r="T183">
        <f>HYPERLINK("https://klasma.github.io/Logging_TORSAS/kartor/A 50351-2021.png")</f>
        <v/>
      </c>
      <c r="V183">
        <f>HYPERLINK("https://klasma.github.io/Logging_TORSAS/klagomål/A 50351-2021.docx")</f>
        <v/>
      </c>
      <c r="W183">
        <f>HYPERLINK("https://klasma.github.io/Logging_TORSAS/klagomålsmail/A 50351-2021.docx")</f>
        <v/>
      </c>
      <c r="X183">
        <f>HYPERLINK("https://klasma.github.io/Logging_TORSAS/tillsyn/A 50351-2021.docx")</f>
        <v/>
      </c>
      <c r="Y183">
        <f>HYPERLINK("https://klasma.github.io/Logging_TORSAS/tillsynsmail/A 50351-2021.docx")</f>
        <v/>
      </c>
    </row>
    <row r="184" ht="15" customHeight="1">
      <c r="A184" t="inlineStr">
        <is>
          <t>A 58919-2021</t>
        </is>
      </c>
      <c r="B184" s="1" t="n">
        <v>44489</v>
      </c>
      <c r="C184" s="1" t="n">
        <v>45175</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f>
        <v/>
      </c>
      <c r="T184">
        <f>HYPERLINK("https://klasma.github.io/Logging_KALMAR/kartor/A 58919-2021.png")</f>
        <v/>
      </c>
      <c r="U184">
        <f>HYPERLINK("https://klasma.github.io/Logging_KALMAR/knärot/A 58919-2021.png")</f>
        <v/>
      </c>
      <c r="V184">
        <f>HYPERLINK("https://klasma.github.io/Logging_KALMAR/klagomål/A 58919-2021.docx")</f>
        <v/>
      </c>
      <c r="W184">
        <f>HYPERLINK("https://klasma.github.io/Logging_KALMAR/klagomålsmail/A 58919-2021.docx")</f>
        <v/>
      </c>
      <c r="X184">
        <f>HYPERLINK("https://klasma.github.io/Logging_KALMAR/tillsyn/A 58919-2021.docx")</f>
        <v/>
      </c>
      <c r="Y184">
        <f>HYPERLINK("https://klasma.github.io/Logging_KALMAR/tillsynsmail/A 58919-2021.docx")</f>
        <v/>
      </c>
    </row>
    <row r="185" ht="15" customHeight="1">
      <c r="A185" t="inlineStr">
        <is>
          <t>A 59111-2021</t>
        </is>
      </c>
      <c r="B185" s="1" t="n">
        <v>44490</v>
      </c>
      <c r="C185" s="1" t="n">
        <v>45175</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f>
        <v/>
      </c>
      <c r="T185">
        <f>HYPERLINK("https://klasma.github.io/Logging_NYBRO/kartor/A 59111-2021.png")</f>
        <v/>
      </c>
      <c r="V185">
        <f>HYPERLINK("https://klasma.github.io/Logging_NYBRO/klagomål/A 59111-2021.docx")</f>
        <v/>
      </c>
      <c r="W185">
        <f>HYPERLINK("https://klasma.github.io/Logging_NYBRO/klagomålsmail/A 59111-2021.docx")</f>
        <v/>
      </c>
      <c r="X185">
        <f>HYPERLINK("https://klasma.github.io/Logging_NYBRO/tillsyn/A 59111-2021.docx")</f>
        <v/>
      </c>
      <c r="Y185">
        <f>HYPERLINK("https://klasma.github.io/Logging_NYBRO/tillsynsmail/A 59111-2021.docx")</f>
        <v/>
      </c>
    </row>
    <row r="186" ht="15" customHeight="1">
      <c r="A186" t="inlineStr">
        <is>
          <t>A 63813-2021</t>
        </is>
      </c>
      <c r="B186" s="1" t="n">
        <v>44505</v>
      </c>
      <c r="C186" s="1" t="n">
        <v>45175</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f>
        <v/>
      </c>
      <c r="T186">
        <f>HYPERLINK("https://klasma.github.io/Logging_VASTERVIK/kartor/A 63813-2021.png")</f>
        <v/>
      </c>
      <c r="U186">
        <f>HYPERLINK("https://klasma.github.io/Logging_VASTERVIK/knärot/A 63813-2021.png")</f>
        <v/>
      </c>
      <c r="V186">
        <f>HYPERLINK("https://klasma.github.io/Logging_VASTERVIK/klagomål/A 63813-2021.docx")</f>
        <v/>
      </c>
      <c r="W186">
        <f>HYPERLINK("https://klasma.github.io/Logging_VASTERVIK/klagomålsmail/A 63813-2021.docx")</f>
        <v/>
      </c>
      <c r="X186">
        <f>HYPERLINK("https://klasma.github.io/Logging_VASTERVIK/tillsyn/A 63813-2021.docx")</f>
        <v/>
      </c>
      <c r="Y186">
        <f>HYPERLINK("https://klasma.github.io/Logging_VASTERVIK/tillsynsmail/A 63813-2021.docx")</f>
        <v/>
      </c>
    </row>
    <row r="187" ht="15" customHeight="1">
      <c r="A187" t="inlineStr">
        <is>
          <t>A 65973-2021</t>
        </is>
      </c>
      <c r="B187" s="1" t="n">
        <v>44517</v>
      </c>
      <c r="C187" s="1" t="n">
        <v>45175</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f>
        <v/>
      </c>
      <c r="T187">
        <f>HYPERLINK("https://klasma.github.io/Logging_KALMAR/kartor/A 65973-2021.png")</f>
        <v/>
      </c>
      <c r="V187">
        <f>HYPERLINK("https://klasma.github.io/Logging_KALMAR/klagomål/A 65973-2021.docx")</f>
        <v/>
      </c>
      <c r="W187">
        <f>HYPERLINK("https://klasma.github.io/Logging_KALMAR/klagomålsmail/A 65973-2021.docx")</f>
        <v/>
      </c>
      <c r="X187">
        <f>HYPERLINK("https://klasma.github.io/Logging_KALMAR/tillsyn/A 65973-2021.docx")</f>
        <v/>
      </c>
      <c r="Y187">
        <f>HYPERLINK("https://klasma.github.io/Logging_KALMAR/tillsynsmail/A 65973-2021.docx")</f>
        <v/>
      </c>
    </row>
    <row r="188" ht="15" customHeight="1">
      <c r="A188" t="inlineStr">
        <is>
          <t>A 68416-2021</t>
        </is>
      </c>
      <c r="B188" s="1" t="n">
        <v>44529</v>
      </c>
      <c r="C188" s="1" t="n">
        <v>45175</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f>
        <v/>
      </c>
      <c r="T188">
        <f>HYPERLINK("https://klasma.github.io/Logging_VASTERVIK/kartor/A 68416-2021.png")</f>
        <v/>
      </c>
      <c r="U188">
        <f>HYPERLINK("https://klasma.github.io/Logging_VASTERVIK/knärot/A 68416-2021.png")</f>
        <v/>
      </c>
      <c r="V188">
        <f>HYPERLINK("https://klasma.github.io/Logging_VASTERVIK/klagomål/A 68416-2021.docx")</f>
        <v/>
      </c>
      <c r="W188">
        <f>HYPERLINK("https://klasma.github.io/Logging_VASTERVIK/klagomålsmail/A 68416-2021.docx")</f>
        <v/>
      </c>
      <c r="X188">
        <f>HYPERLINK("https://klasma.github.io/Logging_VASTERVIK/tillsyn/A 68416-2021.docx")</f>
        <v/>
      </c>
      <c r="Y188">
        <f>HYPERLINK("https://klasma.github.io/Logging_VASTERVIK/tillsynsmail/A 68416-2021.docx")</f>
        <v/>
      </c>
    </row>
    <row r="189" ht="15" customHeight="1">
      <c r="A189" t="inlineStr">
        <is>
          <t>A 1933-2022</t>
        </is>
      </c>
      <c r="B189" s="1" t="n">
        <v>44575</v>
      </c>
      <c r="C189" s="1" t="n">
        <v>45175</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f>
        <v/>
      </c>
      <c r="T189">
        <f>HYPERLINK("https://klasma.github.io/Logging_KALMAR/kartor/A 1933-2022.png")</f>
        <v/>
      </c>
      <c r="U189">
        <f>HYPERLINK("https://klasma.github.io/Logging_KALMAR/knärot/A 1933-2022.png")</f>
        <v/>
      </c>
      <c r="V189">
        <f>HYPERLINK("https://klasma.github.io/Logging_KALMAR/klagomål/A 1933-2022.docx")</f>
        <v/>
      </c>
      <c r="W189">
        <f>HYPERLINK("https://klasma.github.io/Logging_KALMAR/klagomålsmail/A 1933-2022.docx")</f>
        <v/>
      </c>
      <c r="X189">
        <f>HYPERLINK("https://klasma.github.io/Logging_KALMAR/tillsyn/A 1933-2022.docx")</f>
        <v/>
      </c>
      <c r="Y189">
        <f>HYPERLINK("https://klasma.github.io/Logging_KALMAR/tillsynsmail/A 1933-2022.docx")</f>
        <v/>
      </c>
    </row>
    <row r="190" ht="15" customHeight="1">
      <c r="A190" t="inlineStr">
        <is>
          <t>A 12711-2022</t>
        </is>
      </c>
      <c r="B190" s="1" t="n">
        <v>44641</v>
      </c>
      <c r="C190" s="1" t="n">
        <v>45175</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f>
        <v/>
      </c>
      <c r="T190">
        <f>HYPERLINK("https://klasma.github.io/Logging_HULTSFRED/kartor/A 12711-2022.png")</f>
        <v/>
      </c>
      <c r="V190">
        <f>HYPERLINK("https://klasma.github.io/Logging_HULTSFRED/klagomål/A 12711-2022.docx")</f>
        <v/>
      </c>
      <c r="W190">
        <f>HYPERLINK("https://klasma.github.io/Logging_HULTSFRED/klagomålsmail/A 12711-2022.docx")</f>
        <v/>
      </c>
      <c r="X190">
        <f>HYPERLINK("https://klasma.github.io/Logging_HULTSFRED/tillsyn/A 12711-2022.docx")</f>
        <v/>
      </c>
      <c r="Y190">
        <f>HYPERLINK("https://klasma.github.io/Logging_HULTSFRED/tillsynsmail/A 12711-2022.docx")</f>
        <v/>
      </c>
    </row>
    <row r="191" ht="15" customHeight="1">
      <c r="A191" t="inlineStr">
        <is>
          <t>A 33057-2022</t>
        </is>
      </c>
      <c r="B191" s="1" t="n">
        <v>44785</v>
      </c>
      <c r="C191" s="1" t="n">
        <v>45175</v>
      </c>
      <c r="D191" t="inlineStr">
        <is>
          <t>KALMAR LÄN</t>
        </is>
      </c>
      <c r="E191" t="inlineStr">
        <is>
          <t>KALMAR</t>
        </is>
      </c>
      <c r="F191" t="inlineStr">
        <is>
          <t>Kyrkan</t>
        </is>
      </c>
      <c r="G191" t="n">
        <v>3.7</v>
      </c>
      <c r="H191" t="n">
        <v>0</v>
      </c>
      <c r="I191" t="n">
        <v>3</v>
      </c>
      <c r="J191" t="n">
        <v>0</v>
      </c>
      <c r="K191" t="n">
        <v>0</v>
      </c>
      <c r="L191" t="n">
        <v>0</v>
      </c>
      <c r="M191" t="n">
        <v>0</v>
      </c>
      <c r="N191" t="n">
        <v>0</v>
      </c>
      <c r="O191" t="n">
        <v>0</v>
      </c>
      <c r="P191" t="n">
        <v>0</v>
      </c>
      <c r="Q191" t="n">
        <v>3</v>
      </c>
      <c r="R191" s="2" t="inlineStr">
        <is>
          <t>Blåmossa
Grovticka
Grönpyrola</t>
        </is>
      </c>
      <c r="S191">
        <f>HYPERLINK("https://klasma.github.io/Logging_KALMAR/artfynd/A 33057-2022.xlsx")</f>
        <v/>
      </c>
      <c r="T191">
        <f>HYPERLINK("https://klasma.github.io/Logging_KALMAR/kartor/A 33057-2022.png")</f>
        <v/>
      </c>
      <c r="V191">
        <f>HYPERLINK("https://klasma.github.io/Logging_KALMAR/klagomål/A 33057-2022.docx")</f>
        <v/>
      </c>
      <c r="W191">
        <f>HYPERLINK("https://klasma.github.io/Logging_KALMAR/klagomålsmail/A 33057-2022.docx")</f>
        <v/>
      </c>
      <c r="X191">
        <f>HYPERLINK("https://klasma.github.io/Logging_KALMAR/tillsyn/A 33057-2022.docx")</f>
        <v/>
      </c>
      <c r="Y191">
        <f>HYPERLINK("https://klasma.github.io/Logging_KALMAR/tillsynsmail/A 33057-2022.docx")</f>
        <v/>
      </c>
    </row>
    <row r="192" ht="15" customHeight="1">
      <c r="A192" t="inlineStr">
        <is>
          <t>A 37603-2022</t>
        </is>
      </c>
      <c r="B192" s="1" t="n">
        <v>44809</v>
      </c>
      <c r="C192" s="1" t="n">
        <v>45175</v>
      </c>
      <c r="D192" t="inlineStr">
        <is>
          <t>KALMAR LÄN</t>
        </is>
      </c>
      <c r="E192" t="inlineStr">
        <is>
          <t>HULTSFRED</t>
        </is>
      </c>
      <c r="G192" t="n">
        <v>3</v>
      </c>
      <c r="H192" t="n">
        <v>2</v>
      </c>
      <c r="I192" t="n">
        <v>1</v>
      </c>
      <c r="J192" t="n">
        <v>0</v>
      </c>
      <c r="K192" t="n">
        <v>0</v>
      </c>
      <c r="L192" t="n">
        <v>0</v>
      </c>
      <c r="M192" t="n">
        <v>0</v>
      </c>
      <c r="N192" t="n">
        <v>0</v>
      </c>
      <c r="O192" t="n">
        <v>0</v>
      </c>
      <c r="P192" t="n">
        <v>0</v>
      </c>
      <c r="Q192" t="n">
        <v>3</v>
      </c>
      <c r="R192" s="2" t="inlineStr">
        <is>
          <t>Västlig hakmossa
Blåsippa
Revlummer</t>
        </is>
      </c>
      <c r="S192">
        <f>HYPERLINK("https://klasma.github.io/Logging_HULTSFRED/artfynd/A 37603-2022.xlsx")</f>
        <v/>
      </c>
      <c r="T192">
        <f>HYPERLINK("https://klasma.github.io/Logging_HULTSFRED/kartor/A 37603-2022.png")</f>
        <v/>
      </c>
      <c r="V192">
        <f>HYPERLINK("https://klasma.github.io/Logging_HULTSFRED/klagomål/A 37603-2022.docx")</f>
        <v/>
      </c>
      <c r="W192">
        <f>HYPERLINK("https://klasma.github.io/Logging_HULTSFRED/klagomålsmail/A 37603-2022.docx")</f>
        <v/>
      </c>
      <c r="X192">
        <f>HYPERLINK("https://klasma.github.io/Logging_HULTSFRED/tillsyn/A 37603-2022.docx")</f>
        <v/>
      </c>
      <c r="Y192">
        <f>HYPERLINK("https://klasma.github.io/Logging_HULTSFRED/tillsynsmail/A 37603-2022.docx")</f>
        <v/>
      </c>
    </row>
    <row r="193" ht="15" customHeight="1">
      <c r="A193" t="inlineStr">
        <is>
          <t>A 37901-2022</t>
        </is>
      </c>
      <c r="B193" s="1" t="n">
        <v>44811</v>
      </c>
      <c r="C193" s="1" t="n">
        <v>45175</v>
      </c>
      <c r="D193" t="inlineStr">
        <is>
          <t>KALMAR LÄN</t>
        </is>
      </c>
      <c r="E193" t="inlineStr">
        <is>
          <t>VIMMERBY</t>
        </is>
      </c>
      <c r="G193" t="n">
        <v>3.9</v>
      </c>
      <c r="H193" t="n">
        <v>1</v>
      </c>
      <c r="I193" t="n">
        <v>1</v>
      </c>
      <c r="J193" t="n">
        <v>1</v>
      </c>
      <c r="K193" t="n">
        <v>0</v>
      </c>
      <c r="L193" t="n">
        <v>0</v>
      </c>
      <c r="M193" t="n">
        <v>0</v>
      </c>
      <c r="N193" t="n">
        <v>0</v>
      </c>
      <c r="O193" t="n">
        <v>1</v>
      </c>
      <c r="P193" t="n">
        <v>0</v>
      </c>
      <c r="Q193" t="n">
        <v>3</v>
      </c>
      <c r="R193" s="2" t="inlineStr">
        <is>
          <t>Tallticka
Kornig nållav
Revlummer</t>
        </is>
      </c>
      <c r="S193">
        <f>HYPERLINK("https://klasma.github.io/Logging_VIMMERBY/artfynd/A 37901-2022.xlsx")</f>
        <v/>
      </c>
      <c r="T193">
        <f>HYPERLINK("https://klasma.github.io/Logging_VIMMERBY/kartor/A 37901-2022.png")</f>
        <v/>
      </c>
      <c r="V193">
        <f>HYPERLINK("https://klasma.github.io/Logging_VIMMERBY/klagomål/A 37901-2022.docx")</f>
        <v/>
      </c>
      <c r="W193">
        <f>HYPERLINK("https://klasma.github.io/Logging_VIMMERBY/klagomålsmail/A 37901-2022.docx")</f>
        <v/>
      </c>
      <c r="X193">
        <f>HYPERLINK("https://klasma.github.io/Logging_VIMMERBY/tillsyn/A 37901-2022.docx")</f>
        <v/>
      </c>
      <c r="Y193">
        <f>HYPERLINK("https://klasma.github.io/Logging_VIMMERBY/tillsynsmail/A 37901-2022.docx")</f>
        <v/>
      </c>
    </row>
    <row r="194" ht="15" customHeight="1">
      <c r="A194" t="inlineStr">
        <is>
          <t>A 40302-2022</t>
        </is>
      </c>
      <c r="B194" s="1" t="n">
        <v>44822</v>
      </c>
      <c r="C194" s="1" t="n">
        <v>45175</v>
      </c>
      <c r="D194" t="inlineStr">
        <is>
          <t>KALMAR LÄN</t>
        </is>
      </c>
      <c r="E194" t="inlineStr">
        <is>
          <t>HULTSFRED</t>
        </is>
      </c>
      <c r="G194" t="n">
        <v>2.3</v>
      </c>
      <c r="H194" t="n">
        <v>3</v>
      </c>
      <c r="I194" t="n">
        <v>0</v>
      </c>
      <c r="J194" t="n">
        <v>2</v>
      </c>
      <c r="K194" t="n">
        <v>0</v>
      </c>
      <c r="L194" t="n">
        <v>0</v>
      </c>
      <c r="M194" t="n">
        <v>0</v>
      </c>
      <c r="N194" t="n">
        <v>0</v>
      </c>
      <c r="O194" t="n">
        <v>2</v>
      </c>
      <c r="P194" t="n">
        <v>0</v>
      </c>
      <c r="Q194" t="n">
        <v>3</v>
      </c>
      <c r="R194" s="2" t="inlineStr">
        <is>
          <t>Brunlångöra
Nordfladdermus
Dvärgpipistrell</t>
        </is>
      </c>
      <c r="S194">
        <f>HYPERLINK("https://klasma.github.io/Logging_HULTSFRED/artfynd/A 40302-2022.xlsx")</f>
        <v/>
      </c>
      <c r="T194">
        <f>HYPERLINK("https://klasma.github.io/Logging_HULTSFRED/kartor/A 40302-2022.png")</f>
        <v/>
      </c>
      <c r="V194">
        <f>HYPERLINK("https://klasma.github.io/Logging_HULTSFRED/klagomål/A 40302-2022.docx")</f>
        <v/>
      </c>
      <c r="W194">
        <f>HYPERLINK("https://klasma.github.io/Logging_HULTSFRED/klagomålsmail/A 40302-2022.docx")</f>
        <v/>
      </c>
      <c r="X194">
        <f>HYPERLINK("https://klasma.github.io/Logging_HULTSFRED/tillsyn/A 40302-2022.docx")</f>
        <v/>
      </c>
      <c r="Y194">
        <f>HYPERLINK("https://klasma.github.io/Logging_HULTSFRED/tillsynsmail/A 40302-2022.docx")</f>
        <v/>
      </c>
    </row>
    <row r="195" ht="15" customHeight="1">
      <c r="A195" t="inlineStr">
        <is>
          <t>A 41772-2022</t>
        </is>
      </c>
      <c r="B195" s="1" t="n">
        <v>44827</v>
      </c>
      <c r="C195" s="1" t="n">
        <v>45175</v>
      </c>
      <c r="D195" t="inlineStr">
        <is>
          <t>KALMAR LÄN</t>
        </is>
      </c>
      <c r="E195" t="inlineStr">
        <is>
          <t>NYBRO</t>
        </is>
      </c>
      <c r="G195" t="n">
        <v>5.7</v>
      </c>
      <c r="H195" t="n">
        <v>0</v>
      </c>
      <c r="I195" t="n">
        <v>1</v>
      </c>
      <c r="J195" t="n">
        <v>2</v>
      </c>
      <c r="K195" t="n">
        <v>0</v>
      </c>
      <c r="L195" t="n">
        <v>0</v>
      </c>
      <c r="M195" t="n">
        <v>0</v>
      </c>
      <c r="N195" t="n">
        <v>0</v>
      </c>
      <c r="O195" t="n">
        <v>2</v>
      </c>
      <c r="P195" t="n">
        <v>0</v>
      </c>
      <c r="Q195" t="n">
        <v>3</v>
      </c>
      <c r="R195" s="2" t="inlineStr">
        <is>
          <t>Motaggsvamp
Orange taggsvamp
Blåmossa</t>
        </is>
      </c>
      <c r="S195">
        <f>HYPERLINK("https://klasma.github.io/Logging_NYBRO/artfynd/A 41772-2022.xlsx")</f>
        <v/>
      </c>
      <c r="T195">
        <f>HYPERLINK("https://klasma.github.io/Logging_NYBRO/kartor/A 41772-2022.png")</f>
        <v/>
      </c>
      <c r="V195">
        <f>HYPERLINK("https://klasma.github.io/Logging_NYBRO/klagomål/A 41772-2022.docx")</f>
        <v/>
      </c>
      <c r="W195">
        <f>HYPERLINK("https://klasma.github.io/Logging_NYBRO/klagomålsmail/A 41772-2022.docx")</f>
        <v/>
      </c>
      <c r="X195">
        <f>HYPERLINK("https://klasma.github.io/Logging_NYBRO/tillsyn/A 41772-2022.docx")</f>
        <v/>
      </c>
      <c r="Y195">
        <f>HYPERLINK("https://klasma.github.io/Logging_NYBRO/tillsynsmail/A 41772-2022.docx")</f>
        <v/>
      </c>
    </row>
    <row r="196" ht="15" customHeight="1">
      <c r="A196" t="inlineStr">
        <is>
          <t>A 41542-2022</t>
        </is>
      </c>
      <c r="B196" s="1" t="n">
        <v>44827</v>
      </c>
      <c r="C196" s="1" t="n">
        <v>45175</v>
      </c>
      <c r="D196" t="inlineStr">
        <is>
          <t>KALMAR LÄN</t>
        </is>
      </c>
      <c r="E196" t="inlineStr">
        <is>
          <t>KALMAR</t>
        </is>
      </c>
      <c r="G196" t="n">
        <v>29</v>
      </c>
      <c r="H196" t="n">
        <v>3</v>
      </c>
      <c r="I196" t="n">
        <v>0</v>
      </c>
      <c r="J196" t="n">
        <v>0</v>
      </c>
      <c r="K196" t="n">
        <v>1</v>
      </c>
      <c r="L196" t="n">
        <v>0</v>
      </c>
      <c r="M196" t="n">
        <v>0</v>
      </c>
      <c r="N196" t="n">
        <v>0</v>
      </c>
      <c r="O196" t="n">
        <v>1</v>
      </c>
      <c r="P196" t="n">
        <v>1</v>
      </c>
      <c r="Q196" t="n">
        <v>3</v>
      </c>
      <c r="R196" s="2" t="inlineStr">
        <is>
          <t>Knärot
Kopparödla
Vanlig snok</t>
        </is>
      </c>
      <c r="S196">
        <f>HYPERLINK("https://klasma.github.io/Logging_KALMAR/artfynd/A 41542-2022.xlsx")</f>
        <v/>
      </c>
      <c r="T196">
        <f>HYPERLINK("https://klasma.github.io/Logging_KALMAR/kartor/A 41542-2022.png")</f>
        <v/>
      </c>
      <c r="U196">
        <f>HYPERLINK("https://klasma.github.io/Logging_KALMAR/knärot/A 41542-2022.png")</f>
        <v/>
      </c>
      <c r="V196">
        <f>HYPERLINK("https://klasma.github.io/Logging_KALMAR/klagomål/A 41542-2022.docx")</f>
        <v/>
      </c>
      <c r="W196">
        <f>HYPERLINK("https://klasma.github.io/Logging_KALMAR/klagomålsmail/A 41542-2022.docx")</f>
        <v/>
      </c>
      <c r="X196">
        <f>HYPERLINK("https://klasma.github.io/Logging_KALMAR/tillsyn/A 41542-2022.docx")</f>
        <v/>
      </c>
      <c r="Y196">
        <f>HYPERLINK("https://klasma.github.io/Logging_KALMAR/tillsynsmail/A 41542-2022.docx")</f>
        <v/>
      </c>
    </row>
    <row r="197" ht="15" customHeight="1">
      <c r="A197" t="inlineStr">
        <is>
          <t>A 47451-2022</t>
        </is>
      </c>
      <c r="B197" s="1" t="n">
        <v>44853</v>
      </c>
      <c r="C197" s="1" t="n">
        <v>45175</v>
      </c>
      <c r="D197" t="inlineStr">
        <is>
          <t>KALMAR LÄN</t>
        </is>
      </c>
      <c r="E197" t="inlineStr">
        <is>
          <t>KALMAR</t>
        </is>
      </c>
      <c r="G197" t="n">
        <v>3.8</v>
      </c>
      <c r="H197" t="n">
        <v>1</v>
      </c>
      <c r="I197" t="n">
        <v>2</v>
      </c>
      <c r="J197" t="n">
        <v>0</v>
      </c>
      <c r="K197" t="n">
        <v>1</v>
      </c>
      <c r="L197" t="n">
        <v>0</v>
      </c>
      <c r="M197" t="n">
        <v>0</v>
      </c>
      <c r="N197" t="n">
        <v>0</v>
      </c>
      <c r="O197" t="n">
        <v>1</v>
      </c>
      <c r="P197" t="n">
        <v>1</v>
      </c>
      <c r="Q197" t="n">
        <v>3</v>
      </c>
      <c r="R197" s="2" t="inlineStr">
        <is>
          <t>Knärot
Grönpyrola
Murgröna</t>
        </is>
      </c>
      <c r="S197">
        <f>HYPERLINK("https://klasma.github.io/Logging_KALMAR/artfynd/A 47451-2022.xlsx")</f>
        <v/>
      </c>
      <c r="T197">
        <f>HYPERLINK("https://klasma.github.io/Logging_KALMAR/kartor/A 47451-2022.png")</f>
        <v/>
      </c>
      <c r="U197">
        <f>HYPERLINK("https://klasma.github.io/Logging_KALMAR/knärot/A 47451-2022.png")</f>
        <v/>
      </c>
      <c r="V197">
        <f>HYPERLINK("https://klasma.github.io/Logging_KALMAR/klagomål/A 47451-2022.docx")</f>
        <v/>
      </c>
      <c r="W197">
        <f>HYPERLINK("https://klasma.github.io/Logging_KALMAR/klagomålsmail/A 47451-2022.docx")</f>
        <v/>
      </c>
      <c r="X197">
        <f>HYPERLINK("https://klasma.github.io/Logging_KALMAR/tillsyn/A 47451-2022.docx")</f>
        <v/>
      </c>
      <c r="Y197">
        <f>HYPERLINK("https://klasma.github.io/Logging_KALMAR/tillsynsmail/A 47451-2022.docx")</f>
        <v/>
      </c>
    </row>
    <row r="198" ht="15" customHeight="1">
      <c r="A198" t="inlineStr">
        <is>
          <t>A 50759-2022</t>
        </is>
      </c>
      <c r="B198" s="1" t="n">
        <v>44867</v>
      </c>
      <c r="C198" s="1" t="n">
        <v>45175</v>
      </c>
      <c r="D198" t="inlineStr">
        <is>
          <t>KALMAR LÄN</t>
        </is>
      </c>
      <c r="E198" t="inlineStr">
        <is>
          <t>NYBRO</t>
        </is>
      </c>
      <c r="G198" t="n">
        <v>5.1</v>
      </c>
      <c r="H198" t="n">
        <v>0</v>
      </c>
      <c r="I198" t="n">
        <v>3</v>
      </c>
      <c r="J198" t="n">
        <v>0</v>
      </c>
      <c r="K198" t="n">
        <v>0</v>
      </c>
      <c r="L198" t="n">
        <v>0</v>
      </c>
      <c r="M198" t="n">
        <v>0</v>
      </c>
      <c r="N198" t="n">
        <v>0</v>
      </c>
      <c r="O198" t="n">
        <v>0</v>
      </c>
      <c r="P198" t="n">
        <v>0</v>
      </c>
      <c r="Q198" t="n">
        <v>3</v>
      </c>
      <c r="R198" s="2" t="inlineStr">
        <is>
          <t>Blåmossa
Ljus vedstrit
Mindre märgborre</t>
        </is>
      </c>
      <c r="S198">
        <f>HYPERLINK("https://klasma.github.io/Logging_NYBRO/artfynd/A 50759-2022.xlsx")</f>
        <v/>
      </c>
      <c r="T198">
        <f>HYPERLINK("https://klasma.github.io/Logging_NYBRO/kartor/A 50759-2022.png")</f>
        <v/>
      </c>
      <c r="V198">
        <f>HYPERLINK("https://klasma.github.io/Logging_NYBRO/klagomål/A 50759-2022.docx")</f>
        <v/>
      </c>
      <c r="W198">
        <f>HYPERLINK("https://klasma.github.io/Logging_NYBRO/klagomålsmail/A 50759-2022.docx")</f>
        <v/>
      </c>
      <c r="X198">
        <f>HYPERLINK("https://klasma.github.io/Logging_NYBRO/tillsyn/A 50759-2022.docx")</f>
        <v/>
      </c>
      <c r="Y198">
        <f>HYPERLINK("https://klasma.github.io/Logging_NYBRO/tillsynsmail/A 50759-2022.docx")</f>
        <v/>
      </c>
    </row>
    <row r="199" ht="15" customHeight="1">
      <c r="A199" t="inlineStr">
        <is>
          <t>A 53138-2022</t>
        </is>
      </c>
      <c r="B199" s="1" t="n">
        <v>44876</v>
      </c>
      <c r="C199" s="1" t="n">
        <v>45175</v>
      </c>
      <c r="D199" t="inlineStr">
        <is>
          <t>KALMAR LÄN</t>
        </is>
      </c>
      <c r="E199" t="inlineStr">
        <is>
          <t>KALMAR</t>
        </is>
      </c>
      <c r="G199" t="n">
        <v>4</v>
      </c>
      <c r="H199" t="n">
        <v>2</v>
      </c>
      <c r="I199" t="n">
        <v>1</v>
      </c>
      <c r="J199" t="n">
        <v>1</v>
      </c>
      <c r="K199" t="n">
        <v>1</v>
      </c>
      <c r="L199" t="n">
        <v>0</v>
      </c>
      <c r="M199" t="n">
        <v>0</v>
      </c>
      <c r="N199" t="n">
        <v>0</v>
      </c>
      <c r="O199" t="n">
        <v>2</v>
      </c>
      <c r="P199" t="n">
        <v>1</v>
      </c>
      <c r="Q199" t="n">
        <v>3</v>
      </c>
      <c r="R199" s="2" t="inlineStr">
        <is>
          <t>Knärot
Talltita
Blomkålssvamp</t>
        </is>
      </c>
      <c r="S199">
        <f>HYPERLINK("https://klasma.github.io/Logging_KALMAR/artfynd/A 53138-2022.xlsx")</f>
        <v/>
      </c>
      <c r="T199">
        <f>HYPERLINK("https://klasma.github.io/Logging_KALMAR/kartor/A 53138-2022.png")</f>
        <v/>
      </c>
      <c r="U199">
        <f>HYPERLINK("https://klasma.github.io/Logging_KALMAR/knärot/A 53138-2022.png")</f>
        <v/>
      </c>
      <c r="V199">
        <f>HYPERLINK("https://klasma.github.io/Logging_KALMAR/klagomål/A 53138-2022.docx")</f>
        <v/>
      </c>
      <c r="W199">
        <f>HYPERLINK("https://klasma.github.io/Logging_KALMAR/klagomålsmail/A 53138-2022.docx")</f>
        <v/>
      </c>
      <c r="X199">
        <f>HYPERLINK("https://klasma.github.io/Logging_KALMAR/tillsyn/A 53138-2022.docx")</f>
        <v/>
      </c>
      <c r="Y199">
        <f>HYPERLINK("https://klasma.github.io/Logging_KALMAR/tillsynsmail/A 53138-2022.docx")</f>
        <v/>
      </c>
    </row>
    <row r="200" ht="15" customHeight="1">
      <c r="A200" t="inlineStr">
        <is>
          <t>A 55506-2022</t>
        </is>
      </c>
      <c r="B200" s="1" t="n">
        <v>44887</v>
      </c>
      <c r="C200" s="1" t="n">
        <v>45175</v>
      </c>
      <c r="D200" t="inlineStr">
        <is>
          <t>KALMAR LÄN</t>
        </is>
      </c>
      <c r="E200" t="inlineStr">
        <is>
          <t>VÄSTERVIK</t>
        </is>
      </c>
      <c r="G200" t="n">
        <v>3.4</v>
      </c>
      <c r="H200" t="n">
        <v>0</v>
      </c>
      <c r="I200" t="n">
        <v>1</v>
      </c>
      <c r="J200" t="n">
        <v>2</v>
      </c>
      <c r="K200" t="n">
        <v>0</v>
      </c>
      <c r="L200" t="n">
        <v>0</v>
      </c>
      <c r="M200" t="n">
        <v>0</v>
      </c>
      <c r="N200" t="n">
        <v>0</v>
      </c>
      <c r="O200" t="n">
        <v>2</v>
      </c>
      <c r="P200" t="n">
        <v>0</v>
      </c>
      <c r="Q200" t="n">
        <v>3</v>
      </c>
      <c r="R200" s="2" t="inlineStr">
        <is>
          <t>Tallticka
Ullticka
Trädporella</t>
        </is>
      </c>
      <c r="S200">
        <f>HYPERLINK("https://klasma.github.io/Logging_VASTERVIK/artfynd/A 55506-2022.xlsx")</f>
        <v/>
      </c>
      <c r="T200">
        <f>HYPERLINK("https://klasma.github.io/Logging_VASTERVIK/kartor/A 55506-2022.png")</f>
        <v/>
      </c>
      <c r="V200">
        <f>HYPERLINK("https://klasma.github.io/Logging_VASTERVIK/klagomål/A 55506-2022.docx")</f>
        <v/>
      </c>
      <c r="W200">
        <f>HYPERLINK("https://klasma.github.io/Logging_VASTERVIK/klagomålsmail/A 55506-2022.docx")</f>
        <v/>
      </c>
      <c r="X200">
        <f>HYPERLINK("https://klasma.github.io/Logging_VASTERVIK/tillsyn/A 55506-2022.docx")</f>
        <v/>
      </c>
      <c r="Y200">
        <f>HYPERLINK("https://klasma.github.io/Logging_VASTERVIK/tillsynsmail/A 55506-2022.docx")</f>
        <v/>
      </c>
    </row>
    <row r="201" ht="15" customHeight="1">
      <c r="A201" t="inlineStr">
        <is>
          <t>A 58955-2022</t>
        </is>
      </c>
      <c r="B201" s="1" t="n">
        <v>44896</v>
      </c>
      <c r="C201" s="1" t="n">
        <v>45175</v>
      </c>
      <c r="D201" t="inlineStr">
        <is>
          <t>KALMAR LÄN</t>
        </is>
      </c>
      <c r="E201" t="inlineStr">
        <is>
          <t>VÄSTERVIK</t>
        </is>
      </c>
      <c r="G201" t="n">
        <v>4.5</v>
      </c>
      <c r="H201" t="n">
        <v>1</v>
      </c>
      <c r="I201" t="n">
        <v>1</v>
      </c>
      <c r="J201" t="n">
        <v>1</v>
      </c>
      <c r="K201" t="n">
        <v>1</v>
      </c>
      <c r="L201" t="n">
        <v>0</v>
      </c>
      <c r="M201" t="n">
        <v>0</v>
      </c>
      <c r="N201" t="n">
        <v>0</v>
      </c>
      <c r="O201" t="n">
        <v>2</v>
      </c>
      <c r="P201" t="n">
        <v>1</v>
      </c>
      <c r="Q201" t="n">
        <v>3</v>
      </c>
      <c r="R201" s="2" t="inlineStr">
        <is>
          <t>Knärot
Tallticka
Hasselticka</t>
        </is>
      </c>
      <c r="S201">
        <f>HYPERLINK("https://klasma.github.io/Logging_VASTERVIK/artfynd/A 58955-2022.xlsx")</f>
        <v/>
      </c>
      <c r="T201">
        <f>HYPERLINK("https://klasma.github.io/Logging_VASTERVIK/kartor/A 58955-2022.png")</f>
        <v/>
      </c>
      <c r="U201">
        <f>HYPERLINK("https://klasma.github.io/Logging_VASTERVIK/knärot/A 58955-2022.png")</f>
        <v/>
      </c>
      <c r="V201">
        <f>HYPERLINK("https://klasma.github.io/Logging_VASTERVIK/klagomål/A 58955-2022.docx")</f>
        <v/>
      </c>
      <c r="W201">
        <f>HYPERLINK("https://klasma.github.io/Logging_VASTERVIK/klagomålsmail/A 58955-2022.docx")</f>
        <v/>
      </c>
      <c r="X201">
        <f>HYPERLINK("https://klasma.github.io/Logging_VASTERVIK/tillsyn/A 58955-2022.docx")</f>
        <v/>
      </c>
      <c r="Y201">
        <f>HYPERLINK("https://klasma.github.io/Logging_VASTERVIK/tillsynsmail/A 58955-2022.docx")</f>
        <v/>
      </c>
    </row>
    <row r="202" ht="15" customHeight="1">
      <c r="A202" t="inlineStr">
        <is>
          <t>A 8214-2023</t>
        </is>
      </c>
      <c r="B202" s="1" t="n">
        <v>44974</v>
      </c>
      <c r="C202" s="1" t="n">
        <v>45175</v>
      </c>
      <c r="D202" t="inlineStr">
        <is>
          <t>KALMAR LÄN</t>
        </is>
      </c>
      <c r="E202" t="inlineStr">
        <is>
          <t>VIMMERBY</t>
        </is>
      </c>
      <c r="G202" t="n">
        <v>4.7</v>
      </c>
      <c r="H202" t="n">
        <v>1</v>
      </c>
      <c r="I202" t="n">
        <v>1</v>
      </c>
      <c r="J202" t="n">
        <v>1</v>
      </c>
      <c r="K202" t="n">
        <v>1</v>
      </c>
      <c r="L202" t="n">
        <v>0</v>
      </c>
      <c r="M202" t="n">
        <v>0</v>
      </c>
      <c r="N202" t="n">
        <v>0</v>
      </c>
      <c r="O202" t="n">
        <v>2</v>
      </c>
      <c r="P202" t="n">
        <v>1</v>
      </c>
      <c r="Q202" t="n">
        <v>3</v>
      </c>
      <c r="R202" s="2" t="inlineStr">
        <is>
          <t>Knärot
Åkerkål
Grönpyrola</t>
        </is>
      </c>
      <c r="S202">
        <f>HYPERLINK("https://klasma.github.io/Logging_VIMMERBY/artfynd/A 8214-2023.xlsx")</f>
        <v/>
      </c>
      <c r="T202">
        <f>HYPERLINK("https://klasma.github.io/Logging_VIMMERBY/kartor/A 8214-2023.png")</f>
        <v/>
      </c>
      <c r="U202">
        <f>HYPERLINK("https://klasma.github.io/Logging_VIMMERBY/knärot/A 8214-2023.png")</f>
        <v/>
      </c>
      <c r="V202">
        <f>HYPERLINK("https://klasma.github.io/Logging_VIMMERBY/klagomål/A 8214-2023.docx")</f>
        <v/>
      </c>
      <c r="W202">
        <f>HYPERLINK("https://klasma.github.io/Logging_VIMMERBY/klagomålsmail/A 8214-2023.docx")</f>
        <v/>
      </c>
      <c r="X202">
        <f>HYPERLINK("https://klasma.github.io/Logging_VIMMERBY/tillsyn/A 8214-2023.docx")</f>
        <v/>
      </c>
      <c r="Y202">
        <f>HYPERLINK("https://klasma.github.io/Logging_VIMMERBY/tillsynsmail/A 8214-2023.docx")</f>
        <v/>
      </c>
    </row>
    <row r="203" ht="15" customHeight="1">
      <c r="A203" t="inlineStr">
        <is>
          <t>A 12708-2023</t>
        </is>
      </c>
      <c r="B203" s="1" t="n">
        <v>45000</v>
      </c>
      <c r="C203" s="1" t="n">
        <v>45175</v>
      </c>
      <c r="D203" t="inlineStr">
        <is>
          <t>KALMAR LÄN</t>
        </is>
      </c>
      <c r="E203" t="inlineStr">
        <is>
          <t>VÄSTERVIK</t>
        </is>
      </c>
      <c r="G203" t="n">
        <v>8.6</v>
      </c>
      <c r="H203" t="n">
        <v>2</v>
      </c>
      <c r="I203" t="n">
        <v>0</v>
      </c>
      <c r="J203" t="n">
        <v>2</v>
      </c>
      <c r="K203" t="n">
        <v>1</v>
      </c>
      <c r="L203" t="n">
        <v>0</v>
      </c>
      <c r="M203" t="n">
        <v>0</v>
      </c>
      <c r="N203" t="n">
        <v>0</v>
      </c>
      <c r="O203" t="n">
        <v>3</v>
      </c>
      <c r="P203" t="n">
        <v>1</v>
      </c>
      <c r="Q203" t="n">
        <v>3</v>
      </c>
      <c r="R203" s="2" t="inlineStr">
        <is>
          <t>Knärot
Tallticka
Talltita</t>
        </is>
      </c>
      <c r="S203">
        <f>HYPERLINK("https://klasma.github.io/Logging_VASTERVIK/artfynd/A 12708-2023.xlsx")</f>
        <v/>
      </c>
      <c r="T203">
        <f>HYPERLINK("https://klasma.github.io/Logging_VASTERVIK/kartor/A 12708-2023.png")</f>
        <v/>
      </c>
      <c r="U203">
        <f>HYPERLINK("https://klasma.github.io/Logging_VASTERVIK/knärot/A 12708-2023.png")</f>
        <v/>
      </c>
      <c r="V203">
        <f>HYPERLINK("https://klasma.github.io/Logging_VASTERVIK/klagomål/A 12708-2023.docx")</f>
        <v/>
      </c>
      <c r="W203">
        <f>HYPERLINK("https://klasma.github.io/Logging_VASTERVIK/klagomålsmail/A 12708-2023.docx")</f>
        <v/>
      </c>
      <c r="X203">
        <f>HYPERLINK("https://klasma.github.io/Logging_VASTERVIK/tillsyn/A 12708-2023.docx")</f>
        <v/>
      </c>
      <c r="Y203">
        <f>HYPERLINK("https://klasma.github.io/Logging_VASTERVIK/tillsynsmail/A 12708-2023.docx")</f>
        <v/>
      </c>
    </row>
    <row r="204" ht="15" customHeight="1">
      <c r="A204" t="inlineStr">
        <is>
          <t>A 15427-2023</t>
        </is>
      </c>
      <c r="B204" s="1" t="n">
        <v>45020</v>
      </c>
      <c r="C204" s="1" t="n">
        <v>45175</v>
      </c>
      <c r="D204" t="inlineStr">
        <is>
          <t>KALMAR LÄN</t>
        </is>
      </c>
      <c r="E204" t="inlineStr">
        <is>
          <t>VIMMERBY</t>
        </is>
      </c>
      <c r="G204" t="n">
        <v>4.1</v>
      </c>
      <c r="H204" t="n">
        <v>0</v>
      </c>
      <c r="I204" t="n">
        <v>1</v>
      </c>
      <c r="J204" t="n">
        <v>2</v>
      </c>
      <c r="K204" t="n">
        <v>0</v>
      </c>
      <c r="L204" t="n">
        <v>0</v>
      </c>
      <c r="M204" t="n">
        <v>0</v>
      </c>
      <c r="N204" t="n">
        <v>0</v>
      </c>
      <c r="O204" t="n">
        <v>2</v>
      </c>
      <c r="P204" t="n">
        <v>0</v>
      </c>
      <c r="Q204" t="n">
        <v>3</v>
      </c>
      <c r="R204" s="2" t="inlineStr">
        <is>
          <t>Slåtterfibbla
Solvända
Strävlosta</t>
        </is>
      </c>
      <c r="S204">
        <f>HYPERLINK("https://klasma.github.io/Logging_VIMMERBY/artfynd/A 15427-2023.xlsx")</f>
        <v/>
      </c>
      <c r="T204">
        <f>HYPERLINK("https://klasma.github.io/Logging_VIMMERBY/kartor/A 15427-2023.png")</f>
        <v/>
      </c>
      <c r="V204">
        <f>HYPERLINK("https://klasma.github.io/Logging_VIMMERBY/klagomål/A 15427-2023.docx")</f>
        <v/>
      </c>
      <c r="W204">
        <f>HYPERLINK("https://klasma.github.io/Logging_VIMMERBY/klagomålsmail/A 15427-2023.docx")</f>
        <v/>
      </c>
      <c r="X204">
        <f>HYPERLINK("https://klasma.github.io/Logging_VIMMERBY/tillsyn/A 15427-2023.docx")</f>
        <v/>
      </c>
      <c r="Y204">
        <f>HYPERLINK("https://klasma.github.io/Logging_VIMMERBY/tillsynsmail/A 15427-2023.docx")</f>
        <v/>
      </c>
    </row>
    <row r="205" ht="15" customHeight="1">
      <c r="A205" t="inlineStr">
        <is>
          <t>A 16469-2023</t>
        </is>
      </c>
      <c r="B205" s="1" t="n">
        <v>45026</v>
      </c>
      <c r="C205" s="1" t="n">
        <v>45175</v>
      </c>
      <c r="D205" t="inlineStr">
        <is>
          <t>KALMAR LÄN</t>
        </is>
      </c>
      <c r="E205" t="inlineStr">
        <is>
          <t>HULTSFRED</t>
        </is>
      </c>
      <c r="G205" t="n">
        <v>18.5</v>
      </c>
      <c r="H205" t="n">
        <v>0</v>
      </c>
      <c r="I205" t="n">
        <v>0</v>
      </c>
      <c r="J205" t="n">
        <v>3</v>
      </c>
      <c r="K205" t="n">
        <v>0</v>
      </c>
      <c r="L205" t="n">
        <v>0</v>
      </c>
      <c r="M205" t="n">
        <v>0</v>
      </c>
      <c r="N205" t="n">
        <v>0</v>
      </c>
      <c r="O205" t="n">
        <v>3</v>
      </c>
      <c r="P205" t="n">
        <v>0</v>
      </c>
      <c r="Q205" t="n">
        <v>3</v>
      </c>
      <c r="R205" s="2" t="inlineStr">
        <is>
          <t>Gullklöver
Smalsprötad bastardsvärmare
Svartvit taggsvamp</t>
        </is>
      </c>
      <c r="S205">
        <f>HYPERLINK("https://klasma.github.io/Logging_HULTSFRED/artfynd/A 16469-2023.xlsx")</f>
        <v/>
      </c>
      <c r="T205">
        <f>HYPERLINK("https://klasma.github.io/Logging_HULTSFRED/kartor/A 16469-2023.png")</f>
        <v/>
      </c>
      <c r="V205">
        <f>HYPERLINK("https://klasma.github.io/Logging_HULTSFRED/klagomål/A 16469-2023.docx")</f>
        <v/>
      </c>
      <c r="W205">
        <f>HYPERLINK("https://klasma.github.io/Logging_HULTSFRED/klagomålsmail/A 16469-2023.docx")</f>
        <v/>
      </c>
      <c r="X205">
        <f>HYPERLINK("https://klasma.github.io/Logging_HULTSFRED/tillsyn/A 16469-2023.docx")</f>
        <v/>
      </c>
      <c r="Y205">
        <f>HYPERLINK("https://klasma.github.io/Logging_HULTSFRED/tillsynsmail/A 16469-2023.docx")</f>
        <v/>
      </c>
    </row>
    <row r="206" ht="15" customHeight="1">
      <c r="A206" t="inlineStr">
        <is>
          <t>A 16171-2023</t>
        </is>
      </c>
      <c r="B206" s="1" t="n">
        <v>45027</v>
      </c>
      <c r="C206" s="1" t="n">
        <v>45175</v>
      </c>
      <c r="D206" t="inlineStr">
        <is>
          <t>KALMAR LÄN</t>
        </is>
      </c>
      <c r="E206" t="inlineStr">
        <is>
          <t>BORGHOLM</t>
        </is>
      </c>
      <c r="G206" t="n">
        <v>12.2</v>
      </c>
      <c r="H206" t="n">
        <v>1</v>
      </c>
      <c r="I206" t="n">
        <v>2</v>
      </c>
      <c r="J206" t="n">
        <v>0</v>
      </c>
      <c r="K206" t="n">
        <v>0</v>
      </c>
      <c r="L206" t="n">
        <v>0</v>
      </c>
      <c r="M206" t="n">
        <v>0</v>
      </c>
      <c r="N206" t="n">
        <v>0</v>
      </c>
      <c r="O206" t="n">
        <v>0</v>
      </c>
      <c r="P206" t="n">
        <v>0</v>
      </c>
      <c r="Q206" t="n">
        <v>3</v>
      </c>
      <c r="R206" s="2" t="inlineStr">
        <is>
          <t>Murgröna
Sårläka
Blåsippa</t>
        </is>
      </c>
      <c r="S206">
        <f>HYPERLINK("https://klasma.github.io/Logging_BORGHOLM/artfynd/A 16171-2023.xlsx")</f>
        <v/>
      </c>
      <c r="T206">
        <f>HYPERLINK("https://klasma.github.io/Logging_BORGHOLM/kartor/A 16171-2023.png")</f>
        <v/>
      </c>
      <c r="V206">
        <f>HYPERLINK("https://klasma.github.io/Logging_BORGHOLM/klagomål/A 16171-2023.docx")</f>
        <v/>
      </c>
      <c r="W206">
        <f>HYPERLINK("https://klasma.github.io/Logging_BORGHOLM/klagomålsmail/A 16171-2023.docx")</f>
        <v/>
      </c>
      <c r="X206">
        <f>HYPERLINK("https://klasma.github.io/Logging_BORGHOLM/tillsyn/A 16171-2023.docx")</f>
        <v/>
      </c>
      <c r="Y206">
        <f>HYPERLINK("https://klasma.github.io/Logging_BORGHOLM/tillsynsmail/A 16171-2023.docx")</f>
        <v/>
      </c>
    </row>
    <row r="207" ht="15" customHeight="1">
      <c r="A207" t="inlineStr">
        <is>
          <t>A 25192-2023</t>
        </is>
      </c>
      <c r="B207" s="1" t="n">
        <v>45079</v>
      </c>
      <c r="C207" s="1" t="n">
        <v>45175</v>
      </c>
      <c r="D207" t="inlineStr">
        <is>
          <t>KALMAR LÄN</t>
        </is>
      </c>
      <c r="E207" t="inlineStr">
        <is>
          <t>MÖNSTERÅS</t>
        </is>
      </c>
      <c r="G207" t="n">
        <v>4.3</v>
      </c>
      <c r="H207" t="n">
        <v>1</v>
      </c>
      <c r="I207" t="n">
        <v>1</v>
      </c>
      <c r="J207" t="n">
        <v>1</v>
      </c>
      <c r="K207" t="n">
        <v>1</v>
      </c>
      <c r="L207" t="n">
        <v>0</v>
      </c>
      <c r="M207" t="n">
        <v>0</v>
      </c>
      <c r="N207" t="n">
        <v>0</v>
      </c>
      <c r="O207" t="n">
        <v>2</v>
      </c>
      <c r="P207" t="n">
        <v>1</v>
      </c>
      <c r="Q207" t="n">
        <v>3</v>
      </c>
      <c r="R207" s="2" t="inlineStr">
        <is>
          <t>Knärot
Granticka
Blåmossa</t>
        </is>
      </c>
      <c r="S207">
        <f>HYPERLINK("https://klasma.github.io/Logging_MONSTERAS/artfynd/A 25192-2023.xlsx")</f>
        <v/>
      </c>
      <c r="T207">
        <f>HYPERLINK("https://klasma.github.io/Logging_MONSTERAS/kartor/A 25192-2023.png")</f>
        <v/>
      </c>
      <c r="U207">
        <f>HYPERLINK("https://klasma.github.io/Logging_MONSTERAS/knärot/A 25192-2023.png")</f>
        <v/>
      </c>
      <c r="V207">
        <f>HYPERLINK("https://klasma.github.io/Logging_MONSTERAS/klagomål/A 25192-2023.docx")</f>
        <v/>
      </c>
      <c r="W207">
        <f>HYPERLINK("https://klasma.github.io/Logging_MONSTERAS/klagomålsmail/A 25192-2023.docx")</f>
        <v/>
      </c>
      <c r="X207">
        <f>HYPERLINK("https://klasma.github.io/Logging_MONSTERAS/tillsyn/A 25192-2023.docx")</f>
        <v/>
      </c>
      <c r="Y207">
        <f>HYPERLINK("https://klasma.github.io/Logging_MONSTERAS/tillsynsmail/A 25192-2023.docx")</f>
        <v/>
      </c>
    </row>
    <row r="208" ht="15" customHeight="1">
      <c r="A208" t="inlineStr">
        <is>
          <t>A 30705-2023</t>
        </is>
      </c>
      <c r="B208" s="1" t="n">
        <v>45103</v>
      </c>
      <c r="C208" s="1" t="n">
        <v>45175</v>
      </c>
      <c r="D208" t="inlineStr">
        <is>
          <t>KALMAR LÄN</t>
        </is>
      </c>
      <c r="E208" t="inlineStr">
        <is>
          <t>MÖNSTERÅS</t>
        </is>
      </c>
      <c r="G208" t="n">
        <v>1.6</v>
      </c>
      <c r="H208" t="n">
        <v>1</v>
      </c>
      <c r="I208" t="n">
        <v>1</v>
      </c>
      <c r="J208" t="n">
        <v>1</v>
      </c>
      <c r="K208" t="n">
        <v>1</v>
      </c>
      <c r="L208" t="n">
        <v>0</v>
      </c>
      <c r="M208" t="n">
        <v>0</v>
      </c>
      <c r="N208" t="n">
        <v>0</v>
      </c>
      <c r="O208" t="n">
        <v>2</v>
      </c>
      <c r="P208" t="n">
        <v>1</v>
      </c>
      <c r="Q208" t="n">
        <v>3</v>
      </c>
      <c r="R208" s="2" t="inlineStr">
        <is>
          <t>Knärot
Ullticka
Brandticka</t>
        </is>
      </c>
      <c r="S208">
        <f>HYPERLINK("https://klasma.github.io/Logging_MONSTERAS/artfynd/A 30705-2023.xlsx")</f>
        <v/>
      </c>
      <c r="T208">
        <f>HYPERLINK("https://klasma.github.io/Logging_MONSTERAS/kartor/A 30705-2023.png")</f>
        <v/>
      </c>
      <c r="U208">
        <f>HYPERLINK("https://klasma.github.io/Logging_MONSTERAS/knärot/A 30705-2023.png")</f>
        <v/>
      </c>
      <c r="V208">
        <f>HYPERLINK("https://klasma.github.io/Logging_MONSTERAS/klagomål/A 30705-2023.docx")</f>
        <v/>
      </c>
      <c r="W208">
        <f>HYPERLINK("https://klasma.github.io/Logging_MONSTERAS/klagomålsmail/A 30705-2023.docx")</f>
        <v/>
      </c>
      <c r="X208">
        <f>HYPERLINK("https://klasma.github.io/Logging_MONSTERAS/tillsyn/A 30705-2023.docx")</f>
        <v/>
      </c>
      <c r="Y208">
        <f>HYPERLINK("https://klasma.github.io/Logging_MONSTERAS/tillsynsmail/A 30705-2023.docx")</f>
        <v/>
      </c>
    </row>
    <row r="209" ht="15" customHeight="1">
      <c r="A209" t="inlineStr">
        <is>
          <t>A 31781-2023</t>
        </is>
      </c>
      <c r="B209" s="1" t="n">
        <v>45118</v>
      </c>
      <c r="C209" s="1" t="n">
        <v>45175</v>
      </c>
      <c r="D209" t="inlineStr">
        <is>
          <t>KALMAR LÄN</t>
        </is>
      </c>
      <c r="E209" t="inlineStr">
        <is>
          <t>KALMAR</t>
        </is>
      </c>
      <c r="G209" t="n">
        <v>7.5</v>
      </c>
      <c r="H209" t="n">
        <v>1</v>
      </c>
      <c r="I209" t="n">
        <v>1</v>
      </c>
      <c r="J209" t="n">
        <v>1</v>
      </c>
      <c r="K209" t="n">
        <v>1</v>
      </c>
      <c r="L209" t="n">
        <v>0</v>
      </c>
      <c r="M209" t="n">
        <v>0</v>
      </c>
      <c r="N209" t="n">
        <v>0</v>
      </c>
      <c r="O209" t="n">
        <v>2</v>
      </c>
      <c r="P209" t="n">
        <v>1</v>
      </c>
      <c r="Q209" t="n">
        <v>3</v>
      </c>
      <c r="R209" s="2" t="inlineStr">
        <is>
          <t>Läderbagge
Gammelekslav
Grå skärelav</t>
        </is>
      </c>
      <c r="S209">
        <f>HYPERLINK("https://klasma.github.io/Logging_KALMAR/artfynd/A 31781-2023.xlsx")</f>
        <v/>
      </c>
      <c r="T209">
        <f>HYPERLINK("https://klasma.github.io/Logging_KALMAR/kartor/A 31781-2023.png")</f>
        <v/>
      </c>
      <c r="V209">
        <f>HYPERLINK("https://klasma.github.io/Logging_KALMAR/klagomål/A 31781-2023.docx")</f>
        <v/>
      </c>
      <c r="W209">
        <f>HYPERLINK("https://klasma.github.io/Logging_KALMAR/klagomålsmail/A 31781-2023.docx")</f>
        <v/>
      </c>
      <c r="X209">
        <f>HYPERLINK("https://klasma.github.io/Logging_KALMAR/tillsyn/A 31781-2023.docx")</f>
        <v/>
      </c>
      <c r="Y209">
        <f>HYPERLINK("https://klasma.github.io/Logging_KALMAR/tillsynsmail/A 31781-2023.docx")</f>
        <v/>
      </c>
    </row>
    <row r="210" ht="15" customHeight="1">
      <c r="A210" t="inlineStr">
        <is>
          <t>A 35681-2018</t>
        </is>
      </c>
      <c r="B210" s="1" t="n">
        <v>43325</v>
      </c>
      <c r="C210" s="1" t="n">
        <v>45175</v>
      </c>
      <c r="D210" t="inlineStr">
        <is>
          <t>KALMAR LÄN</t>
        </is>
      </c>
      <c r="E210" t="inlineStr">
        <is>
          <t>HÖGSBY</t>
        </is>
      </c>
      <c r="G210" t="n">
        <v>12.9</v>
      </c>
      <c r="H210" t="n">
        <v>2</v>
      </c>
      <c r="I210" t="n">
        <v>0</v>
      </c>
      <c r="J210" t="n">
        <v>2</v>
      </c>
      <c r="K210" t="n">
        <v>0</v>
      </c>
      <c r="L210" t="n">
        <v>0</v>
      </c>
      <c r="M210" t="n">
        <v>0</v>
      </c>
      <c r="N210" t="n">
        <v>0</v>
      </c>
      <c r="O210" t="n">
        <v>2</v>
      </c>
      <c r="P210" t="n">
        <v>0</v>
      </c>
      <c r="Q210" t="n">
        <v>2</v>
      </c>
      <c r="R210" s="2" t="inlineStr">
        <is>
          <t>Gulsparv
Spillkråka</t>
        </is>
      </c>
      <c r="S210">
        <f>HYPERLINK("https://klasma.github.io/Logging_HOGSBY/artfynd/A 35681-2018.xlsx")</f>
        <v/>
      </c>
      <c r="T210">
        <f>HYPERLINK("https://klasma.github.io/Logging_HOGSBY/kartor/A 35681-2018.png")</f>
        <v/>
      </c>
      <c r="V210">
        <f>HYPERLINK("https://klasma.github.io/Logging_HOGSBY/klagomål/A 35681-2018.docx")</f>
        <v/>
      </c>
      <c r="W210">
        <f>HYPERLINK("https://klasma.github.io/Logging_HOGSBY/klagomålsmail/A 35681-2018.docx")</f>
        <v/>
      </c>
      <c r="X210">
        <f>HYPERLINK("https://klasma.github.io/Logging_HOGSBY/tillsyn/A 35681-2018.docx")</f>
        <v/>
      </c>
      <c r="Y210">
        <f>HYPERLINK("https://klasma.github.io/Logging_HOGSBY/tillsynsmail/A 35681-2018.docx")</f>
        <v/>
      </c>
    </row>
    <row r="211" ht="15" customHeight="1">
      <c r="A211" t="inlineStr">
        <is>
          <t>A 35376-2018</t>
        </is>
      </c>
      <c r="B211" s="1" t="n">
        <v>43325</v>
      </c>
      <c r="C211" s="1" t="n">
        <v>45175</v>
      </c>
      <c r="D211" t="inlineStr">
        <is>
          <t>KALMAR LÄN</t>
        </is>
      </c>
      <c r="E211" t="inlineStr">
        <is>
          <t>VÄSTERVIK</t>
        </is>
      </c>
      <c r="F211" t="inlineStr">
        <is>
          <t>Sveaskog</t>
        </is>
      </c>
      <c r="G211" t="n">
        <v>4.2</v>
      </c>
      <c r="H211" t="n">
        <v>2</v>
      </c>
      <c r="I211" t="n">
        <v>0</v>
      </c>
      <c r="J211" t="n">
        <v>2</v>
      </c>
      <c r="K211" t="n">
        <v>0</v>
      </c>
      <c r="L211" t="n">
        <v>0</v>
      </c>
      <c r="M211" t="n">
        <v>0</v>
      </c>
      <c r="N211" t="n">
        <v>0</v>
      </c>
      <c r="O211" t="n">
        <v>2</v>
      </c>
      <c r="P211" t="n">
        <v>0</v>
      </c>
      <c r="Q211" t="n">
        <v>2</v>
      </c>
      <c r="R211" s="2" t="inlineStr">
        <is>
          <t>Barbastell
Nordfladdermus</t>
        </is>
      </c>
      <c r="S211">
        <f>HYPERLINK("https://klasma.github.io/Logging_VASTERVIK/artfynd/A 35376-2018.xlsx")</f>
        <v/>
      </c>
      <c r="T211">
        <f>HYPERLINK("https://klasma.github.io/Logging_VASTERVIK/kartor/A 35376-2018.png")</f>
        <v/>
      </c>
      <c r="V211">
        <f>HYPERLINK("https://klasma.github.io/Logging_VASTERVIK/klagomål/A 35376-2018.docx")</f>
        <v/>
      </c>
      <c r="W211">
        <f>HYPERLINK("https://klasma.github.io/Logging_VASTERVIK/klagomålsmail/A 35376-2018.docx")</f>
        <v/>
      </c>
      <c r="X211">
        <f>HYPERLINK("https://klasma.github.io/Logging_VASTERVIK/tillsyn/A 35376-2018.docx")</f>
        <v/>
      </c>
      <c r="Y211">
        <f>HYPERLINK("https://klasma.github.io/Logging_VASTERVIK/tillsynsmail/A 35376-2018.docx")</f>
        <v/>
      </c>
    </row>
    <row r="212" ht="15" customHeight="1">
      <c r="A212" t="inlineStr">
        <is>
          <t>A 40087-2018</t>
        </is>
      </c>
      <c r="B212" s="1" t="n">
        <v>43343</v>
      </c>
      <c r="C212" s="1" t="n">
        <v>45175</v>
      </c>
      <c r="D212" t="inlineStr">
        <is>
          <t>KALMAR LÄN</t>
        </is>
      </c>
      <c r="E212" t="inlineStr">
        <is>
          <t>HULTSFRED</t>
        </is>
      </c>
      <c r="G212" t="n">
        <v>3</v>
      </c>
      <c r="H212" t="n">
        <v>0</v>
      </c>
      <c r="I212" t="n">
        <v>0</v>
      </c>
      <c r="J212" t="n">
        <v>1</v>
      </c>
      <c r="K212" t="n">
        <v>1</v>
      </c>
      <c r="L212" t="n">
        <v>0</v>
      </c>
      <c r="M212" t="n">
        <v>0</v>
      </c>
      <c r="N212" t="n">
        <v>0</v>
      </c>
      <c r="O212" t="n">
        <v>2</v>
      </c>
      <c r="P212" t="n">
        <v>1</v>
      </c>
      <c r="Q212" t="n">
        <v>2</v>
      </c>
      <c r="R212" s="2" t="inlineStr">
        <is>
          <t>Stoftfibbla
Nubbfibbla</t>
        </is>
      </c>
      <c r="S212">
        <f>HYPERLINK("https://klasma.github.io/Logging_HULTSFRED/artfynd/A 40087-2018.xlsx")</f>
        <v/>
      </c>
      <c r="T212">
        <f>HYPERLINK("https://klasma.github.io/Logging_HULTSFRED/kartor/A 40087-2018.png")</f>
        <v/>
      </c>
      <c r="V212">
        <f>HYPERLINK("https://klasma.github.io/Logging_HULTSFRED/klagomål/A 40087-2018.docx")</f>
        <v/>
      </c>
      <c r="W212">
        <f>HYPERLINK("https://klasma.github.io/Logging_HULTSFRED/klagomålsmail/A 40087-2018.docx")</f>
        <v/>
      </c>
      <c r="X212">
        <f>HYPERLINK("https://klasma.github.io/Logging_HULTSFRED/tillsyn/A 40087-2018.docx")</f>
        <v/>
      </c>
      <c r="Y212">
        <f>HYPERLINK("https://klasma.github.io/Logging_HULTSFRED/tillsynsmail/A 40087-2018.docx")</f>
        <v/>
      </c>
    </row>
    <row r="213" ht="15" customHeight="1">
      <c r="A213" t="inlineStr">
        <is>
          <t>A 57207-2018</t>
        </is>
      </c>
      <c r="B213" s="1" t="n">
        <v>43403</v>
      </c>
      <c r="C213" s="1" t="n">
        <v>45175</v>
      </c>
      <c r="D213" t="inlineStr">
        <is>
          <t>KALMAR LÄN</t>
        </is>
      </c>
      <c r="E213" t="inlineStr">
        <is>
          <t>BORGHOLM</t>
        </is>
      </c>
      <c r="G213" t="n">
        <v>3.6</v>
      </c>
      <c r="H213" t="n">
        <v>1</v>
      </c>
      <c r="I213" t="n">
        <v>1</v>
      </c>
      <c r="J213" t="n">
        <v>0</v>
      </c>
      <c r="K213" t="n">
        <v>1</v>
      </c>
      <c r="L213" t="n">
        <v>0</v>
      </c>
      <c r="M213" t="n">
        <v>0</v>
      </c>
      <c r="N213" t="n">
        <v>0</v>
      </c>
      <c r="O213" t="n">
        <v>1</v>
      </c>
      <c r="P213" t="n">
        <v>1</v>
      </c>
      <c r="Q213" t="n">
        <v>2</v>
      </c>
      <c r="R213" s="2" t="inlineStr">
        <is>
          <t>Luddvicker
Skogsknipprot</t>
        </is>
      </c>
      <c r="S213">
        <f>HYPERLINK("https://klasma.github.io/Logging_BORGHOLM/artfynd/A 57207-2018.xlsx")</f>
        <v/>
      </c>
      <c r="T213">
        <f>HYPERLINK("https://klasma.github.io/Logging_BORGHOLM/kartor/A 57207-2018.png")</f>
        <v/>
      </c>
      <c r="V213">
        <f>HYPERLINK("https://klasma.github.io/Logging_BORGHOLM/klagomål/A 57207-2018.docx")</f>
        <v/>
      </c>
      <c r="W213">
        <f>HYPERLINK("https://klasma.github.io/Logging_BORGHOLM/klagomålsmail/A 57207-2018.docx")</f>
        <v/>
      </c>
      <c r="X213">
        <f>HYPERLINK("https://klasma.github.io/Logging_BORGHOLM/tillsyn/A 57207-2018.docx")</f>
        <v/>
      </c>
      <c r="Y213">
        <f>HYPERLINK("https://klasma.github.io/Logging_BORGHOLM/tillsynsmail/A 57207-2018.docx")</f>
        <v/>
      </c>
    </row>
    <row r="214" ht="15" customHeight="1">
      <c r="A214" t="inlineStr">
        <is>
          <t>A 60296-2018</t>
        </is>
      </c>
      <c r="B214" s="1" t="n">
        <v>43405</v>
      </c>
      <c r="C214" s="1" t="n">
        <v>45175</v>
      </c>
      <c r="D214" t="inlineStr">
        <is>
          <t>KALMAR LÄN</t>
        </is>
      </c>
      <c r="E214" t="inlineStr">
        <is>
          <t>HULTSFRED</t>
        </is>
      </c>
      <c r="G214" t="n">
        <v>1.5</v>
      </c>
      <c r="H214" t="n">
        <v>0</v>
      </c>
      <c r="I214" t="n">
        <v>2</v>
      </c>
      <c r="J214" t="n">
        <v>0</v>
      </c>
      <c r="K214" t="n">
        <v>0</v>
      </c>
      <c r="L214" t="n">
        <v>0</v>
      </c>
      <c r="M214" t="n">
        <v>0</v>
      </c>
      <c r="N214" t="n">
        <v>0</v>
      </c>
      <c r="O214" t="n">
        <v>0</v>
      </c>
      <c r="P214" t="n">
        <v>0</v>
      </c>
      <c r="Q214" t="n">
        <v>2</v>
      </c>
      <c r="R214" s="2" t="inlineStr">
        <is>
          <t>Dvärgkällmossa
Källmossa</t>
        </is>
      </c>
      <c r="S214">
        <f>HYPERLINK("https://klasma.github.io/Logging_HULTSFRED/artfynd/A 60296-2018.xlsx")</f>
        <v/>
      </c>
      <c r="T214">
        <f>HYPERLINK("https://klasma.github.io/Logging_HULTSFRED/kartor/A 60296-2018.png")</f>
        <v/>
      </c>
      <c r="V214">
        <f>HYPERLINK("https://klasma.github.io/Logging_HULTSFRED/klagomål/A 60296-2018.docx")</f>
        <v/>
      </c>
      <c r="W214">
        <f>HYPERLINK("https://klasma.github.io/Logging_HULTSFRED/klagomålsmail/A 60296-2018.docx")</f>
        <v/>
      </c>
      <c r="X214">
        <f>HYPERLINK("https://klasma.github.io/Logging_HULTSFRED/tillsyn/A 60296-2018.docx")</f>
        <v/>
      </c>
      <c r="Y214">
        <f>HYPERLINK("https://klasma.github.io/Logging_HULTSFRED/tillsynsmail/A 60296-2018.docx")</f>
        <v/>
      </c>
    </row>
    <row r="215" ht="15" customHeight="1">
      <c r="A215" t="inlineStr">
        <is>
          <t>A 61489-2018</t>
        </is>
      </c>
      <c r="B215" s="1" t="n">
        <v>43413</v>
      </c>
      <c r="C215" s="1" t="n">
        <v>45175</v>
      </c>
      <c r="D215" t="inlineStr">
        <is>
          <t>KALMAR LÄN</t>
        </is>
      </c>
      <c r="E215" t="inlineStr">
        <is>
          <t>EMMABODA</t>
        </is>
      </c>
      <c r="G215" t="n">
        <v>2.3</v>
      </c>
      <c r="H215" t="n">
        <v>0</v>
      </c>
      <c r="I215" t="n">
        <v>0</v>
      </c>
      <c r="J215" t="n">
        <v>1</v>
      </c>
      <c r="K215" t="n">
        <v>1</v>
      </c>
      <c r="L215" t="n">
        <v>0</v>
      </c>
      <c r="M215" t="n">
        <v>0</v>
      </c>
      <c r="N215" t="n">
        <v>0</v>
      </c>
      <c r="O215" t="n">
        <v>2</v>
      </c>
      <c r="P215" t="n">
        <v>1</v>
      </c>
      <c r="Q215" t="n">
        <v>2</v>
      </c>
      <c r="R215" s="2" t="inlineStr">
        <is>
          <t>Åkerrättika
Linmåra/småsnärjmåra</t>
        </is>
      </c>
      <c r="S215">
        <f>HYPERLINK("https://klasma.github.io/Logging_EMMABODA/artfynd/A 61489-2018.xlsx")</f>
        <v/>
      </c>
      <c r="T215">
        <f>HYPERLINK("https://klasma.github.io/Logging_EMMABODA/kartor/A 61489-2018.png")</f>
        <v/>
      </c>
      <c r="V215">
        <f>HYPERLINK("https://klasma.github.io/Logging_EMMABODA/klagomål/A 61489-2018.docx")</f>
        <v/>
      </c>
      <c r="W215">
        <f>HYPERLINK("https://klasma.github.io/Logging_EMMABODA/klagomålsmail/A 61489-2018.docx")</f>
        <v/>
      </c>
      <c r="X215">
        <f>HYPERLINK("https://klasma.github.io/Logging_EMMABODA/tillsyn/A 61489-2018.docx")</f>
        <v/>
      </c>
      <c r="Y215">
        <f>HYPERLINK("https://klasma.github.io/Logging_EMMABODA/tillsynsmail/A 61489-2018.docx")</f>
        <v/>
      </c>
    </row>
    <row r="216" ht="15" customHeight="1">
      <c r="A216" t="inlineStr">
        <is>
          <t>A 63698-2018</t>
        </is>
      </c>
      <c r="B216" s="1" t="n">
        <v>43417</v>
      </c>
      <c r="C216" s="1" t="n">
        <v>45175</v>
      </c>
      <c r="D216" t="inlineStr">
        <is>
          <t>KALMAR LÄN</t>
        </is>
      </c>
      <c r="E216" t="inlineStr">
        <is>
          <t>VIMMERBY</t>
        </is>
      </c>
      <c r="G216" t="n">
        <v>8</v>
      </c>
      <c r="H216" t="n">
        <v>1</v>
      </c>
      <c r="I216" t="n">
        <v>0</v>
      </c>
      <c r="J216" t="n">
        <v>1</v>
      </c>
      <c r="K216" t="n">
        <v>0</v>
      </c>
      <c r="L216" t="n">
        <v>0</v>
      </c>
      <c r="M216" t="n">
        <v>0</v>
      </c>
      <c r="N216" t="n">
        <v>0</v>
      </c>
      <c r="O216" t="n">
        <v>1</v>
      </c>
      <c r="P216" t="n">
        <v>0</v>
      </c>
      <c r="Q216" t="n">
        <v>2</v>
      </c>
      <c r="R216" s="2" t="inlineStr">
        <is>
          <t>Solvända
Gullviva</t>
        </is>
      </c>
      <c r="S216">
        <f>HYPERLINK("https://klasma.github.io/Logging_VIMMERBY/artfynd/A 63698-2018.xlsx")</f>
        <v/>
      </c>
      <c r="T216">
        <f>HYPERLINK("https://klasma.github.io/Logging_VIMMERBY/kartor/A 63698-2018.png")</f>
        <v/>
      </c>
      <c r="V216">
        <f>HYPERLINK("https://klasma.github.io/Logging_VIMMERBY/klagomål/A 63698-2018.docx")</f>
        <v/>
      </c>
      <c r="W216">
        <f>HYPERLINK("https://klasma.github.io/Logging_VIMMERBY/klagomålsmail/A 63698-2018.docx")</f>
        <v/>
      </c>
      <c r="X216">
        <f>HYPERLINK("https://klasma.github.io/Logging_VIMMERBY/tillsyn/A 63698-2018.docx")</f>
        <v/>
      </c>
      <c r="Y216">
        <f>HYPERLINK("https://klasma.github.io/Logging_VIMMERBY/tillsynsmail/A 63698-2018.docx")</f>
        <v/>
      </c>
    </row>
    <row r="217" ht="15" customHeight="1">
      <c r="A217" t="inlineStr">
        <is>
          <t>A 63122-2018</t>
        </is>
      </c>
      <c r="B217" s="1" t="n">
        <v>43418</v>
      </c>
      <c r="C217" s="1" t="n">
        <v>45175</v>
      </c>
      <c r="D217" t="inlineStr">
        <is>
          <t>KALMAR LÄN</t>
        </is>
      </c>
      <c r="E217" t="inlineStr">
        <is>
          <t>HULTSFRED</t>
        </is>
      </c>
      <c r="G217" t="n">
        <v>3.1</v>
      </c>
      <c r="H217" t="n">
        <v>2</v>
      </c>
      <c r="I217" t="n">
        <v>0</v>
      </c>
      <c r="J217" t="n">
        <v>0</v>
      </c>
      <c r="K217" t="n">
        <v>0</v>
      </c>
      <c r="L217" t="n">
        <v>0</v>
      </c>
      <c r="M217" t="n">
        <v>0</v>
      </c>
      <c r="N217" t="n">
        <v>0</v>
      </c>
      <c r="O217" t="n">
        <v>0</v>
      </c>
      <c r="P217" t="n">
        <v>0</v>
      </c>
      <c r="Q217" t="n">
        <v>2</v>
      </c>
      <c r="R217" s="2" t="inlineStr">
        <is>
          <t>Lopplummer
Mattlummer</t>
        </is>
      </c>
      <c r="S217">
        <f>HYPERLINK("https://klasma.github.io/Logging_HULTSFRED/artfynd/A 63122-2018.xlsx")</f>
        <v/>
      </c>
      <c r="T217">
        <f>HYPERLINK("https://klasma.github.io/Logging_HULTSFRED/kartor/A 63122-2018.png")</f>
        <v/>
      </c>
      <c r="V217">
        <f>HYPERLINK("https://klasma.github.io/Logging_HULTSFRED/klagomål/A 63122-2018.docx")</f>
        <v/>
      </c>
      <c r="W217">
        <f>HYPERLINK("https://klasma.github.io/Logging_HULTSFRED/klagomålsmail/A 63122-2018.docx")</f>
        <v/>
      </c>
      <c r="X217">
        <f>HYPERLINK("https://klasma.github.io/Logging_HULTSFRED/tillsyn/A 63122-2018.docx")</f>
        <v/>
      </c>
      <c r="Y217">
        <f>HYPERLINK("https://klasma.github.io/Logging_HULTSFRED/tillsynsmail/A 63122-2018.docx")</f>
        <v/>
      </c>
    </row>
    <row r="218" ht="15" customHeight="1">
      <c r="A218" t="inlineStr">
        <is>
          <t>A 64053-2018</t>
        </is>
      </c>
      <c r="B218" s="1" t="n">
        <v>43418</v>
      </c>
      <c r="C218" s="1" t="n">
        <v>45175</v>
      </c>
      <c r="D218" t="inlineStr">
        <is>
          <t>KALMAR LÄN</t>
        </is>
      </c>
      <c r="E218" t="inlineStr">
        <is>
          <t>VÄSTERVIK</t>
        </is>
      </c>
      <c r="G218" t="n">
        <v>3</v>
      </c>
      <c r="H218" t="n">
        <v>0</v>
      </c>
      <c r="I218" t="n">
        <v>1</v>
      </c>
      <c r="J218" t="n">
        <v>1</v>
      </c>
      <c r="K218" t="n">
        <v>0</v>
      </c>
      <c r="L218" t="n">
        <v>0</v>
      </c>
      <c r="M218" t="n">
        <v>0</v>
      </c>
      <c r="N218" t="n">
        <v>0</v>
      </c>
      <c r="O218" t="n">
        <v>1</v>
      </c>
      <c r="P218" t="n">
        <v>0</v>
      </c>
      <c r="Q218" t="n">
        <v>2</v>
      </c>
      <c r="R218" s="2" t="inlineStr">
        <is>
          <t>Tallticka
Blåmossa</t>
        </is>
      </c>
      <c r="S218">
        <f>HYPERLINK("https://klasma.github.io/Logging_VASTERVIK/artfynd/A 64053-2018.xlsx")</f>
        <v/>
      </c>
      <c r="T218">
        <f>HYPERLINK("https://klasma.github.io/Logging_VASTERVIK/kartor/A 64053-2018.png")</f>
        <v/>
      </c>
      <c r="V218">
        <f>HYPERLINK("https://klasma.github.io/Logging_VASTERVIK/klagomål/A 64053-2018.docx")</f>
        <v/>
      </c>
      <c r="W218">
        <f>HYPERLINK("https://klasma.github.io/Logging_VASTERVIK/klagomålsmail/A 64053-2018.docx")</f>
        <v/>
      </c>
      <c r="X218">
        <f>HYPERLINK("https://klasma.github.io/Logging_VASTERVIK/tillsyn/A 64053-2018.docx")</f>
        <v/>
      </c>
      <c r="Y218">
        <f>HYPERLINK("https://klasma.github.io/Logging_VASTERVIK/tillsynsmail/A 64053-2018.docx")</f>
        <v/>
      </c>
    </row>
    <row r="219" ht="15" customHeight="1">
      <c r="A219" t="inlineStr">
        <is>
          <t>A 59943-2018</t>
        </is>
      </c>
      <c r="B219" s="1" t="n">
        <v>43419</v>
      </c>
      <c r="C219" s="1" t="n">
        <v>45175</v>
      </c>
      <c r="D219" t="inlineStr">
        <is>
          <t>KALMAR LÄN</t>
        </is>
      </c>
      <c r="E219" t="inlineStr">
        <is>
          <t>HULTSFRED</t>
        </is>
      </c>
      <c r="G219" t="n">
        <v>11.2</v>
      </c>
      <c r="H219" t="n">
        <v>1</v>
      </c>
      <c r="I219" t="n">
        <v>1</v>
      </c>
      <c r="J219" t="n">
        <v>0</v>
      </c>
      <c r="K219" t="n">
        <v>0</v>
      </c>
      <c r="L219" t="n">
        <v>1</v>
      </c>
      <c r="M219" t="n">
        <v>0</v>
      </c>
      <c r="N219" t="n">
        <v>0</v>
      </c>
      <c r="O219" t="n">
        <v>1</v>
      </c>
      <c r="P219" t="n">
        <v>1</v>
      </c>
      <c r="Q219" t="n">
        <v>2</v>
      </c>
      <c r="R219" s="2" t="inlineStr">
        <is>
          <t>Ryl
Plattlummer</t>
        </is>
      </c>
      <c r="S219">
        <f>HYPERLINK("https://klasma.github.io/Logging_HULTSFRED/artfynd/A 59943-2018.xlsx")</f>
        <v/>
      </c>
      <c r="T219">
        <f>HYPERLINK("https://klasma.github.io/Logging_HULTSFRED/kartor/A 59943-2018.png")</f>
        <v/>
      </c>
      <c r="V219">
        <f>HYPERLINK("https://klasma.github.io/Logging_HULTSFRED/klagomål/A 59943-2018.docx")</f>
        <v/>
      </c>
      <c r="W219">
        <f>HYPERLINK("https://klasma.github.io/Logging_HULTSFRED/klagomålsmail/A 59943-2018.docx")</f>
        <v/>
      </c>
      <c r="X219">
        <f>HYPERLINK("https://klasma.github.io/Logging_HULTSFRED/tillsyn/A 59943-2018.docx")</f>
        <v/>
      </c>
      <c r="Y219">
        <f>HYPERLINK("https://klasma.github.io/Logging_HULTSFRED/tillsynsmail/A 59943-2018.docx")</f>
        <v/>
      </c>
    </row>
    <row r="220" ht="15" customHeight="1">
      <c r="A220" t="inlineStr">
        <is>
          <t>A 62254-2018</t>
        </is>
      </c>
      <c r="B220" s="1" t="n">
        <v>43425</v>
      </c>
      <c r="C220" s="1" t="n">
        <v>45175</v>
      </c>
      <c r="D220" t="inlineStr">
        <is>
          <t>KALMAR LÄN</t>
        </is>
      </c>
      <c r="E220" t="inlineStr">
        <is>
          <t>MÖNSTERÅS</t>
        </is>
      </c>
      <c r="G220" t="n">
        <v>3</v>
      </c>
      <c r="H220" t="n">
        <v>1</v>
      </c>
      <c r="I220" t="n">
        <v>0</v>
      </c>
      <c r="J220" t="n">
        <v>1</v>
      </c>
      <c r="K220" t="n">
        <v>1</v>
      </c>
      <c r="L220" t="n">
        <v>0</v>
      </c>
      <c r="M220" t="n">
        <v>0</v>
      </c>
      <c r="N220" t="n">
        <v>0</v>
      </c>
      <c r="O220" t="n">
        <v>2</v>
      </c>
      <c r="P220" t="n">
        <v>1</v>
      </c>
      <c r="Q220" t="n">
        <v>2</v>
      </c>
      <c r="R220" s="2" t="inlineStr">
        <is>
          <t>Knärot
Gullklöver</t>
        </is>
      </c>
      <c r="S220">
        <f>HYPERLINK("https://klasma.github.io/Logging_MONSTERAS/artfynd/A 62254-2018.xlsx")</f>
        <v/>
      </c>
      <c r="T220">
        <f>HYPERLINK("https://klasma.github.io/Logging_MONSTERAS/kartor/A 62254-2018.png")</f>
        <v/>
      </c>
      <c r="U220">
        <f>HYPERLINK("https://klasma.github.io/Logging_MONSTERAS/knärot/A 62254-2018.png")</f>
        <v/>
      </c>
      <c r="V220">
        <f>HYPERLINK("https://klasma.github.io/Logging_MONSTERAS/klagomål/A 62254-2018.docx")</f>
        <v/>
      </c>
      <c r="W220">
        <f>HYPERLINK("https://klasma.github.io/Logging_MONSTERAS/klagomålsmail/A 62254-2018.docx")</f>
        <v/>
      </c>
      <c r="X220">
        <f>HYPERLINK("https://klasma.github.io/Logging_MONSTERAS/tillsyn/A 62254-2018.docx")</f>
        <v/>
      </c>
      <c r="Y220">
        <f>HYPERLINK("https://klasma.github.io/Logging_MONSTERAS/tillsynsmail/A 62254-2018.docx")</f>
        <v/>
      </c>
    </row>
    <row r="221" ht="15" customHeight="1">
      <c r="A221" t="inlineStr">
        <is>
          <t>A 66214-2018</t>
        </is>
      </c>
      <c r="B221" s="1" t="n">
        <v>43434</v>
      </c>
      <c r="C221" s="1" t="n">
        <v>45175</v>
      </c>
      <c r="D221" t="inlineStr">
        <is>
          <t>KALMAR LÄN</t>
        </is>
      </c>
      <c r="E221" t="inlineStr">
        <is>
          <t>TORSÅS</t>
        </is>
      </c>
      <c r="G221" t="n">
        <v>5</v>
      </c>
      <c r="H221" t="n">
        <v>2</v>
      </c>
      <c r="I221" t="n">
        <v>1</v>
      </c>
      <c r="J221" t="n">
        <v>1</v>
      </c>
      <c r="K221" t="n">
        <v>0</v>
      </c>
      <c r="L221" t="n">
        <v>0</v>
      </c>
      <c r="M221" t="n">
        <v>0</v>
      </c>
      <c r="N221" t="n">
        <v>0</v>
      </c>
      <c r="O221" t="n">
        <v>1</v>
      </c>
      <c r="P221" t="n">
        <v>0</v>
      </c>
      <c r="Q221" t="n">
        <v>2</v>
      </c>
      <c r="R221" s="2" t="inlineStr">
        <is>
          <t>Långbensgroda
Korallrot</t>
        </is>
      </c>
      <c r="S221">
        <f>HYPERLINK("https://klasma.github.io/Logging_TORSAS/artfynd/A 66214-2018.xlsx")</f>
        <v/>
      </c>
      <c r="T221">
        <f>HYPERLINK("https://klasma.github.io/Logging_TORSAS/kartor/A 66214-2018.png")</f>
        <v/>
      </c>
      <c r="V221">
        <f>HYPERLINK("https://klasma.github.io/Logging_TORSAS/klagomål/A 66214-2018.docx")</f>
        <v/>
      </c>
      <c r="W221">
        <f>HYPERLINK("https://klasma.github.io/Logging_TORSAS/klagomålsmail/A 66214-2018.docx")</f>
        <v/>
      </c>
      <c r="X221">
        <f>HYPERLINK("https://klasma.github.io/Logging_TORSAS/tillsyn/A 66214-2018.docx")</f>
        <v/>
      </c>
      <c r="Y221">
        <f>HYPERLINK("https://klasma.github.io/Logging_TORSAS/tillsynsmail/A 66214-2018.docx")</f>
        <v/>
      </c>
    </row>
    <row r="222" ht="15" customHeight="1">
      <c r="A222" t="inlineStr">
        <is>
          <t>A 70416-2018</t>
        </is>
      </c>
      <c r="B222" s="1" t="n">
        <v>43447</v>
      </c>
      <c r="C222" s="1" t="n">
        <v>45175</v>
      </c>
      <c r="D222" t="inlineStr">
        <is>
          <t>KALMAR LÄN</t>
        </is>
      </c>
      <c r="E222" t="inlineStr">
        <is>
          <t>VIMMERBY</t>
        </is>
      </c>
      <c r="G222" t="n">
        <v>2.3</v>
      </c>
      <c r="H222" t="n">
        <v>1</v>
      </c>
      <c r="I222" t="n">
        <v>0</v>
      </c>
      <c r="J222" t="n">
        <v>1</v>
      </c>
      <c r="K222" t="n">
        <v>0</v>
      </c>
      <c r="L222" t="n">
        <v>0</v>
      </c>
      <c r="M222" t="n">
        <v>0</v>
      </c>
      <c r="N222" t="n">
        <v>0</v>
      </c>
      <c r="O222" t="n">
        <v>1</v>
      </c>
      <c r="P222" t="n">
        <v>0</v>
      </c>
      <c r="Q222" t="n">
        <v>2</v>
      </c>
      <c r="R222" s="2" t="inlineStr">
        <is>
          <t>Sommarfibbla
Fläcknycklar</t>
        </is>
      </c>
      <c r="S222">
        <f>HYPERLINK("https://klasma.github.io/Logging_VIMMERBY/artfynd/A 70416-2018.xlsx")</f>
        <v/>
      </c>
      <c r="T222">
        <f>HYPERLINK("https://klasma.github.io/Logging_VIMMERBY/kartor/A 70416-2018.png")</f>
        <v/>
      </c>
      <c r="V222">
        <f>HYPERLINK("https://klasma.github.io/Logging_VIMMERBY/klagomål/A 70416-2018.docx")</f>
        <v/>
      </c>
      <c r="W222">
        <f>HYPERLINK("https://klasma.github.io/Logging_VIMMERBY/klagomålsmail/A 70416-2018.docx")</f>
        <v/>
      </c>
      <c r="X222">
        <f>HYPERLINK("https://klasma.github.io/Logging_VIMMERBY/tillsyn/A 70416-2018.docx")</f>
        <v/>
      </c>
      <c r="Y222">
        <f>HYPERLINK("https://klasma.github.io/Logging_VIMMERBY/tillsynsmail/A 70416-2018.docx")</f>
        <v/>
      </c>
    </row>
    <row r="223" ht="15" customHeight="1">
      <c r="A223" t="inlineStr">
        <is>
          <t>A 70951-2018</t>
        </is>
      </c>
      <c r="B223" s="1" t="n">
        <v>43448</v>
      </c>
      <c r="C223" s="1" t="n">
        <v>45175</v>
      </c>
      <c r="D223" t="inlineStr">
        <is>
          <t>KALMAR LÄN</t>
        </is>
      </c>
      <c r="E223" t="inlineStr">
        <is>
          <t>KALMAR</t>
        </is>
      </c>
      <c r="G223" t="n">
        <v>6</v>
      </c>
      <c r="H223" t="n">
        <v>1</v>
      </c>
      <c r="I223" t="n">
        <v>1</v>
      </c>
      <c r="J223" t="n">
        <v>0</v>
      </c>
      <c r="K223" t="n">
        <v>0</v>
      </c>
      <c r="L223" t="n">
        <v>0</v>
      </c>
      <c r="M223" t="n">
        <v>0</v>
      </c>
      <c r="N223" t="n">
        <v>0</v>
      </c>
      <c r="O223" t="n">
        <v>0</v>
      </c>
      <c r="P223" t="n">
        <v>0</v>
      </c>
      <c r="Q223" t="n">
        <v>2</v>
      </c>
      <c r="R223" s="2" t="inlineStr">
        <is>
          <t>Sårläka
Blåsippa</t>
        </is>
      </c>
      <c r="S223">
        <f>HYPERLINK("https://klasma.github.io/Logging_KALMAR/artfynd/A 70951-2018.xlsx")</f>
        <v/>
      </c>
      <c r="T223">
        <f>HYPERLINK("https://klasma.github.io/Logging_KALMAR/kartor/A 70951-2018.png")</f>
        <v/>
      </c>
      <c r="V223">
        <f>HYPERLINK("https://klasma.github.io/Logging_KALMAR/klagomål/A 70951-2018.docx")</f>
        <v/>
      </c>
      <c r="W223">
        <f>HYPERLINK("https://klasma.github.io/Logging_KALMAR/klagomålsmail/A 70951-2018.docx")</f>
        <v/>
      </c>
      <c r="X223">
        <f>HYPERLINK("https://klasma.github.io/Logging_KALMAR/tillsyn/A 70951-2018.docx")</f>
        <v/>
      </c>
      <c r="Y223">
        <f>HYPERLINK("https://klasma.github.io/Logging_KALMAR/tillsynsmail/A 70951-2018.docx")</f>
        <v/>
      </c>
    </row>
    <row r="224" ht="15" customHeight="1">
      <c r="A224" t="inlineStr">
        <is>
          <t>A 70270-2018</t>
        </is>
      </c>
      <c r="B224" s="1" t="n">
        <v>43449</v>
      </c>
      <c r="C224" s="1" t="n">
        <v>45175</v>
      </c>
      <c r="D224" t="inlineStr">
        <is>
          <t>KALMAR LÄN</t>
        </is>
      </c>
      <c r="E224" t="inlineStr">
        <is>
          <t>NYBRO</t>
        </is>
      </c>
      <c r="G224" t="n">
        <v>2.7</v>
      </c>
      <c r="H224" t="n">
        <v>0</v>
      </c>
      <c r="I224" t="n">
        <v>0</v>
      </c>
      <c r="J224" t="n">
        <v>2</v>
      </c>
      <c r="K224" t="n">
        <v>0</v>
      </c>
      <c r="L224" t="n">
        <v>0</v>
      </c>
      <c r="M224" t="n">
        <v>0</v>
      </c>
      <c r="N224" t="n">
        <v>0</v>
      </c>
      <c r="O224" t="n">
        <v>2</v>
      </c>
      <c r="P224" t="n">
        <v>0</v>
      </c>
      <c r="Q224" t="n">
        <v>2</v>
      </c>
      <c r="R224" s="2" t="inlineStr">
        <is>
          <t>Mindre träfjäril
Tallticka</t>
        </is>
      </c>
      <c r="S224">
        <f>HYPERLINK("https://klasma.github.io/Logging_NYBRO/artfynd/A 70270-2018.xlsx")</f>
        <v/>
      </c>
      <c r="T224">
        <f>HYPERLINK("https://klasma.github.io/Logging_NYBRO/kartor/A 70270-2018.png")</f>
        <v/>
      </c>
      <c r="V224">
        <f>HYPERLINK("https://klasma.github.io/Logging_NYBRO/klagomål/A 70270-2018.docx")</f>
        <v/>
      </c>
      <c r="W224">
        <f>HYPERLINK("https://klasma.github.io/Logging_NYBRO/klagomålsmail/A 70270-2018.docx")</f>
        <v/>
      </c>
      <c r="X224">
        <f>HYPERLINK("https://klasma.github.io/Logging_NYBRO/tillsyn/A 70270-2018.docx")</f>
        <v/>
      </c>
      <c r="Y224">
        <f>HYPERLINK("https://klasma.github.io/Logging_NYBRO/tillsynsmail/A 70270-2018.docx")</f>
        <v/>
      </c>
    </row>
    <row r="225" ht="15" customHeight="1">
      <c r="A225" t="inlineStr">
        <is>
          <t>A 71214-2018</t>
        </is>
      </c>
      <c r="B225" s="1" t="n">
        <v>43453</v>
      </c>
      <c r="C225" s="1" t="n">
        <v>45175</v>
      </c>
      <c r="D225" t="inlineStr">
        <is>
          <t>KALMAR LÄN</t>
        </is>
      </c>
      <c r="E225" t="inlineStr">
        <is>
          <t>VIMMERBY</t>
        </is>
      </c>
      <c r="G225" t="n">
        <v>3.7</v>
      </c>
      <c r="H225" t="n">
        <v>1</v>
      </c>
      <c r="I225" t="n">
        <v>1</v>
      </c>
      <c r="J225" t="n">
        <v>0</v>
      </c>
      <c r="K225" t="n">
        <v>0</v>
      </c>
      <c r="L225" t="n">
        <v>0</v>
      </c>
      <c r="M225" t="n">
        <v>0</v>
      </c>
      <c r="N225" t="n">
        <v>0</v>
      </c>
      <c r="O225" t="n">
        <v>0</v>
      </c>
      <c r="P225" t="n">
        <v>0</v>
      </c>
      <c r="Q225" t="n">
        <v>2</v>
      </c>
      <c r="R225" s="2" t="inlineStr">
        <is>
          <t>Svavelriska
Revlummer</t>
        </is>
      </c>
      <c r="S225">
        <f>HYPERLINK("https://klasma.github.io/Logging_VIMMERBY/artfynd/A 71214-2018.xlsx")</f>
        <v/>
      </c>
      <c r="T225">
        <f>HYPERLINK("https://klasma.github.io/Logging_VIMMERBY/kartor/A 71214-2018.png")</f>
        <v/>
      </c>
      <c r="V225">
        <f>HYPERLINK("https://klasma.github.io/Logging_VIMMERBY/klagomål/A 71214-2018.docx")</f>
        <v/>
      </c>
      <c r="W225">
        <f>HYPERLINK("https://klasma.github.io/Logging_VIMMERBY/klagomålsmail/A 71214-2018.docx")</f>
        <v/>
      </c>
      <c r="X225">
        <f>HYPERLINK("https://klasma.github.io/Logging_VIMMERBY/tillsyn/A 71214-2018.docx")</f>
        <v/>
      </c>
      <c r="Y225">
        <f>HYPERLINK("https://klasma.github.io/Logging_VIMMERBY/tillsynsmail/A 71214-2018.docx")</f>
        <v/>
      </c>
    </row>
    <row r="226" ht="15" customHeight="1">
      <c r="A226" t="inlineStr">
        <is>
          <t>A 5642-2019</t>
        </is>
      </c>
      <c r="B226" s="1" t="n">
        <v>43489</v>
      </c>
      <c r="C226" s="1" t="n">
        <v>45175</v>
      </c>
      <c r="D226" t="inlineStr">
        <is>
          <t>KALMAR LÄN</t>
        </is>
      </c>
      <c r="E226" t="inlineStr">
        <is>
          <t>HULTSFRED</t>
        </is>
      </c>
      <c r="G226" t="n">
        <v>3.9</v>
      </c>
      <c r="H226" t="n">
        <v>2</v>
      </c>
      <c r="I226" t="n">
        <v>0</v>
      </c>
      <c r="J226" t="n">
        <v>1</v>
      </c>
      <c r="K226" t="n">
        <v>0</v>
      </c>
      <c r="L226" t="n">
        <v>1</v>
      </c>
      <c r="M226" t="n">
        <v>0</v>
      </c>
      <c r="N226" t="n">
        <v>0</v>
      </c>
      <c r="O226" t="n">
        <v>2</v>
      </c>
      <c r="P226" t="n">
        <v>1</v>
      </c>
      <c r="Q226" t="n">
        <v>2</v>
      </c>
      <c r="R226" s="2" t="inlineStr">
        <is>
          <t>Mosippa
Spillkråka</t>
        </is>
      </c>
      <c r="S226">
        <f>HYPERLINK("https://klasma.github.io/Logging_HULTSFRED/artfynd/A 5642-2019.xlsx")</f>
        <v/>
      </c>
      <c r="T226">
        <f>HYPERLINK("https://klasma.github.io/Logging_HULTSFRED/kartor/A 5642-2019.png")</f>
        <v/>
      </c>
      <c r="V226">
        <f>HYPERLINK("https://klasma.github.io/Logging_HULTSFRED/klagomål/A 5642-2019.docx")</f>
        <v/>
      </c>
      <c r="W226">
        <f>HYPERLINK("https://klasma.github.io/Logging_HULTSFRED/klagomålsmail/A 5642-2019.docx")</f>
        <v/>
      </c>
      <c r="X226">
        <f>HYPERLINK("https://klasma.github.io/Logging_HULTSFRED/tillsyn/A 5642-2019.docx")</f>
        <v/>
      </c>
      <c r="Y226">
        <f>HYPERLINK("https://klasma.github.io/Logging_HULTSFRED/tillsynsmail/A 5642-2019.docx")</f>
        <v/>
      </c>
    </row>
    <row r="227" ht="15" customHeight="1">
      <c r="A227" t="inlineStr">
        <is>
          <t>A 7907-2019</t>
        </is>
      </c>
      <c r="B227" s="1" t="n">
        <v>43500</v>
      </c>
      <c r="C227" s="1" t="n">
        <v>45175</v>
      </c>
      <c r="D227" t="inlineStr">
        <is>
          <t>KALMAR LÄN</t>
        </is>
      </c>
      <c r="E227" t="inlineStr">
        <is>
          <t>VÄSTERVIK</t>
        </is>
      </c>
      <c r="G227" t="n">
        <v>3</v>
      </c>
      <c r="H227" t="n">
        <v>0</v>
      </c>
      <c r="I227" t="n">
        <v>2</v>
      </c>
      <c r="J227" t="n">
        <v>0</v>
      </c>
      <c r="K227" t="n">
        <v>0</v>
      </c>
      <c r="L227" t="n">
        <v>0</v>
      </c>
      <c r="M227" t="n">
        <v>0</v>
      </c>
      <c r="N227" t="n">
        <v>0</v>
      </c>
      <c r="O227" t="n">
        <v>0</v>
      </c>
      <c r="P227" t="n">
        <v>0</v>
      </c>
      <c r="Q227" t="n">
        <v>2</v>
      </c>
      <c r="R227" s="2" t="inlineStr">
        <is>
          <t>Grov fjädermossa
Platt fjädermossa</t>
        </is>
      </c>
      <c r="S227">
        <f>HYPERLINK("https://klasma.github.io/Logging_VASTERVIK/artfynd/A 7907-2019.xlsx")</f>
        <v/>
      </c>
      <c r="T227">
        <f>HYPERLINK("https://klasma.github.io/Logging_VASTERVIK/kartor/A 7907-2019.png")</f>
        <v/>
      </c>
      <c r="V227">
        <f>HYPERLINK("https://klasma.github.io/Logging_VASTERVIK/klagomål/A 7907-2019.docx")</f>
        <v/>
      </c>
      <c r="W227">
        <f>HYPERLINK("https://klasma.github.io/Logging_VASTERVIK/klagomålsmail/A 7907-2019.docx")</f>
        <v/>
      </c>
      <c r="X227">
        <f>HYPERLINK("https://klasma.github.io/Logging_VASTERVIK/tillsyn/A 7907-2019.docx")</f>
        <v/>
      </c>
      <c r="Y227">
        <f>HYPERLINK("https://klasma.github.io/Logging_VASTERVIK/tillsynsmail/A 7907-2019.docx")</f>
        <v/>
      </c>
    </row>
    <row r="228" ht="15" customHeight="1">
      <c r="A228" t="inlineStr">
        <is>
          <t>A 13588-2019</t>
        </is>
      </c>
      <c r="B228" s="1" t="n">
        <v>43530</v>
      </c>
      <c r="C228" s="1" t="n">
        <v>45175</v>
      </c>
      <c r="D228" t="inlineStr">
        <is>
          <t>KALMAR LÄN</t>
        </is>
      </c>
      <c r="E228" t="inlineStr">
        <is>
          <t>VIMMERBY</t>
        </is>
      </c>
      <c r="G228" t="n">
        <v>9.6</v>
      </c>
      <c r="H228" t="n">
        <v>1</v>
      </c>
      <c r="I228" t="n">
        <v>1</v>
      </c>
      <c r="J228" t="n">
        <v>0</v>
      </c>
      <c r="K228" t="n">
        <v>0</v>
      </c>
      <c r="L228" t="n">
        <v>0</v>
      </c>
      <c r="M228" t="n">
        <v>0</v>
      </c>
      <c r="N228" t="n">
        <v>0</v>
      </c>
      <c r="O228" t="n">
        <v>0</v>
      </c>
      <c r="P228" t="n">
        <v>0</v>
      </c>
      <c r="Q228" t="n">
        <v>2</v>
      </c>
      <c r="R228" s="2" t="inlineStr">
        <is>
          <t>Kamjordstjärna
Blåsippa</t>
        </is>
      </c>
      <c r="S228">
        <f>HYPERLINK("https://klasma.github.io/Logging_VIMMERBY/artfynd/A 13588-2019.xlsx")</f>
        <v/>
      </c>
      <c r="T228">
        <f>HYPERLINK("https://klasma.github.io/Logging_VIMMERBY/kartor/A 13588-2019.png")</f>
        <v/>
      </c>
      <c r="V228">
        <f>HYPERLINK("https://klasma.github.io/Logging_VIMMERBY/klagomål/A 13588-2019.docx")</f>
        <v/>
      </c>
      <c r="W228">
        <f>HYPERLINK("https://klasma.github.io/Logging_VIMMERBY/klagomålsmail/A 13588-2019.docx")</f>
        <v/>
      </c>
      <c r="X228">
        <f>HYPERLINK("https://klasma.github.io/Logging_VIMMERBY/tillsyn/A 13588-2019.docx")</f>
        <v/>
      </c>
      <c r="Y228">
        <f>HYPERLINK("https://klasma.github.io/Logging_VIMMERBY/tillsynsmail/A 13588-2019.docx")</f>
        <v/>
      </c>
    </row>
    <row r="229" ht="15" customHeight="1">
      <c r="A229" t="inlineStr">
        <is>
          <t>A 13596-2019</t>
        </is>
      </c>
      <c r="B229" s="1" t="n">
        <v>43530</v>
      </c>
      <c r="C229" s="1" t="n">
        <v>45175</v>
      </c>
      <c r="D229" t="inlineStr">
        <is>
          <t>KALMAR LÄN</t>
        </is>
      </c>
      <c r="E229" t="inlineStr">
        <is>
          <t>VIMMERBY</t>
        </is>
      </c>
      <c r="G229" t="n">
        <v>9.6</v>
      </c>
      <c r="H229" t="n">
        <v>1</v>
      </c>
      <c r="I229" t="n">
        <v>1</v>
      </c>
      <c r="J229" t="n">
        <v>0</v>
      </c>
      <c r="K229" t="n">
        <v>0</v>
      </c>
      <c r="L229" t="n">
        <v>0</v>
      </c>
      <c r="M229" t="n">
        <v>0</v>
      </c>
      <c r="N229" t="n">
        <v>0</v>
      </c>
      <c r="O229" t="n">
        <v>0</v>
      </c>
      <c r="P229" t="n">
        <v>0</v>
      </c>
      <c r="Q229" t="n">
        <v>2</v>
      </c>
      <c r="R229" s="2" t="inlineStr">
        <is>
          <t>Kamjordstjärna
Blåsippa</t>
        </is>
      </c>
      <c r="S229">
        <f>HYPERLINK("https://klasma.github.io/Logging_VIMMERBY/artfynd/A 13596-2019.xlsx")</f>
        <v/>
      </c>
      <c r="T229">
        <f>HYPERLINK("https://klasma.github.io/Logging_VIMMERBY/kartor/A 13596-2019.png")</f>
        <v/>
      </c>
      <c r="V229">
        <f>HYPERLINK("https://klasma.github.io/Logging_VIMMERBY/klagomål/A 13596-2019.docx")</f>
        <v/>
      </c>
      <c r="W229">
        <f>HYPERLINK("https://klasma.github.io/Logging_VIMMERBY/klagomålsmail/A 13596-2019.docx")</f>
        <v/>
      </c>
      <c r="X229">
        <f>HYPERLINK("https://klasma.github.io/Logging_VIMMERBY/tillsyn/A 13596-2019.docx")</f>
        <v/>
      </c>
      <c r="Y229">
        <f>HYPERLINK("https://klasma.github.io/Logging_VIMMERBY/tillsynsmail/A 13596-2019.docx")</f>
        <v/>
      </c>
    </row>
    <row r="230" ht="15" customHeight="1">
      <c r="A230" t="inlineStr">
        <is>
          <t>A 16358-2019</t>
        </is>
      </c>
      <c r="B230" s="1" t="n">
        <v>43545</v>
      </c>
      <c r="C230" s="1" t="n">
        <v>45175</v>
      </c>
      <c r="D230" t="inlineStr">
        <is>
          <t>KALMAR LÄN</t>
        </is>
      </c>
      <c r="E230" t="inlineStr">
        <is>
          <t>OSKARSHAMN</t>
        </is>
      </c>
      <c r="G230" t="n">
        <v>19.5</v>
      </c>
      <c r="H230" t="n">
        <v>1</v>
      </c>
      <c r="I230" t="n">
        <v>1</v>
      </c>
      <c r="J230" t="n">
        <v>1</v>
      </c>
      <c r="K230" t="n">
        <v>0</v>
      </c>
      <c r="L230" t="n">
        <v>0</v>
      </c>
      <c r="M230" t="n">
        <v>0</v>
      </c>
      <c r="N230" t="n">
        <v>0</v>
      </c>
      <c r="O230" t="n">
        <v>1</v>
      </c>
      <c r="P230" t="n">
        <v>0</v>
      </c>
      <c r="Q230" t="n">
        <v>2</v>
      </c>
      <c r="R230" s="2" t="inlineStr">
        <is>
          <t>Talltita
Blåmossa</t>
        </is>
      </c>
      <c r="S230">
        <f>HYPERLINK("https://klasma.github.io/Logging_OSKARSHAMN/artfynd/A 16358-2019.xlsx")</f>
        <v/>
      </c>
      <c r="T230">
        <f>HYPERLINK("https://klasma.github.io/Logging_OSKARSHAMN/kartor/A 16358-2019.png")</f>
        <v/>
      </c>
      <c r="V230">
        <f>HYPERLINK("https://klasma.github.io/Logging_OSKARSHAMN/klagomål/A 16358-2019.docx")</f>
        <v/>
      </c>
      <c r="W230">
        <f>HYPERLINK("https://klasma.github.io/Logging_OSKARSHAMN/klagomålsmail/A 16358-2019.docx")</f>
        <v/>
      </c>
      <c r="X230">
        <f>HYPERLINK("https://klasma.github.io/Logging_OSKARSHAMN/tillsyn/A 16358-2019.docx")</f>
        <v/>
      </c>
      <c r="Y230">
        <f>HYPERLINK("https://klasma.github.io/Logging_OSKARSHAMN/tillsynsmail/A 16358-2019.docx")</f>
        <v/>
      </c>
    </row>
    <row r="231" ht="15" customHeight="1">
      <c r="A231" t="inlineStr">
        <is>
          <t>A 17437-2019</t>
        </is>
      </c>
      <c r="B231" s="1" t="n">
        <v>43553</v>
      </c>
      <c r="C231" s="1" t="n">
        <v>45175</v>
      </c>
      <c r="D231" t="inlineStr">
        <is>
          <t>KALMAR LÄN</t>
        </is>
      </c>
      <c r="E231" t="inlineStr">
        <is>
          <t>NYBRO</t>
        </is>
      </c>
      <c r="G231" t="n">
        <v>5.1</v>
      </c>
      <c r="H231" t="n">
        <v>0</v>
      </c>
      <c r="I231" t="n">
        <v>0</v>
      </c>
      <c r="J231" t="n">
        <v>1</v>
      </c>
      <c r="K231" t="n">
        <v>0</v>
      </c>
      <c r="L231" t="n">
        <v>0</v>
      </c>
      <c r="M231" t="n">
        <v>1</v>
      </c>
      <c r="N231" t="n">
        <v>0</v>
      </c>
      <c r="O231" t="n">
        <v>2</v>
      </c>
      <c r="P231" t="n">
        <v>1</v>
      </c>
      <c r="Q231" t="n">
        <v>2</v>
      </c>
      <c r="R231" s="2" t="inlineStr">
        <is>
          <t>Skogsalm
Vippärt</t>
        </is>
      </c>
      <c r="S231">
        <f>HYPERLINK("https://klasma.github.io/Logging_NYBRO/artfynd/A 17437-2019.xlsx")</f>
        <v/>
      </c>
      <c r="T231">
        <f>HYPERLINK("https://klasma.github.io/Logging_NYBRO/kartor/A 17437-2019.png")</f>
        <v/>
      </c>
      <c r="V231">
        <f>HYPERLINK("https://klasma.github.io/Logging_NYBRO/klagomål/A 17437-2019.docx")</f>
        <v/>
      </c>
      <c r="W231">
        <f>HYPERLINK("https://klasma.github.io/Logging_NYBRO/klagomålsmail/A 17437-2019.docx")</f>
        <v/>
      </c>
      <c r="X231">
        <f>HYPERLINK("https://klasma.github.io/Logging_NYBRO/tillsyn/A 17437-2019.docx")</f>
        <v/>
      </c>
      <c r="Y231">
        <f>HYPERLINK("https://klasma.github.io/Logging_NYBRO/tillsynsmail/A 17437-2019.docx")</f>
        <v/>
      </c>
    </row>
    <row r="232" ht="15" customHeight="1">
      <c r="A232" t="inlineStr">
        <is>
          <t>A 20824-2019</t>
        </is>
      </c>
      <c r="B232" s="1" t="n">
        <v>43573</v>
      </c>
      <c r="C232" s="1" t="n">
        <v>45175</v>
      </c>
      <c r="D232" t="inlineStr">
        <is>
          <t>KALMAR LÄN</t>
        </is>
      </c>
      <c r="E232" t="inlineStr">
        <is>
          <t>HÖGSBY</t>
        </is>
      </c>
      <c r="G232" t="n">
        <v>0.9</v>
      </c>
      <c r="H232" t="n">
        <v>0</v>
      </c>
      <c r="I232" t="n">
        <v>1</v>
      </c>
      <c r="J232" t="n">
        <v>0</v>
      </c>
      <c r="K232" t="n">
        <v>1</v>
      </c>
      <c r="L232" t="n">
        <v>0</v>
      </c>
      <c r="M232" t="n">
        <v>0</v>
      </c>
      <c r="N232" t="n">
        <v>0</v>
      </c>
      <c r="O232" t="n">
        <v>1</v>
      </c>
      <c r="P232" t="n">
        <v>1</v>
      </c>
      <c r="Q232" t="n">
        <v>2</v>
      </c>
      <c r="R232" s="2" t="inlineStr">
        <is>
          <t>Brandtaggsvamp
Skarp dropptaggsvamp</t>
        </is>
      </c>
      <c r="S232">
        <f>HYPERLINK("https://klasma.github.io/Logging_HOGSBY/artfynd/A 20824-2019.xlsx")</f>
        <v/>
      </c>
      <c r="T232">
        <f>HYPERLINK("https://klasma.github.io/Logging_HOGSBY/kartor/A 20824-2019.png")</f>
        <v/>
      </c>
      <c r="V232">
        <f>HYPERLINK("https://klasma.github.io/Logging_HOGSBY/klagomål/A 20824-2019.docx")</f>
        <v/>
      </c>
      <c r="W232">
        <f>HYPERLINK("https://klasma.github.io/Logging_HOGSBY/klagomålsmail/A 20824-2019.docx")</f>
        <v/>
      </c>
      <c r="X232">
        <f>HYPERLINK("https://klasma.github.io/Logging_HOGSBY/tillsyn/A 20824-2019.docx")</f>
        <v/>
      </c>
      <c r="Y232">
        <f>HYPERLINK("https://klasma.github.io/Logging_HOGSBY/tillsynsmail/A 20824-2019.docx")</f>
        <v/>
      </c>
    </row>
    <row r="233" ht="15" customHeight="1">
      <c r="A233" t="inlineStr">
        <is>
          <t>A 25729-2019</t>
        </is>
      </c>
      <c r="B233" s="1" t="n">
        <v>43608</v>
      </c>
      <c r="C233" s="1" t="n">
        <v>45175</v>
      </c>
      <c r="D233" t="inlineStr">
        <is>
          <t>KALMAR LÄN</t>
        </is>
      </c>
      <c r="E233" t="inlineStr">
        <is>
          <t>TORSÅS</t>
        </is>
      </c>
      <c r="G233" t="n">
        <v>1.1</v>
      </c>
      <c r="H233" t="n">
        <v>0</v>
      </c>
      <c r="I233" t="n">
        <v>2</v>
      </c>
      <c r="J233" t="n">
        <v>0</v>
      </c>
      <c r="K233" t="n">
        <v>0</v>
      </c>
      <c r="L233" t="n">
        <v>0</v>
      </c>
      <c r="M233" t="n">
        <v>0</v>
      </c>
      <c r="N233" t="n">
        <v>0</v>
      </c>
      <c r="O233" t="n">
        <v>0</v>
      </c>
      <c r="P233" t="n">
        <v>0</v>
      </c>
      <c r="Q233" t="n">
        <v>2</v>
      </c>
      <c r="R233" s="2" t="inlineStr">
        <is>
          <t>Sårläka
Ögonpyrola</t>
        </is>
      </c>
      <c r="S233">
        <f>HYPERLINK("https://klasma.github.io/Logging_TORSAS/artfynd/A 25729-2019.xlsx")</f>
        <v/>
      </c>
      <c r="T233">
        <f>HYPERLINK("https://klasma.github.io/Logging_TORSAS/kartor/A 25729-2019.png")</f>
        <v/>
      </c>
      <c r="V233">
        <f>HYPERLINK("https://klasma.github.io/Logging_TORSAS/klagomål/A 25729-2019.docx")</f>
        <v/>
      </c>
      <c r="W233">
        <f>HYPERLINK("https://klasma.github.io/Logging_TORSAS/klagomålsmail/A 25729-2019.docx")</f>
        <v/>
      </c>
      <c r="X233">
        <f>HYPERLINK("https://klasma.github.io/Logging_TORSAS/tillsyn/A 25729-2019.docx")</f>
        <v/>
      </c>
      <c r="Y233">
        <f>HYPERLINK("https://klasma.github.io/Logging_TORSAS/tillsynsmail/A 25729-2019.docx")</f>
        <v/>
      </c>
    </row>
    <row r="234" ht="15" customHeight="1">
      <c r="A234" t="inlineStr">
        <is>
          <t>A 31267-2019</t>
        </is>
      </c>
      <c r="B234" s="1" t="n">
        <v>43640</v>
      </c>
      <c r="C234" s="1" t="n">
        <v>45175</v>
      </c>
      <c r="D234" t="inlineStr">
        <is>
          <t>KALMAR LÄN</t>
        </is>
      </c>
      <c r="E234" t="inlineStr">
        <is>
          <t>KALMAR</t>
        </is>
      </c>
      <c r="G234" t="n">
        <v>2.1</v>
      </c>
      <c r="H234" t="n">
        <v>1</v>
      </c>
      <c r="I234" t="n">
        <v>1</v>
      </c>
      <c r="J234" t="n">
        <v>0</v>
      </c>
      <c r="K234" t="n">
        <v>1</v>
      </c>
      <c r="L234" t="n">
        <v>0</v>
      </c>
      <c r="M234" t="n">
        <v>0</v>
      </c>
      <c r="N234" t="n">
        <v>0</v>
      </c>
      <c r="O234" t="n">
        <v>1</v>
      </c>
      <c r="P234" t="n">
        <v>1</v>
      </c>
      <c r="Q234" t="n">
        <v>2</v>
      </c>
      <c r="R234" s="2" t="inlineStr">
        <is>
          <t>Knärot
Vedticka</t>
        </is>
      </c>
      <c r="S234">
        <f>HYPERLINK("https://klasma.github.io/Logging_KALMAR/artfynd/A 31267-2019.xlsx")</f>
        <v/>
      </c>
      <c r="T234">
        <f>HYPERLINK("https://klasma.github.io/Logging_KALMAR/kartor/A 31267-2019.png")</f>
        <v/>
      </c>
      <c r="U234">
        <f>HYPERLINK("https://klasma.github.io/Logging_KALMAR/knärot/A 31267-2019.png")</f>
        <v/>
      </c>
      <c r="V234">
        <f>HYPERLINK("https://klasma.github.io/Logging_KALMAR/klagomål/A 31267-2019.docx")</f>
        <v/>
      </c>
      <c r="W234">
        <f>HYPERLINK("https://klasma.github.io/Logging_KALMAR/klagomålsmail/A 31267-2019.docx")</f>
        <v/>
      </c>
      <c r="X234">
        <f>HYPERLINK("https://klasma.github.io/Logging_KALMAR/tillsyn/A 31267-2019.docx")</f>
        <v/>
      </c>
      <c r="Y234">
        <f>HYPERLINK("https://klasma.github.io/Logging_KALMAR/tillsynsmail/A 31267-2019.docx")</f>
        <v/>
      </c>
    </row>
    <row r="235" ht="15" customHeight="1">
      <c r="A235" t="inlineStr">
        <is>
          <t>A 36531-2019</t>
        </is>
      </c>
      <c r="B235" s="1" t="n">
        <v>43663</v>
      </c>
      <c r="C235" s="1" t="n">
        <v>45175</v>
      </c>
      <c r="D235" t="inlineStr">
        <is>
          <t>KALMAR LÄN</t>
        </is>
      </c>
      <c r="E235" t="inlineStr">
        <is>
          <t>HÖGSBY</t>
        </is>
      </c>
      <c r="G235" t="n">
        <v>11.5</v>
      </c>
      <c r="H235" t="n">
        <v>1</v>
      </c>
      <c r="I235" t="n">
        <v>1</v>
      </c>
      <c r="J235" t="n">
        <v>0</v>
      </c>
      <c r="K235" t="n">
        <v>0</v>
      </c>
      <c r="L235" t="n">
        <v>0</v>
      </c>
      <c r="M235" t="n">
        <v>0</v>
      </c>
      <c r="N235" t="n">
        <v>0</v>
      </c>
      <c r="O235" t="n">
        <v>0</v>
      </c>
      <c r="P235" t="n">
        <v>0</v>
      </c>
      <c r="Q235" t="n">
        <v>2</v>
      </c>
      <c r="R235" s="2" t="inlineStr">
        <is>
          <t>Fällmossa
Blåsippa</t>
        </is>
      </c>
      <c r="S235">
        <f>HYPERLINK("https://klasma.github.io/Logging_HOGSBY/artfynd/A 36531-2019.xlsx")</f>
        <v/>
      </c>
      <c r="T235">
        <f>HYPERLINK("https://klasma.github.io/Logging_HOGSBY/kartor/A 36531-2019.png")</f>
        <v/>
      </c>
      <c r="V235">
        <f>HYPERLINK("https://klasma.github.io/Logging_HOGSBY/klagomål/A 36531-2019.docx")</f>
        <v/>
      </c>
      <c r="W235">
        <f>HYPERLINK("https://klasma.github.io/Logging_HOGSBY/klagomålsmail/A 36531-2019.docx")</f>
        <v/>
      </c>
      <c r="X235">
        <f>HYPERLINK("https://klasma.github.io/Logging_HOGSBY/tillsyn/A 36531-2019.docx")</f>
        <v/>
      </c>
      <c r="Y235">
        <f>HYPERLINK("https://klasma.github.io/Logging_HOGSBY/tillsynsmail/A 36531-2019.docx")</f>
        <v/>
      </c>
    </row>
    <row r="236" ht="15" customHeight="1">
      <c r="A236" t="inlineStr">
        <is>
          <t>A 36803-2019</t>
        </is>
      </c>
      <c r="B236" s="1" t="n">
        <v>43672</v>
      </c>
      <c r="C236" s="1" t="n">
        <v>45175</v>
      </c>
      <c r="D236" t="inlineStr">
        <is>
          <t>KALMAR LÄN</t>
        </is>
      </c>
      <c r="E236" t="inlineStr">
        <is>
          <t>VIMMERBY</t>
        </is>
      </c>
      <c r="G236" t="n">
        <v>3.8</v>
      </c>
      <c r="H236" t="n">
        <v>0</v>
      </c>
      <c r="I236" t="n">
        <v>1</v>
      </c>
      <c r="J236" t="n">
        <v>1</v>
      </c>
      <c r="K236" t="n">
        <v>0</v>
      </c>
      <c r="L236" t="n">
        <v>0</v>
      </c>
      <c r="M236" t="n">
        <v>0</v>
      </c>
      <c r="N236" t="n">
        <v>0</v>
      </c>
      <c r="O236" t="n">
        <v>1</v>
      </c>
      <c r="P236" t="n">
        <v>0</v>
      </c>
      <c r="Q236" t="n">
        <v>2</v>
      </c>
      <c r="R236" s="2" t="inlineStr">
        <is>
          <t>Tallticka
Dropptaggsvamp</t>
        </is>
      </c>
      <c r="S236">
        <f>HYPERLINK("https://klasma.github.io/Logging_VIMMERBY/artfynd/A 36803-2019.xlsx")</f>
        <v/>
      </c>
      <c r="T236">
        <f>HYPERLINK("https://klasma.github.io/Logging_VIMMERBY/kartor/A 36803-2019.png")</f>
        <v/>
      </c>
      <c r="V236">
        <f>HYPERLINK("https://klasma.github.io/Logging_VIMMERBY/klagomål/A 36803-2019.docx")</f>
        <v/>
      </c>
      <c r="W236">
        <f>HYPERLINK("https://klasma.github.io/Logging_VIMMERBY/klagomålsmail/A 36803-2019.docx")</f>
        <v/>
      </c>
      <c r="X236">
        <f>HYPERLINK("https://klasma.github.io/Logging_VIMMERBY/tillsyn/A 36803-2019.docx")</f>
        <v/>
      </c>
      <c r="Y236">
        <f>HYPERLINK("https://klasma.github.io/Logging_VIMMERBY/tillsynsmail/A 36803-2019.docx")</f>
        <v/>
      </c>
    </row>
    <row r="237" ht="15" customHeight="1">
      <c r="A237" t="inlineStr">
        <is>
          <t>A 37778-2019</t>
        </is>
      </c>
      <c r="B237" s="1" t="n">
        <v>43682</v>
      </c>
      <c r="C237" s="1" t="n">
        <v>45175</v>
      </c>
      <c r="D237" t="inlineStr">
        <is>
          <t>KALMAR LÄN</t>
        </is>
      </c>
      <c r="E237" t="inlineStr">
        <is>
          <t>HULTSFRED</t>
        </is>
      </c>
      <c r="G237" t="n">
        <v>1.1</v>
      </c>
      <c r="H237" t="n">
        <v>1</v>
      </c>
      <c r="I237" t="n">
        <v>0</v>
      </c>
      <c r="J237" t="n">
        <v>1</v>
      </c>
      <c r="K237" t="n">
        <v>0</v>
      </c>
      <c r="L237" t="n">
        <v>0</v>
      </c>
      <c r="M237" t="n">
        <v>0</v>
      </c>
      <c r="N237" t="n">
        <v>0</v>
      </c>
      <c r="O237" t="n">
        <v>1</v>
      </c>
      <c r="P237" t="n">
        <v>0</v>
      </c>
      <c r="Q237" t="n">
        <v>2</v>
      </c>
      <c r="R237" s="2" t="inlineStr">
        <is>
          <t>Solvända
Nattviol</t>
        </is>
      </c>
      <c r="S237">
        <f>HYPERLINK("https://klasma.github.io/Logging_HULTSFRED/artfynd/A 37778-2019.xlsx")</f>
        <v/>
      </c>
      <c r="T237">
        <f>HYPERLINK("https://klasma.github.io/Logging_HULTSFRED/kartor/A 37778-2019.png")</f>
        <v/>
      </c>
      <c r="V237">
        <f>HYPERLINK("https://klasma.github.io/Logging_HULTSFRED/klagomål/A 37778-2019.docx")</f>
        <v/>
      </c>
      <c r="W237">
        <f>HYPERLINK("https://klasma.github.io/Logging_HULTSFRED/klagomålsmail/A 37778-2019.docx")</f>
        <v/>
      </c>
      <c r="X237">
        <f>HYPERLINK("https://klasma.github.io/Logging_HULTSFRED/tillsyn/A 37778-2019.docx")</f>
        <v/>
      </c>
      <c r="Y237">
        <f>HYPERLINK("https://klasma.github.io/Logging_HULTSFRED/tillsynsmail/A 37778-2019.docx")</f>
        <v/>
      </c>
    </row>
    <row r="238" ht="15" customHeight="1">
      <c r="A238" t="inlineStr">
        <is>
          <t>A 38441-2019</t>
        </is>
      </c>
      <c r="B238" s="1" t="n">
        <v>43685</v>
      </c>
      <c r="C238" s="1" t="n">
        <v>45175</v>
      </c>
      <c r="D238" t="inlineStr">
        <is>
          <t>KALMAR LÄN</t>
        </is>
      </c>
      <c r="E238" t="inlineStr">
        <is>
          <t>MÖNSTERÅS</t>
        </is>
      </c>
      <c r="G238" t="n">
        <v>9.5</v>
      </c>
      <c r="H238" t="n">
        <v>2</v>
      </c>
      <c r="I238" t="n">
        <v>0</v>
      </c>
      <c r="J238" t="n">
        <v>2</v>
      </c>
      <c r="K238" t="n">
        <v>0</v>
      </c>
      <c r="L238" t="n">
        <v>0</v>
      </c>
      <c r="M238" t="n">
        <v>0</v>
      </c>
      <c r="N238" t="n">
        <v>0</v>
      </c>
      <c r="O238" t="n">
        <v>2</v>
      </c>
      <c r="P238" t="n">
        <v>0</v>
      </c>
      <c r="Q238" t="n">
        <v>2</v>
      </c>
      <c r="R238" s="2" t="inlineStr">
        <is>
          <t>Skrattmås
Spillkråka</t>
        </is>
      </c>
      <c r="S238">
        <f>HYPERLINK("https://klasma.github.io/Logging_MONSTERAS/artfynd/A 38441-2019.xlsx")</f>
        <v/>
      </c>
      <c r="T238">
        <f>HYPERLINK("https://klasma.github.io/Logging_MONSTERAS/kartor/A 38441-2019.png")</f>
        <v/>
      </c>
      <c r="V238">
        <f>HYPERLINK("https://klasma.github.io/Logging_MONSTERAS/klagomål/A 38441-2019.docx")</f>
        <v/>
      </c>
      <c r="W238">
        <f>HYPERLINK("https://klasma.github.io/Logging_MONSTERAS/klagomålsmail/A 38441-2019.docx")</f>
        <v/>
      </c>
      <c r="X238">
        <f>HYPERLINK("https://klasma.github.io/Logging_MONSTERAS/tillsyn/A 38441-2019.docx")</f>
        <v/>
      </c>
      <c r="Y238">
        <f>HYPERLINK("https://klasma.github.io/Logging_MONSTERAS/tillsynsmail/A 38441-2019.docx")</f>
        <v/>
      </c>
    </row>
    <row r="239" ht="15" customHeight="1">
      <c r="A239" t="inlineStr">
        <is>
          <t>A 38921-2019</t>
        </is>
      </c>
      <c r="B239" s="1" t="n">
        <v>43689</v>
      </c>
      <c r="C239" s="1" t="n">
        <v>45175</v>
      </c>
      <c r="D239" t="inlineStr">
        <is>
          <t>KALMAR LÄN</t>
        </is>
      </c>
      <c r="E239" t="inlineStr">
        <is>
          <t>VIMMERBY</t>
        </is>
      </c>
      <c r="G239" t="n">
        <v>1.4</v>
      </c>
      <c r="H239" t="n">
        <v>2</v>
      </c>
      <c r="I239" t="n">
        <v>0</v>
      </c>
      <c r="J239" t="n">
        <v>2</v>
      </c>
      <c r="K239" t="n">
        <v>0</v>
      </c>
      <c r="L239" t="n">
        <v>0</v>
      </c>
      <c r="M239" t="n">
        <v>0</v>
      </c>
      <c r="N239" t="n">
        <v>0</v>
      </c>
      <c r="O239" t="n">
        <v>2</v>
      </c>
      <c r="P239" t="n">
        <v>0</v>
      </c>
      <c r="Q239" t="n">
        <v>2</v>
      </c>
      <c r="R239" s="2" t="inlineStr">
        <is>
          <t>Barbastell
Nordfladdermus</t>
        </is>
      </c>
      <c r="S239">
        <f>HYPERLINK("https://klasma.github.io/Logging_VIMMERBY/artfynd/A 38921-2019.xlsx")</f>
        <v/>
      </c>
      <c r="T239">
        <f>HYPERLINK("https://klasma.github.io/Logging_VIMMERBY/kartor/A 38921-2019.png")</f>
        <v/>
      </c>
      <c r="V239">
        <f>HYPERLINK("https://klasma.github.io/Logging_VIMMERBY/klagomål/A 38921-2019.docx")</f>
        <v/>
      </c>
      <c r="W239">
        <f>HYPERLINK("https://klasma.github.io/Logging_VIMMERBY/klagomålsmail/A 38921-2019.docx")</f>
        <v/>
      </c>
      <c r="X239">
        <f>HYPERLINK("https://klasma.github.io/Logging_VIMMERBY/tillsyn/A 38921-2019.docx")</f>
        <v/>
      </c>
      <c r="Y239">
        <f>HYPERLINK("https://klasma.github.io/Logging_VIMMERBY/tillsynsmail/A 38921-2019.docx")</f>
        <v/>
      </c>
    </row>
    <row r="240" ht="15" customHeight="1">
      <c r="A240" t="inlineStr">
        <is>
          <t>A 39871-2019</t>
        </is>
      </c>
      <c r="B240" s="1" t="n">
        <v>43692</v>
      </c>
      <c r="C240" s="1" t="n">
        <v>45175</v>
      </c>
      <c r="D240" t="inlineStr">
        <is>
          <t>KALMAR LÄN</t>
        </is>
      </c>
      <c r="E240" t="inlineStr">
        <is>
          <t>EMMABODA</t>
        </is>
      </c>
      <c r="G240" t="n">
        <v>2.6</v>
      </c>
      <c r="H240" t="n">
        <v>0</v>
      </c>
      <c r="I240" t="n">
        <v>1</v>
      </c>
      <c r="J240" t="n">
        <v>0</v>
      </c>
      <c r="K240" t="n">
        <v>1</v>
      </c>
      <c r="L240" t="n">
        <v>0</v>
      </c>
      <c r="M240" t="n">
        <v>0</v>
      </c>
      <c r="N240" t="n">
        <v>0</v>
      </c>
      <c r="O240" t="n">
        <v>1</v>
      </c>
      <c r="P240" t="n">
        <v>1</v>
      </c>
      <c r="Q240" t="n">
        <v>2</v>
      </c>
      <c r="R240" s="2" t="inlineStr">
        <is>
          <t>Stortimjan
Grönpyrola</t>
        </is>
      </c>
      <c r="S240">
        <f>HYPERLINK("https://klasma.github.io/Logging_EMMABODA/artfynd/A 39871-2019.xlsx")</f>
        <v/>
      </c>
      <c r="T240">
        <f>HYPERLINK("https://klasma.github.io/Logging_EMMABODA/kartor/A 39871-2019.png")</f>
        <v/>
      </c>
      <c r="V240">
        <f>HYPERLINK("https://klasma.github.io/Logging_EMMABODA/klagomål/A 39871-2019.docx")</f>
        <v/>
      </c>
      <c r="W240">
        <f>HYPERLINK("https://klasma.github.io/Logging_EMMABODA/klagomålsmail/A 39871-2019.docx")</f>
        <v/>
      </c>
      <c r="X240">
        <f>HYPERLINK("https://klasma.github.io/Logging_EMMABODA/tillsyn/A 39871-2019.docx")</f>
        <v/>
      </c>
      <c r="Y240">
        <f>HYPERLINK("https://klasma.github.io/Logging_EMMABODA/tillsynsmail/A 39871-2019.docx")</f>
        <v/>
      </c>
    </row>
    <row r="241" ht="15" customHeight="1">
      <c r="A241" t="inlineStr">
        <is>
          <t>A 42206-2019</t>
        </is>
      </c>
      <c r="B241" s="1" t="n">
        <v>43703</v>
      </c>
      <c r="C241" s="1" t="n">
        <v>45175</v>
      </c>
      <c r="D241" t="inlineStr">
        <is>
          <t>KALMAR LÄN</t>
        </is>
      </c>
      <c r="E241" t="inlineStr">
        <is>
          <t>TORSÅS</t>
        </is>
      </c>
      <c r="G241" t="n">
        <v>13.3</v>
      </c>
      <c r="H241" t="n">
        <v>2</v>
      </c>
      <c r="I241" t="n">
        <v>0</v>
      </c>
      <c r="J241" t="n">
        <v>0</v>
      </c>
      <c r="K241" t="n">
        <v>0</v>
      </c>
      <c r="L241" t="n">
        <v>0</v>
      </c>
      <c r="M241" t="n">
        <v>0</v>
      </c>
      <c r="N241" t="n">
        <v>0</v>
      </c>
      <c r="O241" t="n">
        <v>0</v>
      </c>
      <c r="P241" t="n">
        <v>0</v>
      </c>
      <c r="Q241" t="n">
        <v>2</v>
      </c>
      <c r="R241" s="2" t="inlineStr">
        <is>
          <t>Hasselmus
Lopplummer</t>
        </is>
      </c>
      <c r="S241">
        <f>HYPERLINK("https://klasma.github.io/Logging_TORSAS/artfynd/A 42206-2019.xlsx")</f>
        <v/>
      </c>
      <c r="T241">
        <f>HYPERLINK("https://klasma.github.io/Logging_TORSAS/kartor/A 42206-2019.png")</f>
        <v/>
      </c>
      <c r="V241">
        <f>HYPERLINK("https://klasma.github.io/Logging_TORSAS/klagomål/A 42206-2019.docx")</f>
        <v/>
      </c>
      <c r="W241">
        <f>HYPERLINK("https://klasma.github.io/Logging_TORSAS/klagomålsmail/A 42206-2019.docx")</f>
        <v/>
      </c>
      <c r="X241">
        <f>HYPERLINK("https://klasma.github.io/Logging_TORSAS/tillsyn/A 42206-2019.docx")</f>
        <v/>
      </c>
      <c r="Y241">
        <f>HYPERLINK("https://klasma.github.io/Logging_TORSAS/tillsynsmail/A 42206-2019.docx")</f>
        <v/>
      </c>
    </row>
    <row r="242" ht="15" customHeight="1">
      <c r="A242" t="inlineStr">
        <is>
          <t>A 43150-2019</t>
        </is>
      </c>
      <c r="B242" s="1" t="n">
        <v>43705</v>
      </c>
      <c r="C242" s="1" t="n">
        <v>45175</v>
      </c>
      <c r="D242" t="inlineStr">
        <is>
          <t>KALMAR LÄN</t>
        </is>
      </c>
      <c r="E242" t="inlineStr">
        <is>
          <t>TORSÅS</t>
        </is>
      </c>
      <c r="F242" t="inlineStr">
        <is>
          <t>Övriga Aktiebolag</t>
        </is>
      </c>
      <c r="G242" t="n">
        <v>41.2</v>
      </c>
      <c r="H242" t="n">
        <v>2</v>
      </c>
      <c r="I242" t="n">
        <v>0</v>
      </c>
      <c r="J242" t="n">
        <v>1</v>
      </c>
      <c r="K242" t="n">
        <v>0</v>
      </c>
      <c r="L242" t="n">
        <v>0</v>
      </c>
      <c r="M242" t="n">
        <v>0</v>
      </c>
      <c r="N242" t="n">
        <v>0</v>
      </c>
      <c r="O242" t="n">
        <v>1</v>
      </c>
      <c r="P242" t="n">
        <v>0</v>
      </c>
      <c r="Q242" t="n">
        <v>2</v>
      </c>
      <c r="R242" s="2" t="inlineStr">
        <is>
          <t>Nordfladdermus
Dvärgpipistrell</t>
        </is>
      </c>
      <c r="S242">
        <f>HYPERLINK("https://klasma.github.io/Logging_TORSAS/artfynd/A 43150-2019.xlsx")</f>
        <v/>
      </c>
      <c r="T242">
        <f>HYPERLINK("https://klasma.github.io/Logging_TORSAS/kartor/A 43150-2019.png")</f>
        <v/>
      </c>
      <c r="V242">
        <f>HYPERLINK("https://klasma.github.io/Logging_TORSAS/klagomål/A 43150-2019.docx")</f>
        <v/>
      </c>
      <c r="W242">
        <f>HYPERLINK("https://klasma.github.io/Logging_TORSAS/klagomålsmail/A 43150-2019.docx")</f>
        <v/>
      </c>
      <c r="X242">
        <f>HYPERLINK("https://klasma.github.io/Logging_TORSAS/tillsyn/A 43150-2019.docx")</f>
        <v/>
      </c>
      <c r="Y242">
        <f>HYPERLINK("https://klasma.github.io/Logging_TORSAS/tillsynsmail/A 43150-2019.docx")</f>
        <v/>
      </c>
    </row>
    <row r="243" ht="15" customHeight="1">
      <c r="A243" t="inlineStr">
        <is>
          <t>A 43490-2019</t>
        </is>
      </c>
      <c r="B243" s="1" t="n">
        <v>43706</v>
      </c>
      <c r="C243" s="1" t="n">
        <v>45175</v>
      </c>
      <c r="D243" t="inlineStr">
        <is>
          <t>KALMAR LÄN</t>
        </is>
      </c>
      <c r="E243" t="inlineStr">
        <is>
          <t>MÖNSTERÅS</t>
        </is>
      </c>
      <c r="G243" t="n">
        <v>5.5</v>
      </c>
      <c r="H243" t="n">
        <v>0</v>
      </c>
      <c r="I243" t="n">
        <v>0</v>
      </c>
      <c r="J243" t="n">
        <v>2</v>
      </c>
      <c r="K243" t="n">
        <v>0</v>
      </c>
      <c r="L243" t="n">
        <v>0</v>
      </c>
      <c r="M243" t="n">
        <v>0</v>
      </c>
      <c r="N243" t="n">
        <v>0</v>
      </c>
      <c r="O243" t="n">
        <v>2</v>
      </c>
      <c r="P243" t="n">
        <v>0</v>
      </c>
      <c r="Q243" t="n">
        <v>2</v>
      </c>
      <c r="R243" s="2" t="inlineStr">
        <is>
          <t>Monkevivel
Timmertickgnagare</t>
        </is>
      </c>
      <c r="S243">
        <f>HYPERLINK("https://klasma.github.io/Logging_MONSTERAS/artfynd/A 43490-2019.xlsx")</f>
        <v/>
      </c>
      <c r="T243">
        <f>HYPERLINK("https://klasma.github.io/Logging_MONSTERAS/kartor/A 43490-2019.png")</f>
        <v/>
      </c>
      <c r="V243">
        <f>HYPERLINK("https://klasma.github.io/Logging_MONSTERAS/klagomål/A 43490-2019.docx")</f>
        <v/>
      </c>
      <c r="W243">
        <f>HYPERLINK("https://klasma.github.io/Logging_MONSTERAS/klagomålsmail/A 43490-2019.docx")</f>
        <v/>
      </c>
      <c r="X243">
        <f>HYPERLINK("https://klasma.github.io/Logging_MONSTERAS/tillsyn/A 43490-2019.docx")</f>
        <v/>
      </c>
      <c r="Y243">
        <f>HYPERLINK("https://klasma.github.io/Logging_MONSTERAS/tillsynsmail/A 43490-2019.docx")</f>
        <v/>
      </c>
    </row>
    <row r="244" ht="15" customHeight="1">
      <c r="A244" t="inlineStr">
        <is>
          <t>A 44711-2019</t>
        </is>
      </c>
      <c r="B244" s="1" t="n">
        <v>43712</v>
      </c>
      <c r="C244" s="1" t="n">
        <v>45175</v>
      </c>
      <c r="D244" t="inlineStr">
        <is>
          <t>KALMAR LÄN</t>
        </is>
      </c>
      <c r="E244" t="inlineStr">
        <is>
          <t>TORSÅS</t>
        </is>
      </c>
      <c r="G244" t="n">
        <v>2.3</v>
      </c>
      <c r="H244" t="n">
        <v>1</v>
      </c>
      <c r="I244" t="n">
        <v>1</v>
      </c>
      <c r="J244" t="n">
        <v>0</v>
      </c>
      <c r="K244" t="n">
        <v>0</v>
      </c>
      <c r="L244" t="n">
        <v>0</v>
      </c>
      <c r="M244" t="n">
        <v>0</v>
      </c>
      <c r="N244" t="n">
        <v>0</v>
      </c>
      <c r="O244" t="n">
        <v>0</v>
      </c>
      <c r="P244" t="n">
        <v>0</v>
      </c>
      <c r="Q244" t="n">
        <v>2</v>
      </c>
      <c r="R244" s="2" t="inlineStr">
        <is>
          <t>Murgröna
Blåsippa</t>
        </is>
      </c>
      <c r="S244">
        <f>HYPERLINK("https://klasma.github.io/Logging_TORSAS/artfynd/A 44711-2019.xlsx")</f>
        <v/>
      </c>
      <c r="T244">
        <f>HYPERLINK("https://klasma.github.io/Logging_TORSAS/kartor/A 44711-2019.png")</f>
        <v/>
      </c>
      <c r="V244">
        <f>HYPERLINK("https://klasma.github.io/Logging_TORSAS/klagomål/A 44711-2019.docx")</f>
        <v/>
      </c>
      <c r="W244">
        <f>HYPERLINK("https://klasma.github.io/Logging_TORSAS/klagomålsmail/A 44711-2019.docx")</f>
        <v/>
      </c>
      <c r="X244">
        <f>HYPERLINK("https://klasma.github.io/Logging_TORSAS/tillsyn/A 44711-2019.docx")</f>
        <v/>
      </c>
      <c r="Y244">
        <f>HYPERLINK("https://klasma.github.io/Logging_TORSAS/tillsynsmail/A 44711-2019.docx")</f>
        <v/>
      </c>
    </row>
    <row r="245" ht="15" customHeight="1">
      <c r="A245" t="inlineStr">
        <is>
          <t>A 46727-2019</t>
        </is>
      </c>
      <c r="B245" s="1" t="n">
        <v>43719</v>
      </c>
      <c r="C245" s="1" t="n">
        <v>45175</v>
      </c>
      <c r="D245" t="inlineStr">
        <is>
          <t>KALMAR LÄN</t>
        </is>
      </c>
      <c r="E245" t="inlineStr">
        <is>
          <t>KALMAR</t>
        </is>
      </c>
      <c r="G245" t="n">
        <v>14.7</v>
      </c>
      <c r="H245" t="n">
        <v>1</v>
      </c>
      <c r="I245" t="n">
        <v>1</v>
      </c>
      <c r="J245" t="n">
        <v>0</v>
      </c>
      <c r="K245" t="n">
        <v>0</v>
      </c>
      <c r="L245" t="n">
        <v>0</v>
      </c>
      <c r="M245" t="n">
        <v>0</v>
      </c>
      <c r="N245" t="n">
        <v>0</v>
      </c>
      <c r="O245" t="n">
        <v>0</v>
      </c>
      <c r="P245" t="n">
        <v>0</v>
      </c>
      <c r="Q245" t="n">
        <v>2</v>
      </c>
      <c r="R245" s="2" t="inlineStr">
        <is>
          <t>Murgröna
Blåsippa</t>
        </is>
      </c>
      <c r="S245">
        <f>HYPERLINK("https://klasma.github.io/Logging_KALMAR/artfynd/A 46727-2019.xlsx")</f>
        <v/>
      </c>
      <c r="T245">
        <f>HYPERLINK("https://klasma.github.io/Logging_KALMAR/kartor/A 46727-2019.png")</f>
        <v/>
      </c>
      <c r="V245">
        <f>HYPERLINK("https://klasma.github.io/Logging_KALMAR/klagomål/A 46727-2019.docx")</f>
        <v/>
      </c>
      <c r="W245">
        <f>HYPERLINK("https://klasma.github.io/Logging_KALMAR/klagomålsmail/A 46727-2019.docx")</f>
        <v/>
      </c>
      <c r="X245">
        <f>HYPERLINK("https://klasma.github.io/Logging_KALMAR/tillsyn/A 46727-2019.docx")</f>
        <v/>
      </c>
      <c r="Y245">
        <f>HYPERLINK("https://klasma.github.io/Logging_KALMAR/tillsynsmail/A 46727-2019.docx")</f>
        <v/>
      </c>
    </row>
    <row r="246" ht="15" customHeight="1">
      <c r="A246" t="inlineStr">
        <is>
          <t>A 53578-2019</t>
        </is>
      </c>
      <c r="B246" s="1" t="n">
        <v>43748</v>
      </c>
      <c r="C246" s="1" t="n">
        <v>45175</v>
      </c>
      <c r="D246" t="inlineStr">
        <is>
          <t>KALMAR LÄN</t>
        </is>
      </c>
      <c r="E246" t="inlineStr">
        <is>
          <t>HÖGSBY</t>
        </is>
      </c>
      <c r="G246" t="n">
        <v>12</v>
      </c>
      <c r="H246" t="n">
        <v>1</v>
      </c>
      <c r="I246" t="n">
        <v>1</v>
      </c>
      <c r="J246" t="n">
        <v>1</v>
      </c>
      <c r="K246" t="n">
        <v>0</v>
      </c>
      <c r="L246" t="n">
        <v>0</v>
      </c>
      <c r="M246" t="n">
        <v>0</v>
      </c>
      <c r="N246" t="n">
        <v>0</v>
      </c>
      <c r="O246" t="n">
        <v>1</v>
      </c>
      <c r="P246" t="n">
        <v>0</v>
      </c>
      <c r="Q246" t="n">
        <v>2</v>
      </c>
      <c r="R246" s="2" t="inlineStr">
        <is>
          <t>Talltita
Rävticka</t>
        </is>
      </c>
      <c r="S246">
        <f>HYPERLINK("https://klasma.github.io/Logging_HOGSBY/artfynd/A 53578-2019.xlsx")</f>
        <v/>
      </c>
      <c r="T246">
        <f>HYPERLINK("https://klasma.github.io/Logging_HOGSBY/kartor/A 53578-2019.png")</f>
        <v/>
      </c>
      <c r="V246">
        <f>HYPERLINK("https://klasma.github.io/Logging_HOGSBY/klagomål/A 53578-2019.docx")</f>
        <v/>
      </c>
      <c r="W246">
        <f>HYPERLINK("https://klasma.github.io/Logging_HOGSBY/klagomålsmail/A 53578-2019.docx")</f>
        <v/>
      </c>
      <c r="X246">
        <f>HYPERLINK("https://klasma.github.io/Logging_HOGSBY/tillsyn/A 53578-2019.docx")</f>
        <v/>
      </c>
      <c r="Y246">
        <f>HYPERLINK("https://klasma.github.io/Logging_HOGSBY/tillsynsmail/A 53578-2019.docx")</f>
        <v/>
      </c>
    </row>
    <row r="247" ht="15" customHeight="1">
      <c r="A247" t="inlineStr">
        <is>
          <t>A 58914-2019</t>
        </is>
      </c>
      <c r="B247" s="1" t="n">
        <v>43774</v>
      </c>
      <c r="C247" s="1" t="n">
        <v>45175</v>
      </c>
      <c r="D247" t="inlineStr">
        <is>
          <t>KALMAR LÄN</t>
        </is>
      </c>
      <c r="E247" t="inlineStr">
        <is>
          <t>NYBRO</t>
        </is>
      </c>
      <c r="F247" t="inlineStr">
        <is>
          <t>Kommuner</t>
        </is>
      </c>
      <c r="G247" t="n">
        <v>2.4</v>
      </c>
      <c r="H247" t="n">
        <v>0</v>
      </c>
      <c r="I247" t="n">
        <v>0</v>
      </c>
      <c r="J247" t="n">
        <v>1</v>
      </c>
      <c r="K247" t="n">
        <v>1</v>
      </c>
      <c r="L247" t="n">
        <v>0</v>
      </c>
      <c r="M247" t="n">
        <v>0</v>
      </c>
      <c r="N247" t="n">
        <v>0</v>
      </c>
      <c r="O247" t="n">
        <v>2</v>
      </c>
      <c r="P247" t="n">
        <v>1</v>
      </c>
      <c r="Q247" t="n">
        <v>2</v>
      </c>
      <c r="R247" s="2" t="inlineStr">
        <is>
          <t>Åkerrättika
Veckticka</t>
        </is>
      </c>
      <c r="S247">
        <f>HYPERLINK("https://klasma.github.io/Logging_NYBRO/artfynd/A 58914-2019.xlsx")</f>
        <v/>
      </c>
      <c r="T247">
        <f>HYPERLINK("https://klasma.github.io/Logging_NYBRO/kartor/A 58914-2019.png")</f>
        <v/>
      </c>
      <c r="V247">
        <f>HYPERLINK("https://klasma.github.io/Logging_NYBRO/klagomål/A 58914-2019.docx")</f>
        <v/>
      </c>
      <c r="W247">
        <f>HYPERLINK("https://klasma.github.io/Logging_NYBRO/klagomålsmail/A 58914-2019.docx")</f>
        <v/>
      </c>
      <c r="X247">
        <f>HYPERLINK("https://klasma.github.io/Logging_NYBRO/tillsyn/A 58914-2019.docx")</f>
        <v/>
      </c>
      <c r="Y247">
        <f>HYPERLINK("https://klasma.github.io/Logging_NYBRO/tillsynsmail/A 58914-2019.docx")</f>
        <v/>
      </c>
    </row>
    <row r="248" ht="15" customHeight="1">
      <c r="A248" t="inlineStr">
        <is>
          <t>A 62128-2019</t>
        </is>
      </c>
      <c r="B248" s="1" t="n">
        <v>43782</v>
      </c>
      <c r="C248" s="1" t="n">
        <v>45175</v>
      </c>
      <c r="D248" t="inlineStr">
        <is>
          <t>KALMAR LÄN</t>
        </is>
      </c>
      <c r="E248" t="inlineStr">
        <is>
          <t>VÄSTERVIK</t>
        </is>
      </c>
      <c r="G248" t="n">
        <v>7.5</v>
      </c>
      <c r="H248" t="n">
        <v>0</v>
      </c>
      <c r="I248" t="n">
        <v>1</v>
      </c>
      <c r="J248" t="n">
        <v>1</v>
      </c>
      <c r="K248" t="n">
        <v>0</v>
      </c>
      <c r="L248" t="n">
        <v>0</v>
      </c>
      <c r="M248" t="n">
        <v>0</v>
      </c>
      <c r="N248" t="n">
        <v>0</v>
      </c>
      <c r="O248" t="n">
        <v>1</v>
      </c>
      <c r="P248" t="n">
        <v>0</v>
      </c>
      <c r="Q248" t="n">
        <v>2</v>
      </c>
      <c r="R248" s="2" t="inlineStr">
        <is>
          <t>Ullticka
Kattfotslav</t>
        </is>
      </c>
      <c r="S248">
        <f>HYPERLINK("https://klasma.github.io/Logging_VASTERVIK/artfynd/A 62128-2019.xlsx")</f>
        <v/>
      </c>
      <c r="T248">
        <f>HYPERLINK("https://klasma.github.io/Logging_VASTERVIK/kartor/A 62128-2019.png")</f>
        <v/>
      </c>
      <c r="V248">
        <f>HYPERLINK("https://klasma.github.io/Logging_VASTERVIK/klagomål/A 62128-2019.docx")</f>
        <v/>
      </c>
      <c r="W248">
        <f>HYPERLINK("https://klasma.github.io/Logging_VASTERVIK/klagomålsmail/A 62128-2019.docx")</f>
        <v/>
      </c>
      <c r="X248">
        <f>HYPERLINK("https://klasma.github.io/Logging_VASTERVIK/tillsyn/A 62128-2019.docx")</f>
        <v/>
      </c>
      <c r="Y248">
        <f>HYPERLINK("https://klasma.github.io/Logging_VASTERVIK/tillsynsmail/A 62128-2019.docx")</f>
        <v/>
      </c>
    </row>
    <row r="249" ht="15" customHeight="1">
      <c r="A249" t="inlineStr">
        <is>
          <t>A 63949-2019</t>
        </is>
      </c>
      <c r="B249" s="1" t="n">
        <v>43796</v>
      </c>
      <c r="C249" s="1" t="n">
        <v>45175</v>
      </c>
      <c r="D249" t="inlineStr">
        <is>
          <t>KALMAR LÄN</t>
        </is>
      </c>
      <c r="E249" t="inlineStr">
        <is>
          <t>KALMAR</t>
        </is>
      </c>
      <c r="F249" t="inlineStr">
        <is>
          <t>Kommuner</t>
        </is>
      </c>
      <c r="G249" t="n">
        <v>2.5</v>
      </c>
      <c r="H249" t="n">
        <v>2</v>
      </c>
      <c r="I249" t="n">
        <v>0</v>
      </c>
      <c r="J249" t="n">
        <v>1</v>
      </c>
      <c r="K249" t="n">
        <v>0</v>
      </c>
      <c r="L249" t="n">
        <v>1</v>
      </c>
      <c r="M249" t="n">
        <v>0</v>
      </c>
      <c r="N249" t="n">
        <v>0</v>
      </c>
      <c r="O249" t="n">
        <v>2</v>
      </c>
      <c r="P249" t="n">
        <v>1</v>
      </c>
      <c r="Q249" t="n">
        <v>2</v>
      </c>
      <c r="R249" s="2" t="inlineStr">
        <is>
          <t>Tornseglare
Entita</t>
        </is>
      </c>
      <c r="S249">
        <f>HYPERLINK("https://klasma.github.io/Logging_KALMAR/artfynd/A 63949-2019.xlsx")</f>
        <v/>
      </c>
      <c r="T249">
        <f>HYPERLINK("https://klasma.github.io/Logging_KALMAR/kartor/A 63949-2019.png")</f>
        <v/>
      </c>
      <c r="V249">
        <f>HYPERLINK("https://klasma.github.io/Logging_KALMAR/klagomål/A 63949-2019.docx")</f>
        <v/>
      </c>
      <c r="W249">
        <f>HYPERLINK("https://klasma.github.io/Logging_KALMAR/klagomålsmail/A 63949-2019.docx")</f>
        <v/>
      </c>
      <c r="X249">
        <f>HYPERLINK("https://klasma.github.io/Logging_KALMAR/tillsyn/A 63949-2019.docx")</f>
        <v/>
      </c>
      <c r="Y249">
        <f>HYPERLINK("https://klasma.github.io/Logging_KALMAR/tillsynsmail/A 63949-2019.docx")</f>
        <v/>
      </c>
    </row>
    <row r="250" ht="15" customHeight="1">
      <c r="A250" t="inlineStr">
        <is>
          <t>A 8898-2020</t>
        </is>
      </c>
      <c r="B250" s="1" t="n">
        <v>43878</v>
      </c>
      <c r="C250" s="1" t="n">
        <v>45175</v>
      </c>
      <c r="D250" t="inlineStr">
        <is>
          <t>KALMAR LÄN</t>
        </is>
      </c>
      <c r="E250" t="inlineStr">
        <is>
          <t>MÖNSTERÅS</t>
        </is>
      </c>
      <c r="G250" t="n">
        <v>5.1</v>
      </c>
      <c r="H250" t="n">
        <v>2</v>
      </c>
      <c r="I250" t="n">
        <v>0</v>
      </c>
      <c r="J250" t="n">
        <v>0</v>
      </c>
      <c r="K250" t="n">
        <v>0</v>
      </c>
      <c r="L250" t="n">
        <v>0</v>
      </c>
      <c r="M250" t="n">
        <v>0</v>
      </c>
      <c r="N250" t="n">
        <v>0</v>
      </c>
      <c r="O250" t="n">
        <v>0</v>
      </c>
      <c r="P250" t="n">
        <v>0</v>
      </c>
      <c r="Q250" t="n">
        <v>2</v>
      </c>
      <c r="R250" s="2" t="inlineStr">
        <is>
          <t>Nattviol
Lopplummer</t>
        </is>
      </c>
      <c r="S250">
        <f>HYPERLINK("https://klasma.github.io/Logging_MONSTERAS/artfynd/A 8898-2020.xlsx")</f>
        <v/>
      </c>
      <c r="T250">
        <f>HYPERLINK("https://klasma.github.io/Logging_MONSTERAS/kartor/A 8898-2020.png")</f>
        <v/>
      </c>
      <c r="V250">
        <f>HYPERLINK("https://klasma.github.io/Logging_MONSTERAS/klagomål/A 8898-2020.docx")</f>
        <v/>
      </c>
      <c r="W250">
        <f>HYPERLINK("https://klasma.github.io/Logging_MONSTERAS/klagomålsmail/A 8898-2020.docx")</f>
        <v/>
      </c>
      <c r="X250">
        <f>HYPERLINK("https://klasma.github.io/Logging_MONSTERAS/tillsyn/A 8898-2020.docx")</f>
        <v/>
      </c>
      <c r="Y250">
        <f>HYPERLINK("https://klasma.github.io/Logging_MONSTERAS/tillsynsmail/A 8898-2020.docx")</f>
        <v/>
      </c>
    </row>
    <row r="251" ht="15" customHeight="1">
      <c r="A251" t="inlineStr">
        <is>
          <t>A 12722-2020</t>
        </is>
      </c>
      <c r="B251" s="1" t="n">
        <v>43899</v>
      </c>
      <c r="C251" s="1" t="n">
        <v>45175</v>
      </c>
      <c r="D251" t="inlineStr">
        <is>
          <t>KALMAR LÄN</t>
        </is>
      </c>
      <c r="E251" t="inlineStr">
        <is>
          <t>EMMABODA</t>
        </is>
      </c>
      <c r="G251" t="n">
        <v>2.2</v>
      </c>
      <c r="H251" t="n">
        <v>1</v>
      </c>
      <c r="I251" t="n">
        <v>0</v>
      </c>
      <c r="J251" t="n">
        <v>0</v>
      </c>
      <c r="K251" t="n">
        <v>0</v>
      </c>
      <c r="L251" t="n">
        <v>1</v>
      </c>
      <c r="M251" t="n">
        <v>0</v>
      </c>
      <c r="N251" t="n">
        <v>0</v>
      </c>
      <c r="O251" t="n">
        <v>1</v>
      </c>
      <c r="P251" t="n">
        <v>1</v>
      </c>
      <c r="Q251" t="n">
        <v>2</v>
      </c>
      <c r="R251" s="2" t="inlineStr">
        <is>
          <t>Ask
Revlummer</t>
        </is>
      </c>
      <c r="S251">
        <f>HYPERLINK("https://klasma.github.io/Logging_EMMABODA/artfynd/A 12722-2020.xlsx")</f>
        <v/>
      </c>
      <c r="T251">
        <f>HYPERLINK("https://klasma.github.io/Logging_EMMABODA/kartor/A 12722-2020.png")</f>
        <v/>
      </c>
      <c r="V251">
        <f>HYPERLINK("https://klasma.github.io/Logging_EMMABODA/klagomål/A 12722-2020.docx")</f>
        <v/>
      </c>
      <c r="W251">
        <f>HYPERLINK("https://klasma.github.io/Logging_EMMABODA/klagomålsmail/A 12722-2020.docx")</f>
        <v/>
      </c>
      <c r="X251">
        <f>HYPERLINK("https://klasma.github.io/Logging_EMMABODA/tillsyn/A 12722-2020.docx")</f>
        <v/>
      </c>
      <c r="Y251">
        <f>HYPERLINK("https://klasma.github.io/Logging_EMMABODA/tillsynsmail/A 12722-2020.docx")</f>
        <v/>
      </c>
    </row>
    <row r="252" ht="15" customHeight="1">
      <c r="A252" t="inlineStr">
        <is>
          <t>A 33362-2020</t>
        </is>
      </c>
      <c r="B252" s="1" t="n">
        <v>44021</v>
      </c>
      <c r="C252" s="1" t="n">
        <v>45175</v>
      </c>
      <c r="D252" t="inlineStr">
        <is>
          <t>KALMAR LÄN</t>
        </is>
      </c>
      <c r="E252" t="inlineStr">
        <is>
          <t>MÖNSTERÅS</t>
        </is>
      </c>
      <c r="G252" t="n">
        <v>2.6</v>
      </c>
      <c r="H252" t="n">
        <v>0</v>
      </c>
      <c r="I252" t="n">
        <v>0</v>
      </c>
      <c r="J252" t="n">
        <v>2</v>
      </c>
      <c r="K252" t="n">
        <v>0</v>
      </c>
      <c r="L252" t="n">
        <v>0</v>
      </c>
      <c r="M252" t="n">
        <v>0</v>
      </c>
      <c r="N252" t="n">
        <v>0</v>
      </c>
      <c r="O252" t="n">
        <v>2</v>
      </c>
      <c r="P252" t="n">
        <v>0</v>
      </c>
      <c r="Q252" t="n">
        <v>2</v>
      </c>
      <c r="R252" s="2" t="inlineStr">
        <is>
          <t>Ekgrenbock
Smalvingad blombock</t>
        </is>
      </c>
      <c r="S252">
        <f>HYPERLINK("https://klasma.github.io/Logging_MONSTERAS/artfynd/A 33362-2020.xlsx")</f>
        <v/>
      </c>
      <c r="T252">
        <f>HYPERLINK("https://klasma.github.io/Logging_MONSTERAS/kartor/A 33362-2020.png")</f>
        <v/>
      </c>
      <c r="V252">
        <f>HYPERLINK("https://klasma.github.io/Logging_MONSTERAS/klagomål/A 33362-2020.docx")</f>
        <v/>
      </c>
      <c r="W252">
        <f>HYPERLINK("https://klasma.github.io/Logging_MONSTERAS/klagomålsmail/A 33362-2020.docx")</f>
        <v/>
      </c>
      <c r="X252">
        <f>HYPERLINK("https://klasma.github.io/Logging_MONSTERAS/tillsyn/A 33362-2020.docx")</f>
        <v/>
      </c>
      <c r="Y252">
        <f>HYPERLINK("https://klasma.github.io/Logging_MONSTERAS/tillsynsmail/A 33362-2020.docx")</f>
        <v/>
      </c>
    </row>
    <row r="253" ht="15" customHeight="1">
      <c r="A253" t="inlineStr">
        <is>
          <t>A 38434-2020</t>
        </is>
      </c>
      <c r="B253" s="1" t="n">
        <v>44060</v>
      </c>
      <c r="C253" s="1" t="n">
        <v>45175</v>
      </c>
      <c r="D253" t="inlineStr">
        <is>
          <t>KALMAR LÄN</t>
        </is>
      </c>
      <c r="E253" t="inlineStr">
        <is>
          <t>HULTSFRED</t>
        </is>
      </c>
      <c r="G253" t="n">
        <v>2.3</v>
      </c>
      <c r="H253" t="n">
        <v>1</v>
      </c>
      <c r="I253" t="n">
        <v>1</v>
      </c>
      <c r="J253" t="n">
        <v>0</v>
      </c>
      <c r="K253" t="n">
        <v>0</v>
      </c>
      <c r="L253" t="n">
        <v>0</v>
      </c>
      <c r="M253" t="n">
        <v>0</v>
      </c>
      <c r="N253" t="n">
        <v>0</v>
      </c>
      <c r="O253" t="n">
        <v>0</v>
      </c>
      <c r="P253" t="n">
        <v>0</v>
      </c>
      <c r="Q253" t="n">
        <v>2</v>
      </c>
      <c r="R253" s="2" t="inlineStr">
        <is>
          <t>Sårläka
Blåsippa</t>
        </is>
      </c>
      <c r="S253">
        <f>HYPERLINK("https://klasma.github.io/Logging_HULTSFRED/artfynd/A 38434-2020.xlsx")</f>
        <v/>
      </c>
      <c r="T253">
        <f>HYPERLINK("https://klasma.github.io/Logging_HULTSFRED/kartor/A 38434-2020.png")</f>
        <v/>
      </c>
      <c r="V253">
        <f>HYPERLINK("https://klasma.github.io/Logging_HULTSFRED/klagomål/A 38434-2020.docx")</f>
        <v/>
      </c>
      <c r="W253">
        <f>HYPERLINK("https://klasma.github.io/Logging_HULTSFRED/klagomålsmail/A 38434-2020.docx")</f>
        <v/>
      </c>
      <c r="X253">
        <f>HYPERLINK("https://klasma.github.io/Logging_HULTSFRED/tillsyn/A 38434-2020.docx")</f>
        <v/>
      </c>
      <c r="Y253">
        <f>HYPERLINK("https://klasma.github.io/Logging_HULTSFRED/tillsynsmail/A 38434-2020.docx")</f>
        <v/>
      </c>
    </row>
    <row r="254" ht="15" customHeight="1">
      <c r="A254" t="inlineStr">
        <is>
          <t>A 43921-2020</t>
        </is>
      </c>
      <c r="B254" s="1" t="n">
        <v>44083</v>
      </c>
      <c r="C254" s="1" t="n">
        <v>45175</v>
      </c>
      <c r="D254" t="inlineStr">
        <is>
          <t>KALMAR LÄN</t>
        </is>
      </c>
      <c r="E254" t="inlineStr">
        <is>
          <t>HULTSFRED</t>
        </is>
      </c>
      <c r="G254" t="n">
        <v>0.7</v>
      </c>
      <c r="H254" t="n">
        <v>1</v>
      </c>
      <c r="I254" t="n">
        <v>0</v>
      </c>
      <c r="J254" t="n">
        <v>0</v>
      </c>
      <c r="K254" t="n">
        <v>0</v>
      </c>
      <c r="L254" t="n">
        <v>1</v>
      </c>
      <c r="M254" t="n">
        <v>0</v>
      </c>
      <c r="N254" t="n">
        <v>0</v>
      </c>
      <c r="O254" t="n">
        <v>1</v>
      </c>
      <c r="P254" t="n">
        <v>1</v>
      </c>
      <c r="Q254" t="n">
        <v>2</v>
      </c>
      <c r="R254" s="2" t="inlineStr">
        <is>
          <t>Ask
Blåsippa</t>
        </is>
      </c>
      <c r="S254">
        <f>HYPERLINK("https://klasma.github.io/Logging_HULTSFRED/artfynd/A 43921-2020.xlsx")</f>
        <v/>
      </c>
      <c r="T254">
        <f>HYPERLINK("https://klasma.github.io/Logging_HULTSFRED/kartor/A 43921-2020.png")</f>
        <v/>
      </c>
      <c r="V254">
        <f>HYPERLINK("https://klasma.github.io/Logging_HULTSFRED/klagomål/A 43921-2020.docx")</f>
        <v/>
      </c>
      <c r="W254">
        <f>HYPERLINK("https://klasma.github.io/Logging_HULTSFRED/klagomålsmail/A 43921-2020.docx")</f>
        <v/>
      </c>
      <c r="X254">
        <f>HYPERLINK("https://klasma.github.io/Logging_HULTSFRED/tillsyn/A 43921-2020.docx")</f>
        <v/>
      </c>
      <c r="Y254">
        <f>HYPERLINK("https://klasma.github.io/Logging_HULTSFRED/tillsynsmail/A 43921-2020.docx")</f>
        <v/>
      </c>
    </row>
    <row r="255" ht="15" customHeight="1">
      <c r="A255" t="inlineStr">
        <is>
          <t>A 47493-2020</t>
        </is>
      </c>
      <c r="B255" s="1" t="n">
        <v>44098</v>
      </c>
      <c r="C255" s="1" t="n">
        <v>45175</v>
      </c>
      <c r="D255" t="inlineStr">
        <is>
          <t>KALMAR LÄN</t>
        </is>
      </c>
      <c r="E255" t="inlineStr">
        <is>
          <t>HULTSFRED</t>
        </is>
      </c>
      <c r="G255" t="n">
        <v>1.3</v>
      </c>
      <c r="H255" t="n">
        <v>2</v>
      </c>
      <c r="I255" t="n">
        <v>1</v>
      </c>
      <c r="J255" t="n">
        <v>0</v>
      </c>
      <c r="K255" t="n">
        <v>1</v>
      </c>
      <c r="L255" t="n">
        <v>0</v>
      </c>
      <c r="M255" t="n">
        <v>0</v>
      </c>
      <c r="N255" t="n">
        <v>0</v>
      </c>
      <c r="O255" t="n">
        <v>1</v>
      </c>
      <c r="P255" t="n">
        <v>1</v>
      </c>
      <c r="Q255" t="n">
        <v>2</v>
      </c>
      <c r="R255" s="2" t="inlineStr">
        <is>
          <t>Knärot
Plattlummer</t>
        </is>
      </c>
      <c r="S255">
        <f>HYPERLINK("https://klasma.github.io/Logging_HULTSFRED/artfynd/A 47493-2020.xlsx")</f>
        <v/>
      </c>
      <c r="T255">
        <f>HYPERLINK("https://klasma.github.io/Logging_HULTSFRED/kartor/A 47493-2020.png")</f>
        <v/>
      </c>
      <c r="U255">
        <f>HYPERLINK("https://klasma.github.io/Logging_HULTSFRED/knärot/A 47493-2020.png")</f>
        <v/>
      </c>
      <c r="V255">
        <f>HYPERLINK("https://klasma.github.io/Logging_HULTSFRED/klagomål/A 47493-2020.docx")</f>
        <v/>
      </c>
      <c r="W255">
        <f>HYPERLINK("https://klasma.github.io/Logging_HULTSFRED/klagomålsmail/A 47493-2020.docx")</f>
        <v/>
      </c>
      <c r="X255">
        <f>HYPERLINK("https://klasma.github.io/Logging_HULTSFRED/tillsyn/A 47493-2020.docx")</f>
        <v/>
      </c>
      <c r="Y255">
        <f>HYPERLINK("https://klasma.github.io/Logging_HULTSFRED/tillsynsmail/A 47493-2020.docx")</f>
        <v/>
      </c>
    </row>
    <row r="256" ht="15" customHeight="1">
      <c r="A256" t="inlineStr">
        <is>
          <t>A 51270-2020</t>
        </is>
      </c>
      <c r="B256" s="1" t="n">
        <v>44112</v>
      </c>
      <c r="C256" s="1" t="n">
        <v>45175</v>
      </c>
      <c r="D256" t="inlineStr">
        <is>
          <t>KALMAR LÄN</t>
        </is>
      </c>
      <c r="E256" t="inlineStr">
        <is>
          <t>NYBRO</t>
        </is>
      </c>
      <c r="G256" t="n">
        <v>7.2</v>
      </c>
      <c r="H256" t="n">
        <v>1</v>
      </c>
      <c r="I256" t="n">
        <v>0</v>
      </c>
      <c r="J256" t="n">
        <v>1</v>
      </c>
      <c r="K256" t="n">
        <v>1</v>
      </c>
      <c r="L256" t="n">
        <v>0</v>
      </c>
      <c r="M256" t="n">
        <v>0</v>
      </c>
      <c r="N256" t="n">
        <v>0</v>
      </c>
      <c r="O256" t="n">
        <v>2</v>
      </c>
      <c r="P256" t="n">
        <v>1</v>
      </c>
      <c r="Q256" t="n">
        <v>2</v>
      </c>
      <c r="R256" s="2" t="inlineStr">
        <is>
          <t>Knärot
Ullticka</t>
        </is>
      </c>
      <c r="S256">
        <f>HYPERLINK("https://klasma.github.io/Logging_NYBRO/artfynd/A 51270-2020.xlsx")</f>
        <v/>
      </c>
      <c r="T256">
        <f>HYPERLINK("https://klasma.github.io/Logging_NYBRO/kartor/A 51270-2020.png")</f>
        <v/>
      </c>
      <c r="U256">
        <f>HYPERLINK("https://klasma.github.io/Logging_NYBRO/knärot/A 51270-2020.png")</f>
        <v/>
      </c>
      <c r="V256">
        <f>HYPERLINK("https://klasma.github.io/Logging_NYBRO/klagomål/A 51270-2020.docx")</f>
        <v/>
      </c>
      <c r="W256">
        <f>HYPERLINK("https://klasma.github.io/Logging_NYBRO/klagomålsmail/A 51270-2020.docx")</f>
        <v/>
      </c>
      <c r="X256">
        <f>HYPERLINK("https://klasma.github.io/Logging_NYBRO/tillsyn/A 51270-2020.docx")</f>
        <v/>
      </c>
      <c r="Y256">
        <f>HYPERLINK("https://klasma.github.io/Logging_NYBRO/tillsynsmail/A 51270-2020.docx")</f>
        <v/>
      </c>
    </row>
    <row r="257" ht="15" customHeight="1">
      <c r="A257" t="inlineStr">
        <is>
          <t>A 53115-2020</t>
        </is>
      </c>
      <c r="B257" s="1" t="n">
        <v>44120</v>
      </c>
      <c r="C257" s="1" t="n">
        <v>45175</v>
      </c>
      <c r="D257" t="inlineStr">
        <is>
          <t>KALMAR LÄN</t>
        </is>
      </c>
      <c r="E257" t="inlineStr">
        <is>
          <t>NYBRO</t>
        </is>
      </c>
      <c r="G257" t="n">
        <v>6.2</v>
      </c>
      <c r="H257" t="n">
        <v>1</v>
      </c>
      <c r="I257" t="n">
        <v>1</v>
      </c>
      <c r="J257" t="n">
        <v>1</v>
      </c>
      <c r="K257" t="n">
        <v>0</v>
      </c>
      <c r="L257" t="n">
        <v>0</v>
      </c>
      <c r="M257" t="n">
        <v>0</v>
      </c>
      <c r="N257" t="n">
        <v>0</v>
      </c>
      <c r="O257" t="n">
        <v>1</v>
      </c>
      <c r="P257" t="n">
        <v>0</v>
      </c>
      <c r="Q257" t="n">
        <v>2</v>
      </c>
      <c r="R257" s="2" t="inlineStr">
        <is>
          <t>Granticka
Grön sköldmossa</t>
        </is>
      </c>
      <c r="S257">
        <f>HYPERLINK("https://klasma.github.io/Logging_NYBRO/artfynd/A 53115-2020.xlsx")</f>
        <v/>
      </c>
      <c r="T257">
        <f>HYPERLINK("https://klasma.github.io/Logging_NYBRO/kartor/A 53115-2020.png")</f>
        <v/>
      </c>
      <c r="V257">
        <f>HYPERLINK("https://klasma.github.io/Logging_NYBRO/klagomål/A 53115-2020.docx")</f>
        <v/>
      </c>
      <c r="W257">
        <f>HYPERLINK("https://klasma.github.io/Logging_NYBRO/klagomålsmail/A 53115-2020.docx")</f>
        <v/>
      </c>
      <c r="X257">
        <f>HYPERLINK("https://klasma.github.io/Logging_NYBRO/tillsyn/A 53115-2020.docx")</f>
        <v/>
      </c>
      <c r="Y257">
        <f>HYPERLINK("https://klasma.github.io/Logging_NYBRO/tillsynsmail/A 53115-2020.docx")</f>
        <v/>
      </c>
    </row>
    <row r="258" ht="15" customHeight="1">
      <c r="A258" t="inlineStr">
        <is>
          <t>A 58410-2020</t>
        </is>
      </c>
      <c r="B258" s="1" t="n">
        <v>44145</v>
      </c>
      <c r="C258" s="1" t="n">
        <v>45175</v>
      </c>
      <c r="D258" t="inlineStr">
        <is>
          <t>KALMAR LÄN</t>
        </is>
      </c>
      <c r="E258" t="inlineStr">
        <is>
          <t>NYBRO</t>
        </is>
      </c>
      <c r="G258" t="n">
        <v>4.5</v>
      </c>
      <c r="H258" t="n">
        <v>0</v>
      </c>
      <c r="I258" t="n">
        <v>2</v>
      </c>
      <c r="J258" t="n">
        <v>0</v>
      </c>
      <c r="K258" t="n">
        <v>0</v>
      </c>
      <c r="L258" t="n">
        <v>0</v>
      </c>
      <c r="M258" t="n">
        <v>0</v>
      </c>
      <c r="N258" t="n">
        <v>0</v>
      </c>
      <c r="O258" t="n">
        <v>0</v>
      </c>
      <c r="P258" t="n">
        <v>0</v>
      </c>
      <c r="Q258" t="n">
        <v>2</v>
      </c>
      <c r="R258" s="2" t="inlineStr">
        <is>
          <t>Fjällig taggsvamp s.str.
Tjockfotad fingersvamp</t>
        </is>
      </c>
      <c r="S258">
        <f>HYPERLINK("https://klasma.github.io/Logging_NYBRO/artfynd/A 58410-2020.xlsx")</f>
        <v/>
      </c>
      <c r="T258">
        <f>HYPERLINK("https://klasma.github.io/Logging_NYBRO/kartor/A 58410-2020.png")</f>
        <v/>
      </c>
      <c r="V258">
        <f>HYPERLINK("https://klasma.github.io/Logging_NYBRO/klagomål/A 58410-2020.docx")</f>
        <v/>
      </c>
      <c r="W258">
        <f>HYPERLINK("https://klasma.github.io/Logging_NYBRO/klagomålsmail/A 58410-2020.docx")</f>
        <v/>
      </c>
      <c r="X258">
        <f>HYPERLINK("https://klasma.github.io/Logging_NYBRO/tillsyn/A 58410-2020.docx")</f>
        <v/>
      </c>
      <c r="Y258">
        <f>HYPERLINK("https://klasma.github.io/Logging_NYBRO/tillsynsmail/A 58410-2020.docx")</f>
        <v/>
      </c>
    </row>
    <row r="259" ht="15" customHeight="1">
      <c r="A259" t="inlineStr">
        <is>
          <t>A 62745-2020</t>
        </is>
      </c>
      <c r="B259" s="1" t="n">
        <v>44161</v>
      </c>
      <c r="C259" s="1" t="n">
        <v>45175</v>
      </c>
      <c r="D259" t="inlineStr">
        <is>
          <t>KALMAR LÄN</t>
        </is>
      </c>
      <c r="E259" t="inlineStr">
        <is>
          <t>OSKARSHAMN</t>
        </is>
      </c>
      <c r="G259" t="n">
        <v>3.3</v>
      </c>
      <c r="H259" t="n">
        <v>1</v>
      </c>
      <c r="I259" t="n">
        <v>0</v>
      </c>
      <c r="J259" t="n">
        <v>1</v>
      </c>
      <c r="K259" t="n">
        <v>0</v>
      </c>
      <c r="L259" t="n">
        <v>1</v>
      </c>
      <c r="M259" t="n">
        <v>0</v>
      </c>
      <c r="N259" t="n">
        <v>0</v>
      </c>
      <c r="O259" t="n">
        <v>2</v>
      </c>
      <c r="P259" t="n">
        <v>1</v>
      </c>
      <c r="Q259" t="n">
        <v>2</v>
      </c>
      <c r="R259" s="2" t="inlineStr">
        <is>
          <t>Tornseglare
Klubbsprötad bastardsvärmare</t>
        </is>
      </c>
      <c r="S259">
        <f>HYPERLINK("https://klasma.github.io/Logging_OSKARSHAMN/artfynd/A 62745-2020.xlsx")</f>
        <v/>
      </c>
      <c r="T259">
        <f>HYPERLINK("https://klasma.github.io/Logging_OSKARSHAMN/kartor/A 62745-2020.png")</f>
        <v/>
      </c>
      <c r="V259">
        <f>HYPERLINK("https://klasma.github.io/Logging_OSKARSHAMN/klagomål/A 62745-2020.docx")</f>
        <v/>
      </c>
      <c r="W259">
        <f>HYPERLINK("https://klasma.github.io/Logging_OSKARSHAMN/klagomålsmail/A 62745-2020.docx")</f>
        <v/>
      </c>
      <c r="X259">
        <f>HYPERLINK("https://klasma.github.io/Logging_OSKARSHAMN/tillsyn/A 62745-2020.docx")</f>
        <v/>
      </c>
      <c r="Y259">
        <f>HYPERLINK("https://klasma.github.io/Logging_OSKARSHAMN/tillsynsmail/A 62745-2020.docx")</f>
        <v/>
      </c>
    </row>
    <row r="260" ht="15" customHeight="1">
      <c r="A260" t="inlineStr">
        <is>
          <t>A 1955-2021</t>
        </is>
      </c>
      <c r="B260" s="1" t="n">
        <v>44210</v>
      </c>
      <c r="C260" s="1" t="n">
        <v>45175</v>
      </c>
      <c r="D260" t="inlineStr">
        <is>
          <t>KALMAR LÄN</t>
        </is>
      </c>
      <c r="E260" t="inlineStr">
        <is>
          <t>VÄSTERVIK</t>
        </is>
      </c>
      <c r="G260" t="n">
        <v>5.3</v>
      </c>
      <c r="H260" t="n">
        <v>2</v>
      </c>
      <c r="I260" t="n">
        <v>0</v>
      </c>
      <c r="J260" t="n">
        <v>2</v>
      </c>
      <c r="K260" t="n">
        <v>0</v>
      </c>
      <c r="L260" t="n">
        <v>0</v>
      </c>
      <c r="M260" t="n">
        <v>0</v>
      </c>
      <c r="N260" t="n">
        <v>0</v>
      </c>
      <c r="O260" t="n">
        <v>2</v>
      </c>
      <c r="P260" t="n">
        <v>0</v>
      </c>
      <c r="Q260" t="n">
        <v>2</v>
      </c>
      <c r="R260" s="2" t="inlineStr">
        <is>
          <t>Spillkråka
Talltita</t>
        </is>
      </c>
      <c r="S260">
        <f>HYPERLINK("https://klasma.github.io/Logging_VASTERVIK/artfynd/A 1955-2021.xlsx")</f>
        <v/>
      </c>
      <c r="T260">
        <f>HYPERLINK("https://klasma.github.io/Logging_VASTERVIK/kartor/A 1955-2021.png")</f>
        <v/>
      </c>
      <c r="V260">
        <f>HYPERLINK("https://klasma.github.io/Logging_VASTERVIK/klagomål/A 1955-2021.docx")</f>
        <v/>
      </c>
      <c r="W260">
        <f>HYPERLINK("https://klasma.github.io/Logging_VASTERVIK/klagomålsmail/A 1955-2021.docx")</f>
        <v/>
      </c>
      <c r="X260">
        <f>HYPERLINK("https://klasma.github.io/Logging_VASTERVIK/tillsyn/A 1955-2021.docx")</f>
        <v/>
      </c>
      <c r="Y260">
        <f>HYPERLINK("https://klasma.github.io/Logging_VASTERVIK/tillsynsmail/A 1955-2021.docx")</f>
        <v/>
      </c>
    </row>
    <row r="261" ht="15" customHeight="1">
      <c r="A261" t="inlineStr">
        <is>
          <t>A 3238-2021</t>
        </is>
      </c>
      <c r="B261" s="1" t="n">
        <v>44215</v>
      </c>
      <c r="C261" s="1" t="n">
        <v>45175</v>
      </c>
      <c r="D261" t="inlineStr">
        <is>
          <t>KALMAR LÄN</t>
        </is>
      </c>
      <c r="E261" t="inlineStr">
        <is>
          <t>MÖNSTERÅS</t>
        </is>
      </c>
      <c r="G261" t="n">
        <v>17.1</v>
      </c>
      <c r="H261" t="n">
        <v>1</v>
      </c>
      <c r="I261" t="n">
        <v>1</v>
      </c>
      <c r="J261" t="n">
        <v>0</v>
      </c>
      <c r="K261" t="n">
        <v>0</v>
      </c>
      <c r="L261" t="n">
        <v>0</v>
      </c>
      <c r="M261" t="n">
        <v>0</v>
      </c>
      <c r="N261" t="n">
        <v>0</v>
      </c>
      <c r="O261" t="n">
        <v>0</v>
      </c>
      <c r="P261" t="n">
        <v>0</v>
      </c>
      <c r="Q261" t="n">
        <v>2</v>
      </c>
      <c r="R261" s="2" t="inlineStr">
        <is>
          <t>Granbarkgnagare
Mattlummer</t>
        </is>
      </c>
      <c r="S261">
        <f>HYPERLINK("https://klasma.github.io/Logging_MONSTERAS/artfynd/A 3238-2021.xlsx")</f>
        <v/>
      </c>
      <c r="T261">
        <f>HYPERLINK("https://klasma.github.io/Logging_MONSTERAS/kartor/A 3238-2021.png")</f>
        <v/>
      </c>
      <c r="V261">
        <f>HYPERLINK("https://klasma.github.io/Logging_MONSTERAS/klagomål/A 3238-2021.docx")</f>
        <v/>
      </c>
      <c r="W261">
        <f>HYPERLINK("https://klasma.github.io/Logging_MONSTERAS/klagomålsmail/A 3238-2021.docx")</f>
        <v/>
      </c>
      <c r="X261">
        <f>HYPERLINK("https://klasma.github.io/Logging_MONSTERAS/tillsyn/A 3238-2021.docx")</f>
        <v/>
      </c>
      <c r="Y261">
        <f>HYPERLINK("https://klasma.github.io/Logging_MONSTERAS/tillsynsmail/A 3238-2021.docx")</f>
        <v/>
      </c>
    </row>
    <row r="262" ht="15" customHeight="1">
      <c r="A262" t="inlineStr">
        <is>
          <t>A 2921-2021</t>
        </is>
      </c>
      <c r="B262" s="1" t="n">
        <v>44216</v>
      </c>
      <c r="C262" s="1" t="n">
        <v>45175</v>
      </c>
      <c r="D262" t="inlineStr">
        <is>
          <t>KALMAR LÄN</t>
        </is>
      </c>
      <c r="E262" t="inlineStr">
        <is>
          <t>TORSÅS</t>
        </is>
      </c>
      <c r="G262" t="n">
        <v>2.7</v>
      </c>
      <c r="H262" t="n">
        <v>2</v>
      </c>
      <c r="I262" t="n">
        <v>0</v>
      </c>
      <c r="J262" t="n">
        <v>1</v>
      </c>
      <c r="K262" t="n">
        <v>0</v>
      </c>
      <c r="L262" t="n">
        <v>0</v>
      </c>
      <c r="M262" t="n">
        <v>0</v>
      </c>
      <c r="N262" t="n">
        <v>0</v>
      </c>
      <c r="O262" t="n">
        <v>1</v>
      </c>
      <c r="P262" t="n">
        <v>0</v>
      </c>
      <c r="Q262" t="n">
        <v>2</v>
      </c>
      <c r="R262" s="2" t="inlineStr">
        <is>
          <t>Nordfladdermus
Gråskimlig fladdermus</t>
        </is>
      </c>
      <c r="S262">
        <f>HYPERLINK("https://klasma.github.io/Logging_TORSAS/artfynd/A 2921-2021.xlsx")</f>
        <v/>
      </c>
      <c r="T262">
        <f>HYPERLINK("https://klasma.github.io/Logging_TORSAS/kartor/A 2921-2021.png")</f>
        <v/>
      </c>
      <c r="V262">
        <f>HYPERLINK("https://klasma.github.io/Logging_TORSAS/klagomål/A 2921-2021.docx")</f>
        <v/>
      </c>
      <c r="W262">
        <f>HYPERLINK("https://klasma.github.io/Logging_TORSAS/klagomålsmail/A 2921-2021.docx")</f>
        <v/>
      </c>
      <c r="X262">
        <f>HYPERLINK("https://klasma.github.io/Logging_TORSAS/tillsyn/A 2921-2021.docx")</f>
        <v/>
      </c>
      <c r="Y262">
        <f>HYPERLINK("https://klasma.github.io/Logging_TORSAS/tillsynsmail/A 2921-2021.docx")</f>
        <v/>
      </c>
    </row>
    <row r="263" ht="15" customHeight="1">
      <c r="A263" t="inlineStr">
        <is>
          <t>A 3975-2021</t>
        </is>
      </c>
      <c r="B263" s="1" t="n">
        <v>44222</v>
      </c>
      <c r="C263" s="1" t="n">
        <v>45175</v>
      </c>
      <c r="D263" t="inlineStr">
        <is>
          <t>KALMAR LÄN</t>
        </is>
      </c>
      <c r="E263" t="inlineStr">
        <is>
          <t>MÖRBYLÅNGA</t>
        </is>
      </c>
      <c r="G263" t="n">
        <v>6</v>
      </c>
      <c r="H263" t="n">
        <v>0</v>
      </c>
      <c r="I263" t="n">
        <v>1</v>
      </c>
      <c r="J263" t="n">
        <v>0</v>
      </c>
      <c r="K263" t="n">
        <v>0</v>
      </c>
      <c r="L263" t="n">
        <v>0</v>
      </c>
      <c r="M263" t="n">
        <v>1</v>
      </c>
      <c r="N263" t="n">
        <v>0</v>
      </c>
      <c r="O263" t="n">
        <v>1</v>
      </c>
      <c r="P263" t="n">
        <v>1</v>
      </c>
      <c r="Q263" t="n">
        <v>2</v>
      </c>
      <c r="R263" s="2" t="inlineStr">
        <is>
          <t>Järnek
Sårläka</t>
        </is>
      </c>
      <c r="S263">
        <f>HYPERLINK("https://klasma.github.io/Logging_MORBYLANGA/artfynd/A 3975-2021.xlsx")</f>
        <v/>
      </c>
      <c r="T263">
        <f>HYPERLINK("https://klasma.github.io/Logging_MORBYLANGA/kartor/A 3975-2021.png")</f>
        <v/>
      </c>
      <c r="V263">
        <f>HYPERLINK("https://klasma.github.io/Logging_MORBYLANGA/klagomål/A 3975-2021.docx")</f>
        <v/>
      </c>
      <c r="W263">
        <f>HYPERLINK("https://klasma.github.io/Logging_MORBYLANGA/klagomålsmail/A 3975-2021.docx")</f>
        <v/>
      </c>
      <c r="X263">
        <f>HYPERLINK("https://klasma.github.io/Logging_MORBYLANGA/tillsyn/A 3975-2021.docx")</f>
        <v/>
      </c>
      <c r="Y263">
        <f>HYPERLINK("https://klasma.github.io/Logging_MORBYLANGA/tillsynsmail/A 3975-2021.docx")</f>
        <v/>
      </c>
    </row>
    <row r="264" ht="15" customHeight="1">
      <c r="A264" t="inlineStr">
        <is>
          <t>A 6384-2021</t>
        </is>
      </c>
      <c r="B264" s="1" t="n">
        <v>44235</v>
      </c>
      <c r="C264" s="1" t="n">
        <v>45175</v>
      </c>
      <c r="D264" t="inlineStr">
        <is>
          <t>KALMAR LÄN</t>
        </is>
      </c>
      <c r="E264" t="inlineStr">
        <is>
          <t>HULTSFRED</t>
        </is>
      </c>
      <c r="G264" t="n">
        <v>10.8</v>
      </c>
      <c r="H264" t="n">
        <v>2</v>
      </c>
      <c r="I264" t="n">
        <v>0</v>
      </c>
      <c r="J264" t="n">
        <v>1</v>
      </c>
      <c r="K264" t="n">
        <v>0</v>
      </c>
      <c r="L264" t="n">
        <v>0</v>
      </c>
      <c r="M264" t="n">
        <v>0</v>
      </c>
      <c r="N264" t="n">
        <v>0</v>
      </c>
      <c r="O264" t="n">
        <v>1</v>
      </c>
      <c r="P264" t="n">
        <v>0</v>
      </c>
      <c r="Q264" t="n">
        <v>2</v>
      </c>
      <c r="R264" s="2" t="inlineStr">
        <is>
          <t>Spillkråka
Vanlig padda</t>
        </is>
      </c>
      <c r="S264">
        <f>HYPERLINK("https://klasma.github.io/Logging_HULTSFRED/artfynd/A 6384-2021.xlsx")</f>
        <v/>
      </c>
      <c r="T264">
        <f>HYPERLINK("https://klasma.github.io/Logging_HULTSFRED/kartor/A 6384-2021.png")</f>
        <v/>
      </c>
      <c r="V264">
        <f>HYPERLINK("https://klasma.github.io/Logging_HULTSFRED/klagomål/A 6384-2021.docx")</f>
        <v/>
      </c>
      <c r="W264">
        <f>HYPERLINK("https://klasma.github.io/Logging_HULTSFRED/klagomålsmail/A 6384-2021.docx")</f>
        <v/>
      </c>
      <c r="X264">
        <f>HYPERLINK("https://klasma.github.io/Logging_HULTSFRED/tillsyn/A 6384-2021.docx")</f>
        <v/>
      </c>
      <c r="Y264">
        <f>HYPERLINK("https://klasma.github.io/Logging_HULTSFRED/tillsynsmail/A 6384-2021.docx")</f>
        <v/>
      </c>
    </row>
    <row r="265" ht="15" customHeight="1">
      <c r="A265" t="inlineStr">
        <is>
          <t>A 6396-2021</t>
        </is>
      </c>
      <c r="B265" s="1" t="n">
        <v>44235</v>
      </c>
      <c r="C265" s="1" t="n">
        <v>45175</v>
      </c>
      <c r="D265" t="inlineStr">
        <is>
          <t>KALMAR LÄN</t>
        </is>
      </c>
      <c r="E265" t="inlineStr">
        <is>
          <t>HULTSFRED</t>
        </is>
      </c>
      <c r="G265" t="n">
        <v>0.6</v>
      </c>
      <c r="H265" t="n">
        <v>2</v>
      </c>
      <c r="I265" t="n">
        <v>0</v>
      </c>
      <c r="J265" t="n">
        <v>1</v>
      </c>
      <c r="K265" t="n">
        <v>0</v>
      </c>
      <c r="L265" t="n">
        <v>0</v>
      </c>
      <c r="M265" t="n">
        <v>0</v>
      </c>
      <c r="N265" t="n">
        <v>0</v>
      </c>
      <c r="O265" t="n">
        <v>1</v>
      </c>
      <c r="P265" t="n">
        <v>0</v>
      </c>
      <c r="Q265" t="n">
        <v>2</v>
      </c>
      <c r="R265" s="2" t="inlineStr">
        <is>
          <t>Spillkråka
Revlummer</t>
        </is>
      </c>
      <c r="S265">
        <f>HYPERLINK("https://klasma.github.io/Logging_HULTSFRED/artfynd/A 6396-2021.xlsx")</f>
        <v/>
      </c>
      <c r="T265">
        <f>HYPERLINK("https://klasma.github.io/Logging_HULTSFRED/kartor/A 6396-2021.png")</f>
        <v/>
      </c>
      <c r="V265">
        <f>HYPERLINK("https://klasma.github.io/Logging_HULTSFRED/klagomål/A 6396-2021.docx")</f>
        <v/>
      </c>
      <c r="W265">
        <f>HYPERLINK("https://klasma.github.io/Logging_HULTSFRED/klagomålsmail/A 6396-2021.docx")</f>
        <v/>
      </c>
      <c r="X265">
        <f>HYPERLINK("https://klasma.github.io/Logging_HULTSFRED/tillsyn/A 6396-2021.docx")</f>
        <v/>
      </c>
      <c r="Y265">
        <f>HYPERLINK("https://klasma.github.io/Logging_HULTSFRED/tillsynsmail/A 6396-2021.docx")</f>
        <v/>
      </c>
    </row>
    <row r="266" ht="15" customHeight="1">
      <c r="A266" t="inlineStr">
        <is>
          <t>A 12093-2021</t>
        </is>
      </c>
      <c r="B266" s="1" t="n">
        <v>44266</v>
      </c>
      <c r="C266" s="1" t="n">
        <v>45175</v>
      </c>
      <c r="D266" t="inlineStr">
        <is>
          <t>KALMAR LÄN</t>
        </is>
      </c>
      <c r="E266" t="inlineStr">
        <is>
          <t>NYBRO</t>
        </is>
      </c>
      <c r="G266" t="n">
        <v>1.3</v>
      </c>
      <c r="H266" t="n">
        <v>0</v>
      </c>
      <c r="I266" t="n">
        <v>0</v>
      </c>
      <c r="J266" t="n">
        <v>2</v>
      </c>
      <c r="K266" t="n">
        <v>0</v>
      </c>
      <c r="L266" t="n">
        <v>0</v>
      </c>
      <c r="M266" t="n">
        <v>0</v>
      </c>
      <c r="N266" t="n">
        <v>0</v>
      </c>
      <c r="O266" t="n">
        <v>2</v>
      </c>
      <c r="P266" t="n">
        <v>0</v>
      </c>
      <c r="Q266" t="n">
        <v>2</v>
      </c>
      <c r="R266" s="2" t="inlineStr">
        <is>
          <t>Spindelört
Spindelörtskinnbagge</t>
        </is>
      </c>
      <c r="S266">
        <f>HYPERLINK("https://klasma.github.io/Logging_NYBRO/artfynd/A 12093-2021.xlsx")</f>
        <v/>
      </c>
      <c r="T266">
        <f>HYPERLINK("https://klasma.github.io/Logging_NYBRO/kartor/A 12093-2021.png")</f>
        <v/>
      </c>
      <c r="V266">
        <f>HYPERLINK("https://klasma.github.io/Logging_NYBRO/klagomål/A 12093-2021.docx")</f>
        <v/>
      </c>
      <c r="W266">
        <f>HYPERLINK("https://klasma.github.io/Logging_NYBRO/klagomålsmail/A 12093-2021.docx")</f>
        <v/>
      </c>
      <c r="X266">
        <f>HYPERLINK("https://klasma.github.io/Logging_NYBRO/tillsyn/A 12093-2021.docx")</f>
        <v/>
      </c>
      <c r="Y266">
        <f>HYPERLINK("https://klasma.github.io/Logging_NYBRO/tillsynsmail/A 12093-2021.docx")</f>
        <v/>
      </c>
    </row>
    <row r="267" ht="15" customHeight="1">
      <c r="A267" t="inlineStr">
        <is>
          <t>A 14246-2021</t>
        </is>
      </c>
      <c r="B267" s="1" t="n">
        <v>44278</v>
      </c>
      <c r="C267" s="1" t="n">
        <v>45175</v>
      </c>
      <c r="D267" t="inlineStr">
        <is>
          <t>KALMAR LÄN</t>
        </is>
      </c>
      <c r="E267" t="inlineStr">
        <is>
          <t>HULTSFRED</t>
        </is>
      </c>
      <c r="G267" t="n">
        <v>5</v>
      </c>
      <c r="H267" t="n">
        <v>1</v>
      </c>
      <c r="I267" t="n">
        <v>2</v>
      </c>
      <c r="J267" t="n">
        <v>0</v>
      </c>
      <c r="K267" t="n">
        <v>0</v>
      </c>
      <c r="L267" t="n">
        <v>0</v>
      </c>
      <c r="M267" t="n">
        <v>0</v>
      </c>
      <c r="N267" t="n">
        <v>0</v>
      </c>
      <c r="O267" t="n">
        <v>0</v>
      </c>
      <c r="P267" t="n">
        <v>0</v>
      </c>
      <c r="Q267" t="n">
        <v>2</v>
      </c>
      <c r="R267" s="2" t="inlineStr">
        <is>
          <t>Purpurknipprot
Underviol</t>
        </is>
      </c>
      <c r="S267">
        <f>HYPERLINK("https://klasma.github.io/Logging_HULTSFRED/artfynd/A 14246-2021.xlsx")</f>
        <v/>
      </c>
      <c r="T267">
        <f>HYPERLINK("https://klasma.github.io/Logging_HULTSFRED/kartor/A 14246-2021.png")</f>
        <v/>
      </c>
      <c r="V267">
        <f>HYPERLINK("https://klasma.github.io/Logging_HULTSFRED/klagomål/A 14246-2021.docx")</f>
        <v/>
      </c>
      <c r="W267">
        <f>HYPERLINK("https://klasma.github.io/Logging_HULTSFRED/klagomålsmail/A 14246-2021.docx")</f>
        <v/>
      </c>
      <c r="X267">
        <f>HYPERLINK("https://klasma.github.io/Logging_HULTSFRED/tillsyn/A 14246-2021.docx")</f>
        <v/>
      </c>
      <c r="Y267">
        <f>HYPERLINK("https://klasma.github.io/Logging_HULTSFRED/tillsynsmail/A 14246-2021.docx")</f>
        <v/>
      </c>
    </row>
    <row r="268" ht="15" customHeight="1">
      <c r="A268" t="inlineStr">
        <is>
          <t>A 14626-2021</t>
        </is>
      </c>
      <c r="B268" s="1" t="n">
        <v>44280</v>
      </c>
      <c r="C268" s="1" t="n">
        <v>45175</v>
      </c>
      <c r="D268" t="inlineStr">
        <is>
          <t>KALMAR LÄN</t>
        </is>
      </c>
      <c r="E268" t="inlineStr">
        <is>
          <t>HULTSFRED</t>
        </is>
      </c>
      <c r="G268" t="n">
        <v>19.3</v>
      </c>
      <c r="H268" t="n">
        <v>0</v>
      </c>
      <c r="I268" t="n">
        <v>1</v>
      </c>
      <c r="J268" t="n">
        <v>1</v>
      </c>
      <c r="K268" t="n">
        <v>0</v>
      </c>
      <c r="L268" t="n">
        <v>0</v>
      </c>
      <c r="M268" t="n">
        <v>0</v>
      </c>
      <c r="N268" t="n">
        <v>0</v>
      </c>
      <c r="O268" t="n">
        <v>1</v>
      </c>
      <c r="P268" t="n">
        <v>0</v>
      </c>
      <c r="Q268" t="n">
        <v>2</v>
      </c>
      <c r="R268" s="2" t="inlineStr">
        <is>
          <t>Skogshare
Jättesvampmal</t>
        </is>
      </c>
      <c r="S268">
        <f>HYPERLINK("https://klasma.github.io/Logging_HULTSFRED/artfynd/A 14626-2021.xlsx")</f>
        <v/>
      </c>
      <c r="T268">
        <f>HYPERLINK("https://klasma.github.io/Logging_HULTSFRED/kartor/A 14626-2021.png")</f>
        <v/>
      </c>
      <c r="V268">
        <f>HYPERLINK("https://klasma.github.io/Logging_HULTSFRED/klagomål/A 14626-2021.docx")</f>
        <v/>
      </c>
      <c r="W268">
        <f>HYPERLINK("https://klasma.github.io/Logging_HULTSFRED/klagomålsmail/A 14626-2021.docx")</f>
        <v/>
      </c>
      <c r="X268">
        <f>HYPERLINK("https://klasma.github.io/Logging_HULTSFRED/tillsyn/A 14626-2021.docx")</f>
        <v/>
      </c>
      <c r="Y268">
        <f>HYPERLINK("https://klasma.github.io/Logging_HULTSFRED/tillsynsmail/A 14626-2021.docx")</f>
        <v/>
      </c>
    </row>
    <row r="269" ht="15" customHeight="1">
      <c r="A269" t="inlineStr">
        <is>
          <t>A 21665-2021</t>
        </is>
      </c>
      <c r="B269" s="1" t="n">
        <v>44322</v>
      </c>
      <c r="C269" s="1" t="n">
        <v>45175</v>
      </c>
      <c r="D269" t="inlineStr">
        <is>
          <t>KALMAR LÄN</t>
        </is>
      </c>
      <c r="E269" t="inlineStr">
        <is>
          <t>VÄSTERVIK</t>
        </is>
      </c>
      <c r="G269" t="n">
        <v>18.9</v>
      </c>
      <c r="H269" t="n">
        <v>0</v>
      </c>
      <c r="I269" t="n">
        <v>0</v>
      </c>
      <c r="J269" t="n">
        <v>2</v>
      </c>
      <c r="K269" t="n">
        <v>0</v>
      </c>
      <c r="L269" t="n">
        <v>0</v>
      </c>
      <c r="M269" t="n">
        <v>0</v>
      </c>
      <c r="N269" t="n">
        <v>0</v>
      </c>
      <c r="O269" t="n">
        <v>2</v>
      </c>
      <c r="P269" t="n">
        <v>0</v>
      </c>
      <c r="Q269" t="n">
        <v>2</v>
      </c>
      <c r="R269" s="2" t="inlineStr">
        <is>
          <t>Klubbsprötad bastardsvärmare
Smalsprötad bastardsvärmare</t>
        </is>
      </c>
      <c r="S269">
        <f>HYPERLINK("https://klasma.github.io/Logging_VASTERVIK/artfynd/A 21665-2021.xlsx")</f>
        <v/>
      </c>
      <c r="T269">
        <f>HYPERLINK("https://klasma.github.io/Logging_VASTERVIK/kartor/A 21665-2021.png")</f>
        <v/>
      </c>
      <c r="V269">
        <f>HYPERLINK("https://klasma.github.io/Logging_VASTERVIK/klagomål/A 21665-2021.docx")</f>
        <v/>
      </c>
      <c r="W269">
        <f>HYPERLINK("https://klasma.github.io/Logging_VASTERVIK/klagomålsmail/A 21665-2021.docx")</f>
        <v/>
      </c>
      <c r="X269">
        <f>HYPERLINK("https://klasma.github.io/Logging_VASTERVIK/tillsyn/A 21665-2021.docx")</f>
        <v/>
      </c>
      <c r="Y269">
        <f>HYPERLINK("https://klasma.github.io/Logging_VASTERVIK/tillsynsmail/A 21665-2021.docx")</f>
        <v/>
      </c>
    </row>
    <row r="270" ht="15" customHeight="1">
      <c r="A270" t="inlineStr">
        <is>
          <t>A 24774-2021</t>
        </is>
      </c>
      <c r="B270" s="1" t="n">
        <v>44340</v>
      </c>
      <c r="C270" s="1" t="n">
        <v>45175</v>
      </c>
      <c r="D270" t="inlineStr">
        <is>
          <t>KALMAR LÄN</t>
        </is>
      </c>
      <c r="E270" t="inlineStr">
        <is>
          <t>OSKARSHAMN</t>
        </is>
      </c>
      <c r="G270" t="n">
        <v>3.8</v>
      </c>
      <c r="H270" t="n">
        <v>1</v>
      </c>
      <c r="I270" t="n">
        <v>1</v>
      </c>
      <c r="J270" t="n">
        <v>1</v>
      </c>
      <c r="K270" t="n">
        <v>0</v>
      </c>
      <c r="L270" t="n">
        <v>0</v>
      </c>
      <c r="M270" t="n">
        <v>0</v>
      </c>
      <c r="N270" t="n">
        <v>0</v>
      </c>
      <c r="O270" t="n">
        <v>1</v>
      </c>
      <c r="P270" t="n">
        <v>0</v>
      </c>
      <c r="Q270" t="n">
        <v>2</v>
      </c>
      <c r="R270" s="2" t="inlineStr">
        <is>
          <t>Spillkråka
Blåmossa</t>
        </is>
      </c>
      <c r="S270">
        <f>HYPERLINK("https://klasma.github.io/Logging_OSKARSHAMN/artfynd/A 24774-2021.xlsx")</f>
        <v/>
      </c>
      <c r="T270">
        <f>HYPERLINK("https://klasma.github.io/Logging_OSKARSHAMN/kartor/A 24774-2021.png")</f>
        <v/>
      </c>
      <c r="V270">
        <f>HYPERLINK("https://klasma.github.io/Logging_OSKARSHAMN/klagomål/A 24774-2021.docx")</f>
        <v/>
      </c>
      <c r="W270">
        <f>HYPERLINK("https://klasma.github.io/Logging_OSKARSHAMN/klagomålsmail/A 24774-2021.docx")</f>
        <v/>
      </c>
      <c r="X270">
        <f>HYPERLINK("https://klasma.github.io/Logging_OSKARSHAMN/tillsyn/A 24774-2021.docx")</f>
        <v/>
      </c>
      <c r="Y270">
        <f>HYPERLINK("https://klasma.github.io/Logging_OSKARSHAMN/tillsynsmail/A 24774-2021.docx")</f>
        <v/>
      </c>
    </row>
    <row r="271" ht="15" customHeight="1">
      <c r="A271" t="inlineStr">
        <is>
          <t>A 26367-2021</t>
        </is>
      </c>
      <c r="B271" s="1" t="n">
        <v>44347</v>
      </c>
      <c r="C271" s="1" t="n">
        <v>45175</v>
      </c>
      <c r="D271" t="inlineStr">
        <is>
          <t>KALMAR LÄN</t>
        </is>
      </c>
      <c r="E271" t="inlineStr">
        <is>
          <t>NYBRO</t>
        </is>
      </c>
      <c r="G271" t="n">
        <v>23.7</v>
      </c>
      <c r="H271" t="n">
        <v>0</v>
      </c>
      <c r="I271" t="n">
        <v>1</v>
      </c>
      <c r="J271" t="n">
        <v>1</v>
      </c>
      <c r="K271" t="n">
        <v>0</v>
      </c>
      <c r="L271" t="n">
        <v>0</v>
      </c>
      <c r="M271" t="n">
        <v>0</v>
      </c>
      <c r="N271" t="n">
        <v>0</v>
      </c>
      <c r="O271" t="n">
        <v>1</v>
      </c>
      <c r="P271" t="n">
        <v>0</v>
      </c>
      <c r="Q271" t="n">
        <v>2</v>
      </c>
      <c r="R271" s="2" t="inlineStr">
        <is>
          <t>Ullticka
Grovticka</t>
        </is>
      </c>
      <c r="S271">
        <f>HYPERLINK("https://klasma.github.io/Logging_NYBRO/artfynd/A 26367-2021.xlsx")</f>
        <v/>
      </c>
      <c r="T271">
        <f>HYPERLINK("https://klasma.github.io/Logging_NYBRO/kartor/A 26367-2021.png")</f>
        <v/>
      </c>
      <c r="V271">
        <f>HYPERLINK("https://klasma.github.io/Logging_NYBRO/klagomål/A 26367-2021.docx")</f>
        <v/>
      </c>
      <c r="W271">
        <f>HYPERLINK("https://klasma.github.io/Logging_NYBRO/klagomålsmail/A 26367-2021.docx")</f>
        <v/>
      </c>
      <c r="X271">
        <f>HYPERLINK("https://klasma.github.io/Logging_NYBRO/tillsyn/A 26367-2021.docx")</f>
        <v/>
      </c>
      <c r="Y271">
        <f>HYPERLINK("https://klasma.github.io/Logging_NYBRO/tillsynsmail/A 26367-2021.docx")</f>
        <v/>
      </c>
    </row>
    <row r="272" ht="15" customHeight="1">
      <c r="A272" t="inlineStr">
        <is>
          <t>A 38695-2021</t>
        </is>
      </c>
      <c r="B272" s="1" t="n">
        <v>44410</v>
      </c>
      <c r="C272" s="1" t="n">
        <v>45175</v>
      </c>
      <c r="D272" t="inlineStr">
        <is>
          <t>KALMAR LÄN</t>
        </is>
      </c>
      <c r="E272" t="inlineStr">
        <is>
          <t>TORSÅS</t>
        </is>
      </c>
      <c r="G272" t="n">
        <v>17.2</v>
      </c>
      <c r="H272" t="n">
        <v>1</v>
      </c>
      <c r="I272" t="n">
        <v>1</v>
      </c>
      <c r="J272" t="n">
        <v>0</v>
      </c>
      <c r="K272" t="n">
        <v>0</v>
      </c>
      <c r="L272" t="n">
        <v>0</v>
      </c>
      <c r="M272" t="n">
        <v>0</v>
      </c>
      <c r="N272" t="n">
        <v>0</v>
      </c>
      <c r="O272" t="n">
        <v>0</v>
      </c>
      <c r="P272" t="n">
        <v>0</v>
      </c>
      <c r="Q272" t="n">
        <v>2</v>
      </c>
      <c r="R272" s="2" t="inlineStr">
        <is>
          <t>Murgröna
Blåsippa</t>
        </is>
      </c>
      <c r="S272">
        <f>HYPERLINK("https://klasma.github.io/Logging_TORSAS/artfynd/A 38695-2021.xlsx")</f>
        <v/>
      </c>
      <c r="T272">
        <f>HYPERLINK("https://klasma.github.io/Logging_TORSAS/kartor/A 38695-2021.png")</f>
        <v/>
      </c>
      <c r="V272">
        <f>HYPERLINK("https://klasma.github.io/Logging_TORSAS/klagomål/A 38695-2021.docx")</f>
        <v/>
      </c>
      <c r="W272">
        <f>HYPERLINK("https://klasma.github.io/Logging_TORSAS/klagomålsmail/A 38695-2021.docx")</f>
        <v/>
      </c>
      <c r="X272">
        <f>HYPERLINK("https://klasma.github.io/Logging_TORSAS/tillsyn/A 38695-2021.docx")</f>
        <v/>
      </c>
      <c r="Y272">
        <f>HYPERLINK("https://klasma.github.io/Logging_TORSAS/tillsynsmail/A 38695-2021.docx")</f>
        <v/>
      </c>
    </row>
    <row r="273" ht="15" customHeight="1">
      <c r="A273" t="inlineStr">
        <is>
          <t>A 41398-2021</t>
        </is>
      </c>
      <c r="B273" s="1" t="n">
        <v>44424</v>
      </c>
      <c r="C273" s="1" t="n">
        <v>45175</v>
      </c>
      <c r="D273" t="inlineStr">
        <is>
          <t>KALMAR LÄN</t>
        </is>
      </c>
      <c r="E273" t="inlineStr">
        <is>
          <t>VIMMERBY</t>
        </is>
      </c>
      <c r="G273" t="n">
        <v>14.1</v>
      </c>
      <c r="H273" t="n">
        <v>0</v>
      </c>
      <c r="I273" t="n">
        <v>0</v>
      </c>
      <c r="J273" t="n">
        <v>2</v>
      </c>
      <c r="K273" t="n">
        <v>0</v>
      </c>
      <c r="L273" t="n">
        <v>0</v>
      </c>
      <c r="M273" t="n">
        <v>0</v>
      </c>
      <c r="N273" t="n">
        <v>0</v>
      </c>
      <c r="O273" t="n">
        <v>2</v>
      </c>
      <c r="P273" t="n">
        <v>0</v>
      </c>
      <c r="Q273" t="n">
        <v>2</v>
      </c>
      <c r="R273" s="2" t="inlineStr">
        <is>
          <t>Klasefibbla
Sommarfibbla</t>
        </is>
      </c>
      <c r="S273">
        <f>HYPERLINK("https://klasma.github.io/Logging_VIMMERBY/artfynd/A 41398-2021.xlsx")</f>
        <v/>
      </c>
      <c r="T273">
        <f>HYPERLINK("https://klasma.github.io/Logging_VIMMERBY/kartor/A 41398-2021.png")</f>
        <v/>
      </c>
      <c r="V273">
        <f>HYPERLINK("https://klasma.github.io/Logging_VIMMERBY/klagomål/A 41398-2021.docx")</f>
        <v/>
      </c>
      <c r="W273">
        <f>HYPERLINK("https://klasma.github.io/Logging_VIMMERBY/klagomålsmail/A 41398-2021.docx")</f>
        <v/>
      </c>
      <c r="X273">
        <f>HYPERLINK("https://klasma.github.io/Logging_VIMMERBY/tillsyn/A 41398-2021.docx")</f>
        <v/>
      </c>
      <c r="Y273">
        <f>HYPERLINK("https://klasma.github.io/Logging_VIMMERBY/tillsynsmail/A 41398-2021.docx")</f>
        <v/>
      </c>
    </row>
    <row r="274" ht="15" customHeight="1">
      <c r="A274" t="inlineStr">
        <is>
          <t>A 44667-2021</t>
        </is>
      </c>
      <c r="B274" s="1" t="n">
        <v>44438</v>
      </c>
      <c r="C274" s="1" t="n">
        <v>45175</v>
      </c>
      <c r="D274" t="inlineStr">
        <is>
          <t>KALMAR LÄN</t>
        </is>
      </c>
      <c r="E274" t="inlineStr">
        <is>
          <t>VÄSTERVIK</t>
        </is>
      </c>
      <c r="G274" t="n">
        <v>1.7</v>
      </c>
      <c r="H274" t="n">
        <v>1</v>
      </c>
      <c r="I274" t="n">
        <v>1</v>
      </c>
      <c r="J274" t="n">
        <v>1</v>
      </c>
      <c r="K274" t="n">
        <v>0</v>
      </c>
      <c r="L274" t="n">
        <v>0</v>
      </c>
      <c r="M274" t="n">
        <v>0</v>
      </c>
      <c r="N274" t="n">
        <v>0</v>
      </c>
      <c r="O274" t="n">
        <v>1</v>
      </c>
      <c r="P274" t="n">
        <v>0</v>
      </c>
      <c r="Q274" t="n">
        <v>2</v>
      </c>
      <c r="R274" s="2" t="inlineStr">
        <is>
          <t>Järpe
Fjällig taggsvamp s.str.</t>
        </is>
      </c>
      <c r="S274">
        <f>HYPERLINK("https://klasma.github.io/Logging_VASTERVIK/artfynd/A 44667-2021.xlsx")</f>
        <v/>
      </c>
      <c r="T274">
        <f>HYPERLINK("https://klasma.github.io/Logging_VASTERVIK/kartor/A 44667-2021.png")</f>
        <v/>
      </c>
      <c r="V274">
        <f>HYPERLINK("https://klasma.github.io/Logging_VASTERVIK/klagomål/A 44667-2021.docx")</f>
        <v/>
      </c>
      <c r="W274">
        <f>HYPERLINK("https://klasma.github.io/Logging_VASTERVIK/klagomålsmail/A 44667-2021.docx")</f>
        <v/>
      </c>
      <c r="X274">
        <f>HYPERLINK("https://klasma.github.io/Logging_VASTERVIK/tillsyn/A 44667-2021.docx")</f>
        <v/>
      </c>
      <c r="Y274">
        <f>HYPERLINK("https://klasma.github.io/Logging_VASTERVIK/tillsynsmail/A 44667-2021.docx")</f>
        <v/>
      </c>
    </row>
    <row r="275" ht="15" customHeight="1">
      <c r="A275" t="inlineStr">
        <is>
          <t>A 51833-2021</t>
        </is>
      </c>
      <c r="B275" s="1" t="n">
        <v>44462</v>
      </c>
      <c r="C275" s="1" t="n">
        <v>45175</v>
      </c>
      <c r="D275" t="inlineStr">
        <is>
          <t>KALMAR LÄN</t>
        </is>
      </c>
      <c r="E275" t="inlineStr">
        <is>
          <t>VÄSTERVIK</t>
        </is>
      </c>
      <c r="G275" t="n">
        <v>4</v>
      </c>
      <c r="H275" t="n">
        <v>1</v>
      </c>
      <c r="I275" t="n">
        <v>0</v>
      </c>
      <c r="J275" t="n">
        <v>1</v>
      </c>
      <c r="K275" t="n">
        <v>0</v>
      </c>
      <c r="L275" t="n">
        <v>0</v>
      </c>
      <c r="M275" t="n">
        <v>0</v>
      </c>
      <c r="N275" t="n">
        <v>0</v>
      </c>
      <c r="O275" t="n">
        <v>1</v>
      </c>
      <c r="P275" t="n">
        <v>0</v>
      </c>
      <c r="Q275" t="n">
        <v>2</v>
      </c>
      <c r="R275" s="2" t="inlineStr">
        <is>
          <t>Motaggsvamp
Fläcknycklar</t>
        </is>
      </c>
      <c r="S275">
        <f>HYPERLINK("https://klasma.github.io/Logging_VASTERVIK/artfynd/A 51833-2021.xlsx")</f>
        <v/>
      </c>
      <c r="T275">
        <f>HYPERLINK("https://klasma.github.io/Logging_VASTERVIK/kartor/A 51833-2021.png")</f>
        <v/>
      </c>
      <c r="V275">
        <f>HYPERLINK("https://klasma.github.io/Logging_VASTERVIK/klagomål/A 51833-2021.docx")</f>
        <v/>
      </c>
      <c r="W275">
        <f>HYPERLINK("https://klasma.github.io/Logging_VASTERVIK/klagomålsmail/A 51833-2021.docx")</f>
        <v/>
      </c>
      <c r="X275">
        <f>HYPERLINK("https://klasma.github.io/Logging_VASTERVIK/tillsyn/A 51833-2021.docx")</f>
        <v/>
      </c>
      <c r="Y275">
        <f>HYPERLINK("https://klasma.github.io/Logging_VASTERVIK/tillsynsmail/A 51833-2021.docx")</f>
        <v/>
      </c>
    </row>
    <row r="276" ht="15" customHeight="1">
      <c r="A276" t="inlineStr">
        <is>
          <t>A 53769-2021</t>
        </is>
      </c>
      <c r="B276" s="1" t="n">
        <v>44467</v>
      </c>
      <c r="C276" s="1" t="n">
        <v>45175</v>
      </c>
      <c r="D276" t="inlineStr">
        <is>
          <t>KALMAR LÄN</t>
        </is>
      </c>
      <c r="E276" t="inlineStr">
        <is>
          <t>VÄSTERVIK</t>
        </is>
      </c>
      <c r="G276" t="n">
        <v>2.2</v>
      </c>
      <c r="H276" t="n">
        <v>1</v>
      </c>
      <c r="I276" t="n">
        <v>2</v>
      </c>
      <c r="J276" t="n">
        <v>0</v>
      </c>
      <c r="K276" t="n">
        <v>0</v>
      </c>
      <c r="L276" t="n">
        <v>0</v>
      </c>
      <c r="M276" t="n">
        <v>0</v>
      </c>
      <c r="N276" t="n">
        <v>0</v>
      </c>
      <c r="O276" t="n">
        <v>0</v>
      </c>
      <c r="P276" t="n">
        <v>0</v>
      </c>
      <c r="Q276" t="n">
        <v>2</v>
      </c>
      <c r="R276" s="2" t="inlineStr">
        <is>
          <t>Grön sköldmossa
Stubbspretmossa</t>
        </is>
      </c>
      <c r="S276">
        <f>HYPERLINK("https://klasma.github.io/Logging_VASTERVIK/artfynd/A 53769-2021.xlsx")</f>
        <v/>
      </c>
      <c r="T276">
        <f>HYPERLINK("https://klasma.github.io/Logging_VASTERVIK/kartor/A 53769-2021.png")</f>
        <v/>
      </c>
      <c r="V276">
        <f>HYPERLINK("https://klasma.github.io/Logging_VASTERVIK/klagomål/A 53769-2021.docx")</f>
        <v/>
      </c>
      <c r="W276">
        <f>HYPERLINK("https://klasma.github.io/Logging_VASTERVIK/klagomålsmail/A 53769-2021.docx")</f>
        <v/>
      </c>
      <c r="X276">
        <f>HYPERLINK("https://klasma.github.io/Logging_VASTERVIK/tillsyn/A 53769-2021.docx")</f>
        <v/>
      </c>
      <c r="Y276">
        <f>HYPERLINK("https://klasma.github.io/Logging_VASTERVIK/tillsynsmail/A 53769-2021.docx")</f>
        <v/>
      </c>
    </row>
    <row r="277" ht="15" customHeight="1">
      <c r="A277" t="inlineStr">
        <is>
          <t>A 52906-2021</t>
        </is>
      </c>
      <c r="B277" s="1" t="n">
        <v>44467</v>
      </c>
      <c r="C277" s="1" t="n">
        <v>45175</v>
      </c>
      <c r="D277" t="inlineStr">
        <is>
          <t>KALMAR LÄN</t>
        </is>
      </c>
      <c r="E277" t="inlineStr">
        <is>
          <t>MÖRBYLÅNGA</t>
        </is>
      </c>
      <c r="G277" t="n">
        <v>2.1</v>
      </c>
      <c r="H277" t="n">
        <v>2</v>
      </c>
      <c r="I277" t="n">
        <v>0</v>
      </c>
      <c r="J277" t="n">
        <v>2</v>
      </c>
      <c r="K277" t="n">
        <v>0</v>
      </c>
      <c r="L277" t="n">
        <v>0</v>
      </c>
      <c r="M277" t="n">
        <v>0</v>
      </c>
      <c r="N277" t="n">
        <v>0</v>
      </c>
      <c r="O277" t="n">
        <v>2</v>
      </c>
      <c r="P277" t="n">
        <v>0</v>
      </c>
      <c r="Q277" t="n">
        <v>2</v>
      </c>
      <c r="R277" s="2" t="inlineStr">
        <is>
          <t>Gulsparv
Rödvingetrast</t>
        </is>
      </c>
      <c r="S277">
        <f>HYPERLINK("https://klasma.github.io/Logging_MORBYLANGA/artfynd/A 52906-2021.xlsx")</f>
        <v/>
      </c>
      <c r="T277">
        <f>HYPERLINK("https://klasma.github.io/Logging_MORBYLANGA/kartor/A 52906-2021.png")</f>
        <v/>
      </c>
      <c r="V277">
        <f>HYPERLINK("https://klasma.github.io/Logging_MORBYLANGA/klagomål/A 52906-2021.docx")</f>
        <v/>
      </c>
      <c r="W277">
        <f>HYPERLINK("https://klasma.github.io/Logging_MORBYLANGA/klagomålsmail/A 52906-2021.docx")</f>
        <v/>
      </c>
      <c r="X277">
        <f>HYPERLINK("https://klasma.github.io/Logging_MORBYLANGA/tillsyn/A 52906-2021.docx")</f>
        <v/>
      </c>
      <c r="Y277">
        <f>HYPERLINK("https://klasma.github.io/Logging_MORBYLANGA/tillsynsmail/A 52906-2021.docx")</f>
        <v/>
      </c>
    </row>
    <row r="278" ht="15" customHeight="1">
      <c r="A278" t="inlineStr">
        <is>
          <t>A 53295-2021</t>
        </is>
      </c>
      <c r="B278" s="1" t="n">
        <v>44468</v>
      </c>
      <c r="C278" s="1" t="n">
        <v>45175</v>
      </c>
      <c r="D278" t="inlineStr">
        <is>
          <t>KALMAR LÄN</t>
        </is>
      </c>
      <c r="E278" t="inlineStr">
        <is>
          <t>HULTSFRED</t>
        </is>
      </c>
      <c r="F278" t="inlineStr">
        <is>
          <t>Sveaskog</t>
        </is>
      </c>
      <c r="G278" t="n">
        <v>2.2</v>
      </c>
      <c r="H278" t="n">
        <v>1</v>
      </c>
      <c r="I278" t="n">
        <v>0</v>
      </c>
      <c r="J278" t="n">
        <v>1</v>
      </c>
      <c r="K278" t="n">
        <v>0</v>
      </c>
      <c r="L278" t="n">
        <v>0</v>
      </c>
      <c r="M278" t="n">
        <v>0</v>
      </c>
      <c r="N278" t="n">
        <v>0</v>
      </c>
      <c r="O278" t="n">
        <v>1</v>
      </c>
      <c r="P278" t="n">
        <v>0</v>
      </c>
      <c r="Q278" t="n">
        <v>2</v>
      </c>
      <c r="R278" s="2" t="inlineStr">
        <is>
          <t>Vedskivlav
Blåsippa</t>
        </is>
      </c>
      <c r="S278">
        <f>HYPERLINK("https://klasma.github.io/Logging_HULTSFRED/artfynd/A 53295-2021.xlsx")</f>
        <v/>
      </c>
      <c r="T278">
        <f>HYPERLINK("https://klasma.github.io/Logging_HULTSFRED/kartor/A 53295-2021.png")</f>
        <v/>
      </c>
      <c r="V278">
        <f>HYPERLINK("https://klasma.github.io/Logging_HULTSFRED/klagomål/A 53295-2021.docx")</f>
        <v/>
      </c>
      <c r="W278">
        <f>HYPERLINK("https://klasma.github.io/Logging_HULTSFRED/klagomålsmail/A 53295-2021.docx")</f>
        <v/>
      </c>
      <c r="X278">
        <f>HYPERLINK("https://klasma.github.io/Logging_HULTSFRED/tillsyn/A 53295-2021.docx")</f>
        <v/>
      </c>
      <c r="Y278">
        <f>HYPERLINK("https://klasma.github.io/Logging_HULTSFRED/tillsynsmail/A 53295-2021.docx")</f>
        <v/>
      </c>
    </row>
    <row r="279" ht="15" customHeight="1">
      <c r="A279" t="inlineStr">
        <is>
          <t>A 56616-2021</t>
        </is>
      </c>
      <c r="B279" s="1" t="n">
        <v>44480</v>
      </c>
      <c r="C279" s="1" t="n">
        <v>45175</v>
      </c>
      <c r="D279" t="inlineStr">
        <is>
          <t>KALMAR LÄN</t>
        </is>
      </c>
      <c r="E279" t="inlineStr">
        <is>
          <t>VÄSTERVIK</t>
        </is>
      </c>
      <c r="G279" t="n">
        <v>0.7</v>
      </c>
      <c r="H279" t="n">
        <v>0</v>
      </c>
      <c r="I279" t="n">
        <v>0</v>
      </c>
      <c r="J279" t="n">
        <v>2</v>
      </c>
      <c r="K279" t="n">
        <v>0</v>
      </c>
      <c r="L279" t="n">
        <v>0</v>
      </c>
      <c r="M279" t="n">
        <v>0</v>
      </c>
      <c r="N279" t="n">
        <v>0</v>
      </c>
      <c r="O279" t="n">
        <v>2</v>
      </c>
      <c r="P279" t="n">
        <v>0</v>
      </c>
      <c r="Q279" t="n">
        <v>2</v>
      </c>
      <c r="R279" s="2" t="inlineStr">
        <is>
          <t>Gullklöver
Vippärt</t>
        </is>
      </c>
      <c r="S279">
        <f>HYPERLINK("https://klasma.github.io/Logging_VASTERVIK/artfynd/A 56616-2021.xlsx")</f>
        <v/>
      </c>
      <c r="T279">
        <f>HYPERLINK("https://klasma.github.io/Logging_VASTERVIK/kartor/A 56616-2021.png")</f>
        <v/>
      </c>
      <c r="V279">
        <f>HYPERLINK("https://klasma.github.io/Logging_VASTERVIK/klagomål/A 56616-2021.docx")</f>
        <v/>
      </c>
      <c r="W279">
        <f>HYPERLINK("https://klasma.github.io/Logging_VASTERVIK/klagomålsmail/A 56616-2021.docx")</f>
        <v/>
      </c>
      <c r="X279">
        <f>HYPERLINK("https://klasma.github.io/Logging_VASTERVIK/tillsyn/A 56616-2021.docx")</f>
        <v/>
      </c>
      <c r="Y279">
        <f>HYPERLINK("https://klasma.github.io/Logging_VASTERVIK/tillsynsmail/A 56616-2021.docx")</f>
        <v/>
      </c>
    </row>
    <row r="280" ht="15" customHeight="1">
      <c r="A280" t="inlineStr">
        <is>
          <t>A 59940-2021</t>
        </is>
      </c>
      <c r="B280" s="1" t="n">
        <v>44494</v>
      </c>
      <c r="C280" s="1" t="n">
        <v>45175</v>
      </c>
      <c r="D280" t="inlineStr">
        <is>
          <t>KALMAR LÄN</t>
        </is>
      </c>
      <c r="E280" t="inlineStr">
        <is>
          <t>VÄSTERVIK</t>
        </is>
      </c>
      <c r="G280" t="n">
        <v>4.3</v>
      </c>
      <c r="H280" t="n">
        <v>1</v>
      </c>
      <c r="I280" t="n">
        <v>1</v>
      </c>
      <c r="J280" t="n">
        <v>0</v>
      </c>
      <c r="K280" t="n">
        <v>1</v>
      </c>
      <c r="L280" t="n">
        <v>0</v>
      </c>
      <c r="M280" t="n">
        <v>0</v>
      </c>
      <c r="N280" t="n">
        <v>0</v>
      </c>
      <c r="O280" t="n">
        <v>1</v>
      </c>
      <c r="P280" t="n">
        <v>1</v>
      </c>
      <c r="Q280" t="n">
        <v>2</v>
      </c>
      <c r="R280" s="2" t="inlineStr">
        <is>
          <t>Knärot
Grönpyrola</t>
        </is>
      </c>
      <c r="S280">
        <f>HYPERLINK("https://klasma.github.io/Logging_VASTERVIK/artfynd/A 59940-2021.xlsx")</f>
        <v/>
      </c>
      <c r="T280">
        <f>HYPERLINK("https://klasma.github.io/Logging_VASTERVIK/kartor/A 59940-2021.png")</f>
        <v/>
      </c>
      <c r="U280">
        <f>HYPERLINK("https://klasma.github.io/Logging_VASTERVIK/knärot/A 59940-2021.png")</f>
        <v/>
      </c>
      <c r="V280">
        <f>HYPERLINK("https://klasma.github.io/Logging_VASTERVIK/klagomål/A 59940-2021.docx")</f>
        <v/>
      </c>
      <c r="W280">
        <f>HYPERLINK("https://klasma.github.io/Logging_VASTERVIK/klagomålsmail/A 59940-2021.docx")</f>
        <v/>
      </c>
      <c r="X280">
        <f>HYPERLINK("https://klasma.github.io/Logging_VASTERVIK/tillsyn/A 59940-2021.docx")</f>
        <v/>
      </c>
      <c r="Y280">
        <f>HYPERLINK("https://klasma.github.io/Logging_VASTERVIK/tillsynsmail/A 59940-2021.docx")</f>
        <v/>
      </c>
    </row>
    <row r="281" ht="15" customHeight="1">
      <c r="A281" t="inlineStr">
        <is>
          <t>A 65169-2021</t>
        </is>
      </c>
      <c r="B281" s="1" t="n">
        <v>44515</v>
      </c>
      <c r="C281" s="1" t="n">
        <v>45175</v>
      </c>
      <c r="D281" t="inlineStr">
        <is>
          <t>KALMAR LÄN</t>
        </is>
      </c>
      <c r="E281" t="inlineStr">
        <is>
          <t>OSKARSHAMN</t>
        </is>
      </c>
      <c r="G281" t="n">
        <v>1.6</v>
      </c>
      <c r="H281" t="n">
        <v>0</v>
      </c>
      <c r="I281" t="n">
        <v>1</v>
      </c>
      <c r="J281" t="n">
        <v>1</v>
      </c>
      <c r="K281" t="n">
        <v>0</v>
      </c>
      <c r="L281" t="n">
        <v>0</v>
      </c>
      <c r="M281" t="n">
        <v>0</v>
      </c>
      <c r="N281" t="n">
        <v>0</v>
      </c>
      <c r="O281" t="n">
        <v>1</v>
      </c>
      <c r="P281" t="n">
        <v>0</v>
      </c>
      <c r="Q281" t="n">
        <v>2</v>
      </c>
      <c r="R281" s="2" t="inlineStr">
        <is>
          <t>Svinrot
Svart trolldruva</t>
        </is>
      </c>
      <c r="S281">
        <f>HYPERLINK("https://klasma.github.io/Logging_OSKARSHAMN/artfynd/A 65169-2021.xlsx")</f>
        <v/>
      </c>
      <c r="T281">
        <f>HYPERLINK("https://klasma.github.io/Logging_OSKARSHAMN/kartor/A 65169-2021.png")</f>
        <v/>
      </c>
      <c r="V281">
        <f>HYPERLINK("https://klasma.github.io/Logging_OSKARSHAMN/klagomål/A 65169-2021.docx")</f>
        <v/>
      </c>
      <c r="W281">
        <f>HYPERLINK("https://klasma.github.io/Logging_OSKARSHAMN/klagomålsmail/A 65169-2021.docx")</f>
        <v/>
      </c>
      <c r="X281">
        <f>HYPERLINK("https://klasma.github.io/Logging_OSKARSHAMN/tillsyn/A 65169-2021.docx")</f>
        <v/>
      </c>
      <c r="Y281">
        <f>HYPERLINK("https://klasma.github.io/Logging_OSKARSHAMN/tillsynsmail/A 65169-2021.docx")</f>
        <v/>
      </c>
    </row>
    <row r="282" ht="15" customHeight="1">
      <c r="A282" t="inlineStr">
        <is>
          <t>A 73602-2021</t>
        </is>
      </c>
      <c r="B282" s="1" t="n">
        <v>44552</v>
      </c>
      <c r="C282" s="1" t="n">
        <v>45175</v>
      </c>
      <c r="D282" t="inlineStr">
        <is>
          <t>KALMAR LÄN</t>
        </is>
      </c>
      <c r="E282" t="inlineStr">
        <is>
          <t>OSKARSHAMN</t>
        </is>
      </c>
      <c r="G282" t="n">
        <v>4.5</v>
      </c>
      <c r="H282" t="n">
        <v>1</v>
      </c>
      <c r="I282" t="n">
        <v>0</v>
      </c>
      <c r="J282" t="n">
        <v>1</v>
      </c>
      <c r="K282" t="n">
        <v>0</v>
      </c>
      <c r="L282" t="n">
        <v>0</v>
      </c>
      <c r="M282" t="n">
        <v>0</v>
      </c>
      <c r="N282" t="n">
        <v>0</v>
      </c>
      <c r="O282" t="n">
        <v>1</v>
      </c>
      <c r="P282" t="n">
        <v>0</v>
      </c>
      <c r="Q282" t="n">
        <v>2</v>
      </c>
      <c r="R282" s="2" t="inlineStr">
        <is>
          <t>Skogssvingel
Blåsippa</t>
        </is>
      </c>
      <c r="S282">
        <f>HYPERLINK("https://klasma.github.io/Logging_OSKARSHAMN/artfynd/A 73602-2021.xlsx")</f>
        <v/>
      </c>
      <c r="T282">
        <f>HYPERLINK("https://klasma.github.io/Logging_OSKARSHAMN/kartor/A 73602-2021.png")</f>
        <v/>
      </c>
      <c r="V282">
        <f>HYPERLINK("https://klasma.github.io/Logging_OSKARSHAMN/klagomål/A 73602-2021.docx")</f>
        <v/>
      </c>
      <c r="W282">
        <f>HYPERLINK("https://klasma.github.io/Logging_OSKARSHAMN/klagomålsmail/A 73602-2021.docx")</f>
        <v/>
      </c>
      <c r="X282">
        <f>HYPERLINK("https://klasma.github.io/Logging_OSKARSHAMN/tillsyn/A 73602-2021.docx")</f>
        <v/>
      </c>
      <c r="Y282">
        <f>HYPERLINK("https://klasma.github.io/Logging_OSKARSHAMN/tillsynsmail/A 73602-2021.docx")</f>
        <v/>
      </c>
    </row>
    <row r="283" ht="15" customHeight="1">
      <c r="A283" t="inlineStr">
        <is>
          <t>A 74390-2021</t>
        </is>
      </c>
      <c r="B283" s="1" t="n">
        <v>44559</v>
      </c>
      <c r="C283" s="1" t="n">
        <v>45175</v>
      </c>
      <c r="D283" t="inlineStr">
        <is>
          <t>KALMAR LÄN</t>
        </is>
      </c>
      <c r="E283" t="inlineStr">
        <is>
          <t>HULTSFRED</t>
        </is>
      </c>
      <c r="G283" t="n">
        <v>1.6</v>
      </c>
      <c r="H283" t="n">
        <v>0</v>
      </c>
      <c r="I283" t="n">
        <v>2</v>
      </c>
      <c r="J283" t="n">
        <v>0</v>
      </c>
      <c r="K283" t="n">
        <v>0</v>
      </c>
      <c r="L283" t="n">
        <v>0</v>
      </c>
      <c r="M283" t="n">
        <v>0</v>
      </c>
      <c r="N283" t="n">
        <v>0</v>
      </c>
      <c r="O283" t="n">
        <v>0</v>
      </c>
      <c r="P283" t="n">
        <v>0</v>
      </c>
      <c r="Q283" t="n">
        <v>2</v>
      </c>
      <c r="R283" s="2" t="inlineStr">
        <is>
          <t>Dvärgkällmossa
Källmossa</t>
        </is>
      </c>
      <c r="S283">
        <f>HYPERLINK("https://klasma.github.io/Logging_HULTSFRED/artfynd/A 74390-2021.xlsx")</f>
        <v/>
      </c>
      <c r="T283">
        <f>HYPERLINK("https://klasma.github.io/Logging_HULTSFRED/kartor/A 74390-2021.png")</f>
        <v/>
      </c>
      <c r="V283">
        <f>HYPERLINK("https://klasma.github.io/Logging_HULTSFRED/klagomål/A 74390-2021.docx")</f>
        <v/>
      </c>
      <c r="W283">
        <f>HYPERLINK("https://klasma.github.io/Logging_HULTSFRED/klagomålsmail/A 74390-2021.docx")</f>
        <v/>
      </c>
      <c r="X283">
        <f>HYPERLINK("https://klasma.github.io/Logging_HULTSFRED/tillsyn/A 74390-2021.docx")</f>
        <v/>
      </c>
      <c r="Y283">
        <f>HYPERLINK("https://klasma.github.io/Logging_HULTSFRED/tillsynsmail/A 74390-2021.docx")</f>
        <v/>
      </c>
    </row>
    <row r="284" ht="15" customHeight="1">
      <c r="A284" t="inlineStr">
        <is>
          <t>A 251-2022</t>
        </is>
      </c>
      <c r="B284" s="1" t="n">
        <v>44565</v>
      </c>
      <c r="C284" s="1" t="n">
        <v>45175</v>
      </c>
      <c r="D284" t="inlineStr">
        <is>
          <t>KALMAR LÄN</t>
        </is>
      </c>
      <c r="E284" t="inlineStr">
        <is>
          <t>HULTSFRED</t>
        </is>
      </c>
      <c r="G284" t="n">
        <v>10.4</v>
      </c>
      <c r="H284" t="n">
        <v>1</v>
      </c>
      <c r="I284" t="n">
        <v>1</v>
      </c>
      <c r="J284" t="n">
        <v>1</v>
      </c>
      <c r="K284" t="n">
        <v>0</v>
      </c>
      <c r="L284" t="n">
        <v>0</v>
      </c>
      <c r="M284" t="n">
        <v>0</v>
      </c>
      <c r="N284" t="n">
        <v>0</v>
      </c>
      <c r="O284" t="n">
        <v>1</v>
      </c>
      <c r="P284" t="n">
        <v>0</v>
      </c>
      <c r="Q284" t="n">
        <v>2</v>
      </c>
      <c r="R284" s="2" t="inlineStr">
        <is>
          <t>Entita
Blåmossa</t>
        </is>
      </c>
      <c r="S284">
        <f>HYPERLINK("https://klasma.github.io/Logging_HULTSFRED/artfynd/A 251-2022.xlsx")</f>
        <v/>
      </c>
      <c r="T284">
        <f>HYPERLINK("https://klasma.github.io/Logging_HULTSFRED/kartor/A 251-2022.png")</f>
        <v/>
      </c>
      <c r="V284">
        <f>HYPERLINK("https://klasma.github.io/Logging_HULTSFRED/klagomål/A 251-2022.docx")</f>
        <v/>
      </c>
      <c r="W284">
        <f>HYPERLINK("https://klasma.github.io/Logging_HULTSFRED/klagomålsmail/A 251-2022.docx")</f>
        <v/>
      </c>
      <c r="X284">
        <f>HYPERLINK("https://klasma.github.io/Logging_HULTSFRED/tillsyn/A 251-2022.docx")</f>
        <v/>
      </c>
      <c r="Y284">
        <f>HYPERLINK("https://klasma.github.io/Logging_HULTSFRED/tillsynsmail/A 251-2022.docx")</f>
        <v/>
      </c>
    </row>
    <row r="285" ht="15" customHeight="1">
      <c r="A285" t="inlineStr">
        <is>
          <t>A 942-2022</t>
        </is>
      </c>
      <c r="B285" s="1" t="n">
        <v>44568</v>
      </c>
      <c r="C285" s="1" t="n">
        <v>45175</v>
      </c>
      <c r="D285" t="inlineStr">
        <is>
          <t>KALMAR LÄN</t>
        </is>
      </c>
      <c r="E285" t="inlineStr">
        <is>
          <t>TORSÅS</t>
        </is>
      </c>
      <c r="G285" t="n">
        <v>4.7</v>
      </c>
      <c r="H285" t="n">
        <v>0</v>
      </c>
      <c r="I285" t="n">
        <v>1</v>
      </c>
      <c r="J285" t="n">
        <v>1</v>
      </c>
      <c r="K285" t="n">
        <v>0</v>
      </c>
      <c r="L285" t="n">
        <v>0</v>
      </c>
      <c r="M285" t="n">
        <v>0</v>
      </c>
      <c r="N285" t="n">
        <v>0</v>
      </c>
      <c r="O285" t="n">
        <v>1</v>
      </c>
      <c r="P285" t="n">
        <v>0</v>
      </c>
      <c r="Q285" t="n">
        <v>2</v>
      </c>
      <c r="R285" s="2" t="inlineStr">
        <is>
          <t>Tallticka
Brandticka</t>
        </is>
      </c>
      <c r="S285">
        <f>HYPERLINK("https://klasma.github.io/Logging_TORSAS/artfynd/A 942-2022.xlsx")</f>
        <v/>
      </c>
      <c r="T285">
        <f>HYPERLINK("https://klasma.github.io/Logging_TORSAS/kartor/A 942-2022.png")</f>
        <v/>
      </c>
      <c r="V285">
        <f>HYPERLINK("https://klasma.github.io/Logging_TORSAS/klagomål/A 942-2022.docx")</f>
        <v/>
      </c>
      <c r="W285">
        <f>HYPERLINK("https://klasma.github.io/Logging_TORSAS/klagomålsmail/A 942-2022.docx")</f>
        <v/>
      </c>
      <c r="X285">
        <f>HYPERLINK("https://klasma.github.io/Logging_TORSAS/tillsyn/A 942-2022.docx")</f>
        <v/>
      </c>
      <c r="Y285">
        <f>HYPERLINK("https://klasma.github.io/Logging_TORSAS/tillsynsmail/A 942-2022.docx")</f>
        <v/>
      </c>
    </row>
    <row r="286" ht="15" customHeight="1">
      <c r="A286" t="inlineStr">
        <is>
          <t>A 14927-2022</t>
        </is>
      </c>
      <c r="B286" s="1" t="n">
        <v>44657</v>
      </c>
      <c r="C286" s="1" t="n">
        <v>45175</v>
      </c>
      <c r="D286" t="inlineStr">
        <is>
          <t>KALMAR LÄN</t>
        </is>
      </c>
      <c r="E286" t="inlineStr">
        <is>
          <t>VÄSTERVIK</t>
        </is>
      </c>
      <c r="F286" t="inlineStr">
        <is>
          <t>Holmen skog AB</t>
        </is>
      </c>
      <c r="G286" t="n">
        <v>1.1</v>
      </c>
      <c r="H286" t="n">
        <v>2</v>
      </c>
      <c r="I286" t="n">
        <v>1</v>
      </c>
      <c r="J286" t="n">
        <v>0</v>
      </c>
      <c r="K286" t="n">
        <v>0</v>
      </c>
      <c r="L286" t="n">
        <v>0</v>
      </c>
      <c r="M286" t="n">
        <v>0</v>
      </c>
      <c r="N286" t="n">
        <v>0</v>
      </c>
      <c r="O286" t="n">
        <v>0</v>
      </c>
      <c r="P286" t="n">
        <v>0</v>
      </c>
      <c r="Q286" t="n">
        <v>2</v>
      </c>
      <c r="R286" s="2" t="inlineStr">
        <is>
          <t>Ekoxe
Revlummer</t>
        </is>
      </c>
      <c r="S286">
        <f>HYPERLINK("https://klasma.github.io/Logging_VASTERVIK/artfynd/A 14927-2022.xlsx")</f>
        <v/>
      </c>
      <c r="T286">
        <f>HYPERLINK("https://klasma.github.io/Logging_VASTERVIK/kartor/A 14927-2022.png")</f>
        <v/>
      </c>
      <c r="V286">
        <f>HYPERLINK("https://klasma.github.io/Logging_VASTERVIK/klagomål/A 14927-2022.docx")</f>
        <v/>
      </c>
      <c r="W286">
        <f>HYPERLINK("https://klasma.github.io/Logging_VASTERVIK/klagomålsmail/A 14927-2022.docx")</f>
        <v/>
      </c>
      <c r="X286">
        <f>HYPERLINK("https://klasma.github.io/Logging_VASTERVIK/tillsyn/A 14927-2022.docx")</f>
        <v/>
      </c>
      <c r="Y286">
        <f>HYPERLINK("https://klasma.github.io/Logging_VASTERVIK/tillsynsmail/A 14927-2022.docx")</f>
        <v/>
      </c>
    </row>
    <row r="287" ht="15" customHeight="1">
      <c r="A287" t="inlineStr">
        <is>
          <t>A 25145-2022</t>
        </is>
      </c>
      <c r="B287" s="1" t="n">
        <v>44729</v>
      </c>
      <c r="C287" s="1" t="n">
        <v>45175</v>
      </c>
      <c r="D287" t="inlineStr">
        <is>
          <t>KALMAR LÄN</t>
        </is>
      </c>
      <c r="E287" t="inlineStr">
        <is>
          <t>VÄSTERVIK</t>
        </is>
      </c>
      <c r="G287" t="n">
        <v>1.3</v>
      </c>
      <c r="H287" t="n">
        <v>1</v>
      </c>
      <c r="I287" t="n">
        <v>0</v>
      </c>
      <c r="J287" t="n">
        <v>1</v>
      </c>
      <c r="K287" t="n">
        <v>1</v>
      </c>
      <c r="L287" t="n">
        <v>0</v>
      </c>
      <c r="M287" t="n">
        <v>0</v>
      </c>
      <c r="N287" t="n">
        <v>0</v>
      </c>
      <c r="O287" t="n">
        <v>2</v>
      </c>
      <c r="P287" t="n">
        <v>1</v>
      </c>
      <c r="Q287" t="n">
        <v>2</v>
      </c>
      <c r="R287" s="2" t="inlineStr">
        <is>
          <t>Knärot
Tallticka</t>
        </is>
      </c>
      <c r="S287">
        <f>HYPERLINK("https://klasma.github.io/Logging_VASTERVIK/artfynd/A 25145-2022.xlsx")</f>
        <v/>
      </c>
      <c r="T287">
        <f>HYPERLINK("https://klasma.github.io/Logging_VASTERVIK/kartor/A 25145-2022.png")</f>
        <v/>
      </c>
      <c r="U287">
        <f>HYPERLINK("https://klasma.github.io/Logging_VASTERVIK/knärot/A 25145-2022.png")</f>
        <v/>
      </c>
      <c r="V287">
        <f>HYPERLINK("https://klasma.github.io/Logging_VASTERVIK/klagomål/A 25145-2022.docx")</f>
        <v/>
      </c>
      <c r="W287">
        <f>HYPERLINK("https://klasma.github.io/Logging_VASTERVIK/klagomålsmail/A 25145-2022.docx")</f>
        <v/>
      </c>
      <c r="X287">
        <f>HYPERLINK("https://klasma.github.io/Logging_VASTERVIK/tillsyn/A 25145-2022.docx")</f>
        <v/>
      </c>
      <c r="Y287">
        <f>HYPERLINK("https://klasma.github.io/Logging_VASTERVIK/tillsynsmail/A 25145-2022.docx")</f>
        <v/>
      </c>
    </row>
    <row r="288" ht="15" customHeight="1">
      <c r="A288" t="inlineStr">
        <is>
          <t>A 31733-2022</t>
        </is>
      </c>
      <c r="B288" s="1" t="n">
        <v>44776</v>
      </c>
      <c r="C288" s="1" t="n">
        <v>45175</v>
      </c>
      <c r="D288" t="inlineStr">
        <is>
          <t>KALMAR LÄN</t>
        </is>
      </c>
      <c r="E288" t="inlineStr">
        <is>
          <t>BORGHOLM</t>
        </is>
      </c>
      <c r="F288" t="inlineStr">
        <is>
          <t>Sveaskog</t>
        </is>
      </c>
      <c r="G288" t="n">
        <v>6.9</v>
      </c>
      <c r="H288" t="n">
        <v>1</v>
      </c>
      <c r="I288" t="n">
        <v>1</v>
      </c>
      <c r="J288" t="n">
        <v>0</v>
      </c>
      <c r="K288" t="n">
        <v>0</v>
      </c>
      <c r="L288" t="n">
        <v>1</v>
      </c>
      <c r="M288" t="n">
        <v>0</v>
      </c>
      <c r="N288" t="n">
        <v>0</v>
      </c>
      <c r="O288" t="n">
        <v>1</v>
      </c>
      <c r="P288" t="n">
        <v>1</v>
      </c>
      <c r="Q288" t="n">
        <v>2</v>
      </c>
      <c r="R288" s="2" t="inlineStr">
        <is>
          <t>Ask
Skogsknipprot</t>
        </is>
      </c>
      <c r="S288">
        <f>HYPERLINK("https://klasma.github.io/Logging_BORGHOLM/artfynd/A 31733-2022.xlsx")</f>
        <v/>
      </c>
      <c r="T288">
        <f>HYPERLINK("https://klasma.github.io/Logging_BORGHOLM/kartor/A 31733-2022.png")</f>
        <v/>
      </c>
      <c r="V288">
        <f>HYPERLINK("https://klasma.github.io/Logging_BORGHOLM/klagomål/A 31733-2022.docx")</f>
        <v/>
      </c>
      <c r="W288">
        <f>HYPERLINK("https://klasma.github.io/Logging_BORGHOLM/klagomålsmail/A 31733-2022.docx")</f>
        <v/>
      </c>
      <c r="X288">
        <f>HYPERLINK("https://klasma.github.io/Logging_BORGHOLM/tillsyn/A 31733-2022.docx")</f>
        <v/>
      </c>
      <c r="Y288">
        <f>HYPERLINK("https://klasma.github.io/Logging_BORGHOLM/tillsynsmail/A 31733-2022.docx")</f>
        <v/>
      </c>
    </row>
    <row r="289" ht="15" customHeight="1">
      <c r="A289" t="inlineStr">
        <is>
          <t>A 32174-2022</t>
        </is>
      </c>
      <c r="B289" s="1" t="n">
        <v>44781</v>
      </c>
      <c r="C289" s="1" t="n">
        <v>45175</v>
      </c>
      <c r="D289" t="inlineStr">
        <is>
          <t>KALMAR LÄN</t>
        </is>
      </c>
      <c r="E289" t="inlineStr">
        <is>
          <t>BORGHOLM</t>
        </is>
      </c>
      <c r="F289" t="inlineStr">
        <is>
          <t>Sveaskog</t>
        </is>
      </c>
      <c r="G289" t="n">
        <v>1.6</v>
      </c>
      <c r="H289" t="n">
        <v>1</v>
      </c>
      <c r="I289" t="n">
        <v>1</v>
      </c>
      <c r="J289" t="n">
        <v>1</v>
      </c>
      <c r="K289" t="n">
        <v>0</v>
      </c>
      <c r="L289" t="n">
        <v>0</v>
      </c>
      <c r="M289" t="n">
        <v>0</v>
      </c>
      <c r="N289" t="n">
        <v>0</v>
      </c>
      <c r="O289" t="n">
        <v>1</v>
      </c>
      <c r="P289" t="n">
        <v>0</v>
      </c>
      <c r="Q289" t="n">
        <v>2</v>
      </c>
      <c r="R289" s="2" t="inlineStr">
        <is>
          <t>Backklöver
Tvåblad</t>
        </is>
      </c>
      <c r="S289">
        <f>HYPERLINK("https://klasma.github.io/Logging_BORGHOLM/artfynd/A 32174-2022.xlsx")</f>
        <v/>
      </c>
      <c r="T289">
        <f>HYPERLINK("https://klasma.github.io/Logging_BORGHOLM/kartor/A 32174-2022.png")</f>
        <v/>
      </c>
      <c r="V289">
        <f>HYPERLINK("https://klasma.github.io/Logging_BORGHOLM/klagomål/A 32174-2022.docx")</f>
        <v/>
      </c>
      <c r="W289">
        <f>HYPERLINK("https://klasma.github.io/Logging_BORGHOLM/klagomålsmail/A 32174-2022.docx")</f>
        <v/>
      </c>
      <c r="X289">
        <f>HYPERLINK("https://klasma.github.io/Logging_BORGHOLM/tillsyn/A 32174-2022.docx")</f>
        <v/>
      </c>
      <c r="Y289">
        <f>HYPERLINK("https://klasma.github.io/Logging_BORGHOLM/tillsynsmail/A 32174-2022.docx")</f>
        <v/>
      </c>
    </row>
    <row r="290" ht="15" customHeight="1">
      <c r="A290" t="inlineStr">
        <is>
          <t>A 32640-2022</t>
        </is>
      </c>
      <c r="B290" s="1" t="n">
        <v>44783</v>
      </c>
      <c r="C290" s="1" t="n">
        <v>45175</v>
      </c>
      <c r="D290" t="inlineStr">
        <is>
          <t>KALMAR LÄN</t>
        </is>
      </c>
      <c r="E290" t="inlineStr">
        <is>
          <t>BORGHOLM</t>
        </is>
      </c>
      <c r="F290" t="inlineStr">
        <is>
          <t>Sveaskog</t>
        </is>
      </c>
      <c r="G290" t="n">
        <v>1.2</v>
      </c>
      <c r="H290" t="n">
        <v>0</v>
      </c>
      <c r="I290" t="n">
        <v>2</v>
      </c>
      <c r="J290" t="n">
        <v>0</v>
      </c>
      <c r="K290" t="n">
        <v>0</v>
      </c>
      <c r="L290" t="n">
        <v>0</v>
      </c>
      <c r="M290" t="n">
        <v>0</v>
      </c>
      <c r="N290" t="n">
        <v>0</v>
      </c>
      <c r="O290" t="n">
        <v>0</v>
      </c>
      <c r="P290" t="n">
        <v>0</v>
      </c>
      <c r="Q290" t="n">
        <v>2</v>
      </c>
      <c r="R290" s="2" t="inlineStr">
        <is>
          <t>Kornknutmossa
Murgröna</t>
        </is>
      </c>
      <c r="S290">
        <f>HYPERLINK("https://klasma.github.io/Logging_BORGHOLM/artfynd/A 32640-2022.xlsx")</f>
        <v/>
      </c>
      <c r="T290">
        <f>HYPERLINK("https://klasma.github.io/Logging_BORGHOLM/kartor/A 32640-2022.png")</f>
        <v/>
      </c>
      <c r="V290">
        <f>HYPERLINK("https://klasma.github.io/Logging_BORGHOLM/klagomål/A 32640-2022.docx")</f>
        <v/>
      </c>
      <c r="W290">
        <f>HYPERLINK("https://klasma.github.io/Logging_BORGHOLM/klagomålsmail/A 32640-2022.docx")</f>
        <v/>
      </c>
      <c r="X290">
        <f>HYPERLINK("https://klasma.github.io/Logging_BORGHOLM/tillsyn/A 32640-2022.docx")</f>
        <v/>
      </c>
      <c r="Y290">
        <f>HYPERLINK("https://klasma.github.io/Logging_BORGHOLM/tillsynsmail/A 32640-2022.docx")</f>
        <v/>
      </c>
    </row>
    <row r="291" ht="15" customHeight="1">
      <c r="A291" t="inlineStr">
        <is>
          <t>A 33043-2022</t>
        </is>
      </c>
      <c r="B291" s="1" t="n">
        <v>44785</v>
      </c>
      <c r="C291" s="1" t="n">
        <v>45175</v>
      </c>
      <c r="D291" t="inlineStr">
        <is>
          <t>KALMAR LÄN</t>
        </is>
      </c>
      <c r="E291" t="inlineStr">
        <is>
          <t>KALMAR</t>
        </is>
      </c>
      <c r="F291" t="inlineStr">
        <is>
          <t>Kyrkan</t>
        </is>
      </c>
      <c r="G291" t="n">
        <v>1.6</v>
      </c>
      <c r="H291" t="n">
        <v>1</v>
      </c>
      <c r="I291" t="n">
        <v>1</v>
      </c>
      <c r="J291" t="n">
        <v>0</v>
      </c>
      <c r="K291" t="n">
        <v>1</v>
      </c>
      <c r="L291" t="n">
        <v>0</v>
      </c>
      <c r="M291" t="n">
        <v>0</v>
      </c>
      <c r="N291" t="n">
        <v>0</v>
      </c>
      <c r="O291" t="n">
        <v>1</v>
      </c>
      <c r="P291" t="n">
        <v>1</v>
      </c>
      <c r="Q291" t="n">
        <v>2</v>
      </c>
      <c r="R291" s="2" t="inlineStr">
        <is>
          <t>Knärot
Murgröna</t>
        </is>
      </c>
      <c r="S291">
        <f>HYPERLINK("https://klasma.github.io/Logging_KALMAR/artfynd/A 33043-2022.xlsx")</f>
        <v/>
      </c>
      <c r="T291">
        <f>HYPERLINK("https://klasma.github.io/Logging_KALMAR/kartor/A 33043-2022.png")</f>
        <v/>
      </c>
      <c r="U291">
        <f>HYPERLINK("https://klasma.github.io/Logging_KALMAR/knärot/A 33043-2022.png")</f>
        <v/>
      </c>
      <c r="V291">
        <f>HYPERLINK("https://klasma.github.io/Logging_KALMAR/klagomål/A 33043-2022.docx")</f>
        <v/>
      </c>
      <c r="W291">
        <f>HYPERLINK("https://klasma.github.io/Logging_KALMAR/klagomålsmail/A 33043-2022.docx")</f>
        <v/>
      </c>
      <c r="X291">
        <f>HYPERLINK("https://klasma.github.io/Logging_KALMAR/tillsyn/A 33043-2022.docx")</f>
        <v/>
      </c>
      <c r="Y291">
        <f>HYPERLINK("https://klasma.github.io/Logging_KALMAR/tillsynsmail/A 33043-2022.docx")</f>
        <v/>
      </c>
    </row>
    <row r="292" ht="15" customHeight="1">
      <c r="A292" t="inlineStr">
        <is>
          <t>A 34944-2022</t>
        </is>
      </c>
      <c r="B292" s="1" t="n">
        <v>44796</v>
      </c>
      <c r="C292" s="1" t="n">
        <v>45175</v>
      </c>
      <c r="D292" t="inlineStr">
        <is>
          <t>KALMAR LÄN</t>
        </is>
      </c>
      <c r="E292" t="inlineStr">
        <is>
          <t>BORGHOLM</t>
        </is>
      </c>
      <c r="F292" t="inlineStr">
        <is>
          <t>Sveaskog</t>
        </is>
      </c>
      <c r="G292" t="n">
        <v>1.7</v>
      </c>
      <c r="H292" t="n">
        <v>2</v>
      </c>
      <c r="I292" t="n">
        <v>0</v>
      </c>
      <c r="J292" t="n">
        <v>2</v>
      </c>
      <c r="K292" t="n">
        <v>0</v>
      </c>
      <c r="L292" t="n">
        <v>0</v>
      </c>
      <c r="M292" t="n">
        <v>0</v>
      </c>
      <c r="N292" t="n">
        <v>0</v>
      </c>
      <c r="O292" t="n">
        <v>2</v>
      </c>
      <c r="P292" t="n">
        <v>0</v>
      </c>
      <c r="Q292" t="n">
        <v>2</v>
      </c>
      <c r="R292" s="2" t="inlineStr">
        <is>
          <t>Entita
Talltita</t>
        </is>
      </c>
      <c r="S292">
        <f>HYPERLINK("https://klasma.github.io/Logging_BORGHOLM/artfynd/A 34944-2022.xlsx")</f>
        <v/>
      </c>
      <c r="T292">
        <f>HYPERLINK("https://klasma.github.io/Logging_BORGHOLM/kartor/A 34944-2022.png")</f>
        <v/>
      </c>
      <c r="V292">
        <f>HYPERLINK("https://klasma.github.io/Logging_BORGHOLM/klagomål/A 34944-2022.docx")</f>
        <v/>
      </c>
      <c r="W292">
        <f>HYPERLINK("https://klasma.github.io/Logging_BORGHOLM/klagomålsmail/A 34944-2022.docx")</f>
        <v/>
      </c>
      <c r="X292">
        <f>HYPERLINK("https://klasma.github.io/Logging_BORGHOLM/tillsyn/A 34944-2022.docx")</f>
        <v/>
      </c>
      <c r="Y292">
        <f>HYPERLINK("https://klasma.github.io/Logging_BORGHOLM/tillsynsmail/A 34944-2022.docx")</f>
        <v/>
      </c>
    </row>
    <row r="293" ht="15" customHeight="1">
      <c r="A293" t="inlineStr">
        <is>
          <t>A 35871-2022</t>
        </is>
      </c>
      <c r="B293" s="1" t="n">
        <v>44802</v>
      </c>
      <c r="C293" s="1" t="n">
        <v>45175</v>
      </c>
      <c r="D293" t="inlineStr">
        <is>
          <t>KALMAR LÄN</t>
        </is>
      </c>
      <c r="E293" t="inlineStr">
        <is>
          <t>KALMAR</t>
        </is>
      </c>
      <c r="G293" t="n">
        <v>1</v>
      </c>
      <c r="H293" t="n">
        <v>2</v>
      </c>
      <c r="I293" t="n">
        <v>0</v>
      </c>
      <c r="J293" t="n">
        <v>1</v>
      </c>
      <c r="K293" t="n">
        <v>0</v>
      </c>
      <c r="L293" t="n">
        <v>0</v>
      </c>
      <c r="M293" t="n">
        <v>0</v>
      </c>
      <c r="N293" t="n">
        <v>0</v>
      </c>
      <c r="O293" t="n">
        <v>1</v>
      </c>
      <c r="P293" t="n">
        <v>0</v>
      </c>
      <c r="Q293" t="n">
        <v>2</v>
      </c>
      <c r="R293" s="2" t="inlineStr">
        <is>
          <t>Nordfladdermus
Större brunfladdermus</t>
        </is>
      </c>
      <c r="S293">
        <f>HYPERLINK("https://klasma.github.io/Logging_KALMAR/artfynd/A 35871-2022.xlsx")</f>
        <v/>
      </c>
      <c r="T293">
        <f>HYPERLINK("https://klasma.github.io/Logging_KALMAR/kartor/A 35871-2022.png")</f>
        <v/>
      </c>
      <c r="V293">
        <f>HYPERLINK("https://klasma.github.io/Logging_KALMAR/klagomål/A 35871-2022.docx")</f>
        <v/>
      </c>
      <c r="W293">
        <f>HYPERLINK("https://klasma.github.io/Logging_KALMAR/klagomålsmail/A 35871-2022.docx")</f>
        <v/>
      </c>
      <c r="X293">
        <f>HYPERLINK("https://klasma.github.io/Logging_KALMAR/tillsyn/A 35871-2022.docx")</f>
        <v/>
      </c>
      <c r="Y293">
        <f>HYPERLINK("https://klasma.github.io/Logging_KALMAR/tillsynsmail/A 35871-2022.docx")</f>
        <v/>
      </c>
    </row>
    <row r="294" ht="15" customHeight="1">
      <c r="A294" t="inlineStr">
        <is>
          <t>A 38373-2022</t>
        </is>
      </c>
      <c r="B294" s="1" t="n">
        <v>44812</v>
      </c>
      <c r="C294" s="1" t="n">
        <v>45175</v>
      </c>
      <c r="D294" t="inlineStr">
        <is>
          <t>KALMAR LÄN</t>
        </is>
      </c>
      <c r="E294" t="inlineStr">
        <is>
          <t>VÄSTERVIK</t>
        </is>
      </c>
      <c r="G294" t="n">
        <v>3.1</v>
      </c>
      <c r="H294" t="n">
        <v>1</v>
      </c>
      <c r="I294" t="n">
        <v>1</v>
      </c>
      <c r="J294" t="n">
        <v>0</v>
      </c>
      <c r="K294" t="n">
        <v>1</v>
      </c>
      <c r="L294" t="n">
        <v>0</v>
      </c>
      <c r="M294" t="n">
        <v>0</v>
      </c>
      <c r="N294" t="n">
        <v>0</v>
      </c>
      <c r="O294" t="n">
        <v>1</v>
      </c>
      <c r="P294" t="n">
        <v>1</v>
      </c>
      <c r="Q294" t="n">
        <v>2</v>
      </c>
      <c r="R294" s="2" t="inlineStr">
        <is>
          <t>Knärot
Blåmossa</t>
        </is>
      </c>
      <c r="S294">
        <f>HYPERLINK("https://klasma.github.io/Logging_VASTERVIK/artfynd/A 38373-2022.xlsx")</f>
        <v/>
      </c>
      <c r="T294">
        <f>HYPERLINK("https://klasma.github.io/Logging_VASTERVIK/kartor/A 38373-2022.png")</f>
        <v/>
      </c>
      <c r="U294">
        <f>HYPERLINK("https://klasma.github.io/Logging_VASTERVIK/knärot/A 38373-2022.png")</f>
        <v/>
      </c>
      <c r="V294">
        <f>HYPERLINK("https://klasma.github.io/Logging_VASTERVIK/klagomål/A 38373-2022.docx")</f>
        <v/>
      </c>
      <c r="W294">
        <f>HYPERLINK("https://klasma.github.io/Logging_VASTERVIK/klagomålsmail/A 38373-2022.docx")</f>
        <v/>
      </c>
      <c r="X294">
        <f>HYPERLINK("https://klasma.github.io/Logging_VASTERVIK/tillsyn/A 38373-2022.docx")</f>
        <v/>
      </c>
      <c r="Y294">
        <f>HYPERLINK("https://klasma.github.io/Logging_VASTERVIK/tillsynsmail/A 38373-2022.docx")</f>
        <v/>
      </c>
    </row>
    <row r="295" ht="15" customHeight="1">
      <c r="A295" t="inlineStr">
        <is>
          <t>A 40785-2022</t>
        </is>
      </c>
      <c r="B295" s="1" t="n">
        <v>44824</v>
      </c>
      <c r="C295" s="1" t="n">
        <v>45175</v>
      </c>
      <c r="D295" t="inlineStr">
        <is>
          <t>KALMAR LÄN</t>
        </is>
      </c>
      <c r="E295" t="inlineStr">
        <is>
          <t>MÖNSTERÅS</t>
        </is>
      </c>
      <c r="G295" t="n">
        <v>0.3</v>
      </c>
      <c r="H295" t="n">
        <v>2</v>
      </c>
      <c r="I295" t="n">
        <v>0</v>
      </c>
      <c r="J295" t="n">
        <v>0</v>
      </c>
      <c r="K295" t="n">
        <v>1</v>
      </c>
      <c r="L295" t="n">
        <v>0</v>
      </c>
      <c r="M295" t="n">
        <v>0</v>
      </c>
      <c r="N295" t="n">
        <v>0</v>
      </c>
      <c r="O295" t="n">
        <v>1</v>
      </c>
      <c r="P295" t="n">
        <v>1</v>
      </c>
      <c r="Q295" t="n">
        <v>2</v>
      </c>
      <c r="R295" s="2" t="inlineStr">
        <is>
          <t>Knärot
Blåsippa</t>
        </is>
      </c>
      <c r="S295">
        <f>HYPERLINK("https://klasma.github.io/Logging_MONSTERAS/artfynd/A 40785-2022.xlsx")</f>
        <v/>
      </c>
      <c r="T295">
        <f>HYPERLINK("https://klasma.github.io/Logging_MONSTERAS/kartor/A 40785-2022.png")</f>
        <v/>
      </c>
      <c r="U295">
        <f>HYPERLINK("https://klasma.github.io/Logging_MONSTERAS/knärot/A 40785-2022.png")</f>
        <v/>
      </c>
      <c r="V295">
        <f>HYPERLINK("https://klasma.github.io/Logging_MONSTERAS/klagomål/A 40785-2022.docx")</f>
        <v/>
      </c>
      <c r="W295">
        <f>HYPERLINK("https://klasma.github.io/Logging_MONSTERAS/klagomålsmail/A 40785-2022.docx")</f>
        <v/>
      </c>
      <c r="X295">
        <f>HYPERLINK("https://klasma.github.io/Logging_MONSTERAS/tillsyn/A 40785-2022.docx")</f>
        <v/>
      </c>
      <c r="Y295">
        <f>HYPERLINK("https://klasma.github.io/Logging_MONSTERAS/tillsynsmail/A 40785-2022.docx")</f>
        <v/>
      </c>
    </row>
    <row r="296" ht="15" customHeight="1">
      <c r="A296" t="inlineStr">
        <is>
          <t>A 41881-2022</t>
        </is>
      </c>
      <c r="B296" s="1" t="n">
        <v>44827</v>
      </c>
      <c r="C296" s="1" t="n">
        <v>45175</v>
      </c>
      <c r="D296" t="inlineStr">
        <is>
          <t>KALMAR LÄN</t>
        </is>
      </c>
      <c r="E296" t="inlineStr">
        <is>
          <t>MÖNSTERÅS</t>
        </is>
      </c>
      <c r="F296" t="inlineStr">
        <is>
          <t>Kyrkan</t>
        </is>
      </c>
      <c r="G296" t="n">
        <v>6.7</v>
      </c>
      <c r="H296" t="n">
        <v>0</v>
      </c>
      <c r="I296" t="n">
        <v>0</v>
      </c>
      <c r="J296" t="n">
        <v>2</v>
      </c>
      <c r="K296" t="n">
        <v>0</v>
      </c>
      <c r="L296" t="n">
        <v>0</v>
      </c>
      <c r="M296" t="n">
        <v>0</v>
      </c>
      <c r="N296" t="n">
        <v>0</v>
      </c>
      <c r="O296" t="n">
        <v>2</v>
      </c>
      <c r="P296" t="n">
        <v>0</v>
      </c>
      <c r="Q296" t="n">
        <v>2</v>
      </c>
      <c r="R296" s="2" t="inlineStr">
        <is>
          <t>Dvärgbägarlav
Vedskivlav</t>
        </is>
      </c>
      <c r="S296">
        <f>HYPERLINK("https://klasma.github.io/Logging_MONSTERAS/artfynd/A 41881-2022.xlsx")</f>
        <v/>
      </c>
      <c r="T296">
        <f>HYPERLINK("https://klasma.github.io/Logging_MONSTERAS/kartor/A 41881-2022.png")</f>
        <v/>
      </c>
      <c r="V296">
        <f>HYPERLINK("https://klasma.github.io/Logging_MONSTERAS/klagomål/A 41881-2022.docx")</f>
        <v/>
      </c>
      <c r="W296">
        <f>HYPERLINK("https://klasma.github.io/Logging_MONSTERAS/klagomålsmail/A 41881-2022.docx")</f>
        <v/>
      </c>
      <c r="X296">
        <f>HYPERLINK("https://klasma.github.io/Logging_MONSTERAS/tillsyn/A 41881-2022.docx")</f>
        <v/>
      </c>
      <c r="Y296">
        <f>HYPERLINK("https://klasma.github.io/Logging_MONSTERAS/tillsynsmail/A 41881-2022.docx")</f>
        <v/>
      </c>
    </row>
    <row r="297" ht="15" customHeight="1">
      <c r="A297" t="inlineStr">
        <is>
          <t>A 43756-2022</t>
        </is>
      </c>
      <c r="B297" s="1" t="n">
        <v>44837</v>
      </c>
      <c r="C297" s="1" t="n">
        <v>45175</v>
      </c>
      <c r="D297" t="inlineStr">
        <is>
          <t>KALMAR LÄN</t>
        </is>
      </c>
      <c r="E297" t="inlineStr">
        <is>
          <t>BORGHOLM</t>
        </is>
      </c>
      <c r="G297" t="n">
        <v>2.2</v>
      </c>
      <c r="H297" t="n">
        <v>1</v>
      </c>
      <c r="I297" t="n">
        <v>1</v>
      </c>
      <c r="J297" t="n">
        <v>0</v>
      </c>
      <c r="K297" t="n">
        <v>0</v>
      </c>
      <c r="L297" t="n">
        <v>0</v>
      </c>
      <c r="M297" t="n">
        <v>0</v>
      </c>
      <c r="N297" t="n">
        <v>0</v>
      </c>
      <c r="O297" t="n">
        <v>0</v>
      </c>
      <c r="P297" t="n">
        <v>0</v>
      </c>
      <c r="Q297" t="n">
        <v>2</v>
      </c>
      <c r="R297" s="2" t="inlineStr">
        <is>
          <t>Murgröna
Blåsippa</t>
        </is>
      </c>
      <c r="S297">
        <f>HYPERLINK("https://klasma.github.io/Logging_BORGHOLM/artfynd/A 43756-2022.xlsx")</f>
        <v/>
      </c>
      <c r="T297">
        <f>HYPERLINK("https://klasma.github.io/Logging_BORGHOLM/kartor/A 43756-2022.png")</f>
        <v/>
      </c>
      <c r="V297">
        <f>HYPERLINK("https://klasma.github.io/Logging_BORGHOLM/klagomål/A 43756-2022.docx")</f>
        <v/>
      </c>
      <c r="W297">
        <f>HYPERLINK("https://klasma.github.io/Logging_BORGHOLM/klagomålsmail/A 43756-2022.docx")</f>
        <v/>
      </c>
      <c r="X297">
        <f>HYPERLINK("https://klasma.github.io/Logging_BORGHOLM/tillsyn/A 43756-2022.docx")</f>
        <v/>
      </c>
      <c r="Y297">
        <f>HYPERLINK("https://klasma.github.io/Logging_BORGHOLM/tillsynsmail/A 43756-2022.docx")</f>
        <v/>
      </c>
    </row>
    <row r="298" ht="15" customHeight="1">
      <c r="A298" t="inlineStr">
        <is>
          <t>A 44008-2022</t>
        </is>
      </c>
      <c r="B298" s="1" t="n">
        <v>44838</v>
      </c>
      <c r="C298" s="1" t="n">
        <v>45175</v>
      </c>
      <c r="D298" t="inlineStr">
        <is>
          <t>KALMAR LÄN</t>
        </is>
      </c>
      <c r="E298" t="inlineStr">
        <is>
          <t>BORGHOLM</t>
        </is>
      </c>
      <c r="F298" t="inlineStr">
        <is>
          <t>Sveaskog</t>
        </is>
      </c>
      <c r="G298" t="n">
        <v>1.7</v>
      </c>
      <c r="H298" t="n">
        <v>2</v>
      </c>
      <c r="I298" t="n">
        <v>0</v>
      </c>
      <c r="J298" t="n">
        <v>2</v>
      </c>
      <c r="K298" t="n">
        <v>0</v>
      </c>
      <c r="L298" t="n">
        <v>0</v>
      </c>
      <c r="M298" t="n">
        <v>0</v>
      </c>
      <c r="N298" t="n">
        <v>0</v>
      </c>
      <c r="O298" t="n">
        <v>2</v>
      </c>
      <c r="P298" t="n">
        <v>0</v>
      </c>
      <c r="Q298" t="n">
        <v>2</v>
      </c>
      <c r="R298" s="2" t="inlineStr">
        <is>
          <t>Entita
Talltita</t>
        </is>
      </c>
      <c r="S298">
        <f>HYPERLINK("https://klasma.github.io/Logging_BORGHOLM/artfynd/A 44008-2022.xlsx")</f>
        <v/>
      </c>
      <c r="T298">
        <f>HYPERLINK("https://klasma.github.io/Logging_BORGHOLM/kartor/A 44008-2022.png")</f>
        <v/>
      </c>
      <c r="V298">
        <f>HYPERLINK("https://klasma.github.io/Logging_BORGHOLM/klagomål/A 44008-2022.docx")</f>
        <v/>
      </c>
      <c r="W298">
        <f>HYPERLINK("https://klasma.github.io/Logging_BORGHOLM/klagomålsmail/A 44008-2022.docx")</f>
        <v/>
      </c>
      <c r="X298">
        <f>HYPERLINK("https://klasma.github.io/Logging_BORGHOLM/tillsyn/A 44008-2022.docx")</f>
        <v/>
      </c>
      <c r="Y298">
        <f>HYPERLINK("https://klasma.github.io/Logging_BORGHOLM/tillsynsmail/A 44008-2022.docx")</f>
        <v/>
      </c>
    </row>
    <row r="299" ht="15" customHeight="1">
      <c r="A299" t="inlineStr">
        <is>
          <t>A 46552-2022</t>
        </is>
      </c>
      <c r="B299" s="1" t="n">
        <v>44848</v>
      </c>
      <c r="C299" s="1" t="n">
        <v>45175</v>
      </c>
      <c r="D299" t="inlineStr">
        <is>
          <t>KALMAR LÄN</t>
        </is>
      </c>
      <c r="E299" t="inlineStr">
        <is>
          <t>VÄSTERVIK</t>
        </is>
      </c>
      <c r="F299" t="inlineStr">
        <is>
          <t>Sveaskog</t>
        </is>
      </c>
      <c r="G299" t="n">
        <v>1.7</v>
      </c>
      <c r="H299" t="n">
        <v>0</v>
      </c>
      <c r="I299" t="n">
        <v>1</v>
      </c>
      <c r="J299" t="n">
        <v>1</v>
      </c>
      <c r="K299" t="n">
        <v>0</v>
      </c>
      <c r="L299" t="n">
        <v>0</v>
      </c>
      <c r="M299" t="n">
        <v>0</v>
      </c>
      <c r="N299" t="n">
        <v>0</v>
      </c>
      <c r="O299" t="n">
        <v>1</v>
      </c>
      <c r="P299" t="n">
        <v>0</v>
      </c>
      <c r="Q299" t="n">
        <v>2</v>
      </c>
      <c r="R299" s="2" t="inlineStr">
        <is>
          <t>Motaggsvamp
Sårläka</t>
        </is>
      </c>
      <c r="S299">
        <f>HYPERLINK("https://klasma.github.io/Logging_VASTERVIK/artfynd/A 46552-2022.xlsx")</f>
        <v/>
      </c>
      <c r="T299">
        <f>HYPERLINK("https://klasma.github.io/Logging_VASTERVIK/kartor/A 46552-2022.png")</f>
        <v/>
      </c>
      <c r="V299">
        <f>HYPERLINK("https://klasma.github.io/Logging_VASTERVIK/klagomål/A 46552-2022.docx")</f>
        <v/>
      </c>
      <c r="W299">
        <f>HYPERLINK("https://klasma.github.io/Logging_VASTERVIK/klagomålsmail/A 46552-2022.docx")</f>
        <v/>
      </c>
      <c r="X299">
        <f>HYPERLINK("https://klasma.github.io/Logging_VASTERVIK/tillsyn/A 46552-2022.docx")</f>
        <v/>
      </c>
      <c r="Y299">
        <f>HYPERLINK("https://klasma.github.io/Logging_VASTERVIK/tillsynsmail/A 46552-2022.docx")</f>
        <v/>
      </c>
    </row>
    <row r="300" ht="15" customHeight="1">
      <c r="A300" t="inlineStr">
        <is>
          <t>A 46787-2022</t>
        </is>
      </c>
      <c r="B300" s="1" t="n">
        <v>44851</v>
      </c>
      <c r="C300" s="1" t="n">
        <v>45175</v>
      </c>
      <c r="D300" t="inlineStr">
        <is>
          <t>KALMAR LÄN</t>
        </is>
      </c>
      <c r="E300" t="inlineStr">
        <is>
          <t>VÄSTERVIK</t>
        </is>
      </c>
      <c r="G300" t="n">
        <v>4.4</v>
      </c>
      <c r="H300" t="n">
        <v>0</v>
      </c>
      <c r="I300" t="n">
        <v>0</v>
      </c>
      <c r="J300" t="n">
        <v>2</v>
      </c>
      <c r="K300" t="n">
        <v>0</v>
      </c>
      <c r="L300" t="n">
        <v>0</v>
      </c>
      <c r="M300" t="n">
        <v>0</v>
      </c>
      <c r="N300" t="n">
        <v>0</v>
      </c>
      <c r="O300" t="n">
        <v>2</v>
      </c>
      <c r="P300" t="n">
        <v>0</v>
      </c>
      <c r="Q300" t="n">
        <v>2</v>
      </c>
      <c r="R300" s="2" t="inlineStr">
        <is>
          <t>Motaggsvamp
Tallticka</t>
        </is>
      </c>
      <c r="S300">
        <f>HYPERLINK("https://klasma.github.io/Logging_VASTERVIK/artfynd/A 46787-2022.xlsx")</f>
        <v/>
      </c>
      <c r="T300">
        <f>HYPERLINK("https://klasma.github.io/Logging_VASTERVIK/kartor/A 46787-2022.png")</f>
        <v/>
      </c>
      <c r="V300">
        <f>HYPERLINK("https://klasma.github.io/Logging_VASTERVIK/klagomål/A 46787-2022.docx")</f>
        <v/>
      </c>
      <c r="W300">
        <f>HYPERLINK("https://klasma.github.io/Logging_VASTERVIK/klagomålsmail/A 46787-2022.docx")</f>
        <v/>
      </c>
      <c r="X300">
        <f>HYPERLINK("https://klasma.github.io/Logging_VASTERVIK/tillsyn/A 46787-2022.docx")</f>
        <v/>
      </c>
      <c r="Y300">
        <f>HYPERLINK("https://klasma.github.io/Logging_VASTERVIK/tillsynsmail/A 46787-2022.docx")</f>
        <v/>
      </c>
    </row>
    <row r="301" ht="15" customHeight="1">
      <c r="A301" t="inlineStr">
        <is>
          <t>A 50989-2022</t>
        </is>
      </c>
      <c r="B301" s="1" t="n">
        <v>44867</v>
      </c>
      <c r="C301" s="1" t="n">
        <v>45175</v>
      </c>
      <c r="D301" t="inlineStr">
        <is>
          <t>KALMAR LÄN</t>
        </is>
      </c>
      <c r="E301" t="inlineStr">
        <is>
          <t>VÄSTERVIK</t>
        </is>
      </c>
      <c r="G301" t="n">
        <v>2</v>
      </c>
      <c r="H301" t="n">
        <v>0</v>
      </c>
      <c r="I301" t="n">
        <v>2</v>
      </c>
      <c r="J301" t="n">
        <v>0</v>
      </c>
      <c r="K301" t="n">
        <v>0</v>
      </c>
      <c r="L301" t="n">
        <v>0</v>
      </c>
      <c r="M301" t="n">
        <v>0</v>
      </c>
      <c r="N301" t="n">
        <v>0</v>
      </c>
      <c r="O301" t="n">
        <v>0</v>
      </c>
      <c r="P301" t="n">
        <v>0</v>
      </c>
      <c r="Q301" t="n">
        <v>2</v>
      </c>
      <c r="R301" s="2" t="inlineStr">
        <is>
          <t>Blomkålssvamp
Vätteros</t>
        </is>
      </c>
      <c r="S301">
        <f>HYPERLINK("https://klasma.github.io/Logging_VASTERVIK/artfynd/A 50989-2022.xlsx")</f>
        <v/>
      </c>
      <c r="T301">
        <f>HYPERLINK("https://klasma.github.io/Logging_VASTERVIK/kartor/A 50989-2022.png")</f>
        <v/>
      </c>
      <c r="V301">
        <f>HYPERLINK("https://klasma.github.io/Logging_VASTERVIK/klagomål/A 50989-2022.docx")</f>
        <v/>
      </c>
      <c r="W301">
        <f>HYPERLINK("https://klasma.github.io/Logging_VASTERVIK/klagomålsmail/A 50989-2022.docx")</f>
        <v/>
      </c>
      <c r="X301">
        <f>HYPERLINK("https://klasma.github.io/Logging_VASTERVIK/tillsyn/A 50989-2022.docx")</f>
        <v/>
      </c>
      <c r="Y301">
        <f>HYPERLINK("https://klasma.github.io/Logging_VASTERVIK/tillsynsmail/A 50989-2022.docx")</f>
        <v/>
      </c>
    </row>
    <row r="302" ht="15" customHeight="1">
      <c r="A302" t="inlineStr">
        <is>
          <t>A 57330-2022</t>
        </is>
      </c>
      <c r="B302" s="1" t="n">
        <v>44896</v>
      </c>
      <c r="C302" s="1" t="n">
        <v>45175</v>
      </c>
      <c r="D302" t="inlineStr">
        <is>
          <t>KALMAR LÄN</t>
        </is>
      </c>
      <c r="E302" t="inlineStr">
        <is>
          <t>KALMAR</t>
        </is>
      </c>
      <c r="G302" t="n">
        <v>5.7</v>
      </c>
      <c r="H302" t="n">
        <v>1</v>
      </c>
      <c r="I302" t="n">
        <v>1</v>
      </c>
      <c r="J302" t="n">
        <v>0</v>
      </c>
      <c r="K302" t="n">
        <v>0</v>
      </c>
      <c r="L302" t="n">
        <v>0</v>
      </c>
      <c r="M302" t="n">
        <v>0</v>
      </c>
      <c r="N302" t="n">
        <v>0</v>
      </c>
      <c r="O302" t="n">
        <v>0</v>
      </c>
      <c r="P302" t="n">
        <v>0</v>
      </c>
      <c r="Q302" t="n">
        <v>2</v>
      </c>
      <c r="R302" s="2" t="inlineStr">
        <is>
          <t>Blåmossa
Mattlummer</t>
        </is>
      </c>
      <c r="S302">
        <f>HYPERLINK("https://klasma.github.io/Logging_KALMAR/artfynd/A 57330-2022.xlsx")</f>
        <v/>
      </c>
      <c r="T302">
        <f>HYPERLINK("https://klasma.github.io/Logging_KALMAR/kartor/A 57330-2022.png")</f>
        <v/>
      </c>
      <c r="V302">
        <f>HYPERLINK("https://klasma.github.io/Logging_KALMAR/klagomål/A 57330-2022.docx")</f>
        <v/>
      </c>
      <c r="W302">
        <f>HYPERLINK("https://klasma.github.io/Logging_KALMAR/klagomålsmail/A 57330-2022.docx")</f>
        <v/>
      </c>
      <c r="X302">
        <f>HYPERLINK("https://klasma.github.io/Logging_KALMAR/tillsyn/A 57330-2022.docx")</f>
        <v/>
      </c>
      <c r="Y302">
        <f>HYPERLINK("https://klasma.github.io/Logging_KALMAR/tillsynsmail/A 57330-2022.docx")</f>
        <v/>
      </c>
    </row>
    <row r="303" ht="15" customHeight="1">
      <c r="A303" t="inlineStr">
        <is>
          <t>A 59145-2022</t>
        </is>
      </c>
      <c r="B303" s="1" t="n">
        <v>44904</v>
      </c>
      <c r="C303" s="1" t="n">
        <v>45175</v>
      </c>
      <c r="D303" t="inlineStr">
        <is>
          <t>KALMAR LÄN</t>
        </is>
      </c>
      <c r="E303" t="inlineStr">
        <is>
          <t>NYBRO</t>
        </is>
      </c>
      <c r="F303" t="inlineStr">
        <is>
          <t>Sveaskog</t>
        </is>
      </c>
      <c r="G303" t="n">
        <v>11.3</v>
      </c>
      <c r="H303" t="n">
        <v>2</v>
      </c>
      <c r="I303" t="n">
        <v>0</v>
      </c>
      <c r="J303" t="n">
        <v>2</v>
      </c>
      <c r="K303" t="n">
        <v>0</v>
      </c>
      <c r="L303" t="n">
        <v>0</v>
      </c>
      <c r="M303" t="n">
        <v>0</v>
      </c>
      <c r="N303" t="n">
        <v>0</v>
      </c>
      <c r="O303" t="n">
        <v>2</v>
      </c>
      <c r="P303" t="n">
        <v>0</v>
      </c>
      <c r="Q303" t="n">
        <v>2</v>
      </c>
      <c r="R303" s="2" t="inlineStr">
        <is>
          <t>Barbastell
Nordfladdermus</t>
        </is>
      </c>
      <c r="S303">
        <f>HYPERLINK("https://klasma.github.io/Logging_NYBRO/artfynd/A 59145-2022.xlsx")</f>
        <v/>
      </c>
      <c r="T303">
        <f>HYPERLINK("https://klasma.github.io/Logging_NYBRO/kartor/A 59145-2022.png")</f>
        <v/>
      </c>
      <c r="V303">
        <f>HYPERLINK("https://klasma.github.io/Logging_NYBRO/klagomål/A 59145-2022.docx")</f>
        <v/>
      </c>
      <c r="W303">
        <f>HYPERLINK("https://klasma.github.io/Logging_NYBRO/klagomålsmail/A 59145-2022.docx")</f>
        <v/>
      </c>
      <c r="X303">
        <f>HYPERLINK("https://klasma.github.io/Logging_NYBRO/tillsyn/A 59145-2022.docx")</f>
        <v/>
      </c>
      <c r="Y303">
        <f>HYPERLINK("https://klasma.github.io/Logging_NYBRO/tillsynsmail/A 59145-2022.docx")</f>
        <v/>
      </c>
    </row>
    <row r="304" ht="15" customHeight="1">
      <c r="A304" t="inlineStr">
        <is>
          <t>A 61121-2022</t>
        </is>
      </c>
      <c r="B304" s="1" t="n">
        <v>44908</v>
      </c>
      <c r="C304" s="1" t="n">
        <v>45175</v>
      </c>
      <c r="D304" t="inlineStr">
        <is>
          <t>KALMAR LÄN</t>
        </is>
      </c>
      <c r="E304" t="inlineStr">
        <is>
          <t>MÖNSTERÅS</t>
        </is>
      </c>
      <c r="F304" t="inlineStr">
        <is>
          <t>Kyrkan</t>
        </is>
      </c>
      <c r="G304" t="n">
        <v>3.9</v>
      </c>
      <c r="H304" t="n">
        <v>0</v>
      </c>
      <c r="I304" t="n">
        <v>0</v>
      </c>
      <c r="J304" t="n">
        <v>2</v>
      </c>
      <c r="K304" t="n">
        <v>0</v>
      </c>
      <c r="L304" t="n">
        <v>0</v>
      </c>
      <c r="M304" t="n">
        <v>0</v>
      </c>
      <c r="N304" t="n">
        <v>0</v>
      </c>
      <c r="O304" t="n">
        <v>2</v>
      </c>
      <c r="P304" t="n">
        <v>0</v>
      </c>
      <c r="Q304" t="n">
        <v>2</v>
      </c>
      <c r="R304" s="2" t="inlineStr">
        <is>
          <t>Ullticka
Vedtrappmossa</t>
        </is>
      </c>
      <c r="S304">
        <f>HYPERLINK("https://klasma.github.io/Logging_MONSTERAS/artfynd/A 61121-2022.xlsx")</f>
        <v/>
      </c>
      <c r="T304">
        <f>HYPERLINK("https://klasma.github.io/Logging_MONSTERAS/kartor/A 61121-2022.png")</f>
        <v/>
      </c>
      <c r="V304">
        <f>HYPERLINK("https://klasma.github.io/Logging_MONSTERAS/klagomål/A 61121-2022.docx")</f>
        <v/>
      </c>
      <c r="W304">
        <f>HYPERLINK("https://klasma.github.io/Logging_MONSTERAS/klagomålsmail/A 61121-2022.docx")</f>
        <v/>
      </c>
      <c r="X304">
        <f>HYPERLINK("https://klasma.github.io/Logging_MONSTERAS/tillsyn/A 61121-2022.docx")</f>
        <v/>
      </c>
      <c r="Y304">
        <f>HYPERLINK("https://klasma.github.io/Logging_MONSTERAS/tillsynsmail/A 61121-2022.docx")</f>
        <v/>
      </c>
    </row>
    <row r="305" ht="15" customHeight="1">
      <c r="A305" t="inlineStr">
        <is>
          <t>A 61429-2022</t>
        </is>
      </c>
      <c r="B305" s="1" t="n">
        <v>44909</v>
      </c>
      <c r="C305" s="1" t="n">
        <v>45175</v>
      </c>
      <c r="D305" t="inlineStr">
        <is>
          <t>KALMAR LÄN</t>
        </is>
      </c>
      <c r="E305" t="inlineStr">
        <is>
          <t>HULTSFRED</t>
        </is>
      </c>
      <c r="F305" t="inlineStr">
        <is>
          <t>Övriga Aktiebolag</t>
        </is>
      </c>
      <c r="G305" t="n">
        <v>24.9</v>
      </c>
      <c r="H305" t="n">
        <v>1</v>
      </c>
      <c r="I305" t="n">
        <v>0</v>
      </c>
      <c r="J305" t="n">
        <v>0</v>
      </c>
      <c r="K305" t="n">
        <v>1</v>
      </c>
      <c r="L305" t="n">
        <v>1</v>
      </c>
      <c r="M305" t="n">
        <v>0</v>
      </c>
      <c r="N305" t="n">
        <v>0</v>
      </c>
      <c r="O305" t="n">
        <v>2</v>
      </c>
      <c r="P305" t="n">
        <v>2</v>
      </c>
      <c r="Q305" t="n">
        <v>2</v>
      </c>
      <c r="R305" s="2" t="inlineStr">
        <is>
          <t>Ryl
Mellanlummer</t>
        </is>
      </c>
      <c r="S305">
        <f>HYPERLINK("https://klasma.github.io/Logging_HULTSFRED/artfynd/A 61429-2022.xlsx")</f>
        <v/>
      </c>
      <c r="T305">
        <f>HYPERLINK("https://klasma.github.io/Logging_HULTSFRED/kartor/A 61429-2022.png")</f>
        <v/>
      </c>
      <c r="V305">
        <f>HYPERLINK("https://klasma.github.io/Logging_HULTSFRED/klagomål/A 61429-2022.docx")</f>
        <v/>
      </c>
      <c r="W305">
        <f>HYPERLINK("https://klasma.github.io/Logging_HULTSFRED/klagomålsmail/A 61429-2022.docx")</f>
        <v/>
      </c>
      <c r="X305">
        <f>HYPERLINK("https://klasma.github.io/Logging_HULTSFRED/tillsyn/A 61429-2022.docx")</f>
        <v/>
      </c>
      <c r="Y305">
        <f>HYPERLINK("https://klasma.github.io/Logging_HULTSFRED/tillsynsmail/A 61429-2022.docx")</f>
        <v/>
      </c>
    </row>
    <row r="306" ht="15" customHeight="1">
      <c r="A306" t="inlineStr">
        <is>
          <t>A 62003-2022</t>
        </is>
      </c>
      <c r="B306" s="1" t="n">
        <v>44918</v>
      </c>
      <c r="C306" s="1" t="n">
        <v>45175</v>
      </c>
      <c r="D306" t="inlineStr">
        <is>
          <t>KALMAR LÄN</t>
        </is>
      </c>
      <c r="E306" t="inlineStr">
        <is>
          <t>VÄSTERVIK</t>
        </is>
      </c>
      <c r="G306" t="n">
        <v>6.2</v>
      </c>
      <c r="H306" t="n">
        <v>1</v>
      </c>
      <c r="I306" t="n">
        <v>0</v>
      </c>
      <c r="J306" t="n">
        <v>1</v>
      </c>
      <c r="K306" t="n">
        <v>1</v>
      </c>
      <c r="L306" t="n">
        <v>0</v>
      </c>
      <c r="M306" t="n">
        <v>0</v>
      </c>
      <c r="N306" t="n">
        <v>0</v>
      </c>
      <c r="O306" t="n">
        <v>2</v>
      </c>
      <c r="P306" t="n">
        <v>1</v>
      </c>
      <c r="Q306" t="n">
        <v>2</v>
      </c>
      <c r="R306" s="2" t="inlineStr">
        <is>
          <t>Knärot
Linmåra/småsnärjmåra</t>
        </is>
      </c>
      <c r="S306">
        <f>HYPERLINK("https://klasma.github.io/Logging_VASTERVIK/artfynd/A 62003-2022.xlsx")</f>
        <v/>
      </c>
      <c r="T306">
        <f>HYPERLINK("https://klasma.github.io/Logging_VASTERVIK/kartor/A 62003-2022.png")</f>
        <v/>
      </c>
      <c r="U306">
        <f>HYPERLINK("https://klasma.github.io/Logging_VASTERVIK/knärot/A 62003-2022.png")</f>
        <v/>
      </c>
      <c r="V306">
        <f>HYPERLINK("https://klasma.github.io/Logging_VASTERVIK/klagomål/A 62003-2022.docx")</f>
        <v/>
      </c>
      <c r="W306">
        <f>HYPERLINK("https://klasma.github.io/Logging_VASTERVIK/klagomålsmail/A 62003-2022.docx")</f>
        <v/>
      </c>
      <c r="X306">
        <f>HYPERLINK("https://klasma.github.io/Logging_VASTERVIK/tillsyn/A 62003-2022.docx")</f>
        <v/>
      </c>
      <c r="Y306">
        <f>HYPERLINK("https://klasma.github.io/Logging_VASTERVIK/tillsynsmail/A 62003-2022.docx")</f>
        <v/>
      </c>
    </row>
    <row r="307" ht="15" customHeight="1">
      <c r="A307" t="inlineStr">
        <is>
          <t>A 1991-2023</t>
        </is>
      </c>
      <c r="B307" s="1" t="n">
        <v>44939</v>
      </c>
      <c r="C307" s="1" t="n">
        <v>45175</v>
      </c>
      <c r="D307" t="inlineStr">
        <is>
          <t>KALMAR LÄN</t>
        </is>
      </c>
      <c r="E307" t="inlineStr">
        <is>
          <t>MÖNSTERÅS</t>
        </is>
      </c>
      <c r="G307" t="n">
        <v>0.8</v>
      </c>
      <c r="H307" t="n">
        <v>0</v>
      </c>
      <c r="I307" t="n">
        <v>2</v>
      </c>
      <c r="J307" t="n">
        <v>0</v>
      </c>
      <c r="K307" t="n">
        <v>0</v>
      </c>
      <c r="L307" t="n">
        <v>0</v>
      </c>
      <c r="M307" t="n">
        <v>0</v>
      </c>
      <c r="N307" t="n">
        <v>0</v>
      </c>
      <c r="O307" t="n">
        <v>0</v>
      </c>
      <c r="P307" t="n">
        <v>0</v>
      </c>
      <c r="Q307" t="n">
        <v>2</v>
      </c>
      <c r="R307" s="2" t="inlineStr">
        <is>
          <t>Vätteros
Vårärt</t>
        </is>
      </c>
      <c r="S307">
        <f>HYPERLINK("https://klasma.github.io/Logging_MONSTERAS/artfynd/A 1991-2023.xlsx")</f>
        <v/>
      </c>
      <c r="T307">
        <f>HYPERLINK("https://klasma.github.io/Logging_MONSTERAS/kartor/A 1991-2023.png")</f>
        <v/>
      </c>
      <c r="V307">
        <f>HYPERLINK("https://klasma.github.io/Logging_MONSTERAS/klagomål/A 1991-2023.docx")</f>
        <v/>
      </c>
      <c r="W307">
        <f>HYPERLINK("https://klasma.github.io/Logging_MONSTERAS/klagomålsmail/A 1991-2023.docx")</f>
        <v/>
      </c>
      <c r="X307">
        <f>HYPERLINK("https://klasma.github.io/Logging_MONSTERAS/tillsyn/A 1991-2023.docx")</f>
        <v/>
      </c>
      <c r="Y307">
        <f>HYPERLINK("https://klasma.github.io/Logging_MONSTERAS/tillsynsmail/A 1991-2023.docx")</f>
        <v/>
      </c>
    </row>
    <row r="308" ht="15" customHeight="1">
      <c r="A308" t="inlineStr">
        <is>
          <t>A 2063-2023</t>
        </is>
      </c>
      <c r="B308" s="1" t="n">
        <v>44939</v>
      </c>
      <c r="C308" s="1" t="n">
        <v>45175</v>
      </c>
      <c r="D308" t="inlineStr">
        <is>
          <t>KALMAR LÄN</t>
        </is>
      </c>
      <c r="E308" t="inlineStr">
        <is>
          <t>TORSÅS</t>
        </is>
      </c>
      <c r="G308" t="n">
        <v>1.8</v>
      </c>
      <c r="H308" t="n">
        <v>0</v>
      </c>
      <c r="I308" t="n">
        <v>0</v>
      </c>
      <c r="J308" t="n">
        <v>1</v>
      </c>
      <c r="K308" t="n">
        <v>0</v>
      </c>
      <c r="L308" t="n">
        <v>0</v>
      </c>
      <c r="M308" t="n">
        <v>1</v>
      </c>
      <c r="N308" t="n">
        <v>0</v>
      </c>
      <c r="O308" t="n">
        <v>2</v>
      </c>
      <c r="P308" t="n">
        <v>1</v>
      </c>
      <c r="Q308" t="n">
        <v>2</v>
      </c>
      <c r="R308" s="2" t="inlineStr">
        <is>
          <t>Selleri
Kavelhirs</t>
        </is>
      </c>
      <c r="S308">
        <f>HYPERLINK("https://klasma.github.io/Logging_TORSAS/artfynd/A 2063-2023.xlsx")</f>
        <v/>
      </c>
      <c r="T308">
        <f>HYPERLINK("https://klasma.github.io/Logging_TORSAS/kartor/A 2063-2023.png")</f>
        <v/>
      </c>
      <c r="V308">
        <f>HYPERLINK("https://klasma.github.io/Logging_TORSAS/klagomål/A 2063-2023.docx")</f>
        <v/>
      </c>
      <c r="W308">
        <f>HYPERLINK("https://klasma.github.io/Logging_TORSAS/klagomålsmail/A 2063-2023.docx")</f>
        <v/>
      </c>
      <c r="X308">
        <f>HYPERLINK("https://klasma.github.io/Logging_TORSAS/tillsyn/A 2063-2023.docx")</f>
        <v/>
      </c>
      <c r="Y308">
        <f>HYPERLINK("https://klasma.github.io/Logging_TORSAS/tillsynsmail/A 2063-2023.docx")</f>
        <v/>
      </c>
    </row>
    <row r="309" ht="15" customHeight="1">
      <c r="A309" t="inlineStr">
        <is>
          <t>A 2097-2023</t>
        </is>
      </c>
      <c r="B309" s="1" t="n">
        <v>44939</v>
      </c>
      <c r="C309" s="1" t="n">
        <v>45175</v>
      </c>
      <c r="D309" t="inlineStr">
        <is>
          <t>KALMAR LÄN</t>
        </is>
      </c>
      <c r="E309" t="inlineStr">
        <is>
          <t>VÄSTERVIK</t>
        </is>
      </c>
      <c r="G309" t="n">
        <v>6.9</v>
      </c>
      <c r="H309" t="n">
        <v>1</v>
      </c>
      <c r="I309" t="n">
        <v>1</v>
      </c>
      <c r="J309" t="n">
        <v>0</v>
      </c>
      <c r="K309" t="n">
        <v>1</v>
      </c>
      <c r="L309" t="n">
        <v>0</v>
      </c>
      <c r="M309" t="n">
        <v>0</v>
      </c>
      <c r="N309" t="n">
        <v>0</v>
      </c>
      <c r="O309" t="n">
        <v>1</v>
      </c>
      <c r="P309" t="n">
        <v>1</v>
      </c>
      <c r="Q309" t="n">
        <v>2</v>
      </c>
      <c r="R309" s="2" t="inlineStr">
        <is>
          <t>Knärot
Grovticka</t>
        </is>
      </c>
      <c r="S309">
        <f>HYPERLINK("https://klasma.github.io/Logging_VASTERVIK/artfynd/A 2097-2023.xlsx")</f>
        <v/>
      </c>
      <c r="T309">
        <f>HYPERLINK("https://klasma.github.io/Logging_VASTERVIK/kartor/A 2097-2023.png")</f>
        <v/>
      </c>
      <c r="U309">
        <f>HYPERLINK("https://klasma.github.io/Logging_VASTERVIK/knärot/A 2097-2023.png")</f>
        <v/>
      </c>
      <c r="V309">
        <f>HYPERLINK("https://klasma.github.io/Logging_VASTERVIK/klagomål/A 2097-2023.docx")</f>
        <v/>
      </c>
      <c r="W309">
        <f>HYPERLINK("https://klasma.github.io/Logging_VASTERVIK/klagomålsmail/A 2097-2023.docx")</f>
        <v/>
      </c>
      <c r="X309">
        <f>HYPERLINK("https://klasma.github.io/Logging_VASTERVIK/tillsyn/A 2097-2023.docx")</f>
        <v/>
      </c>
      <c r="Y309">
        <f>HYPERLINK("https://klasma.github.io/Logging_VASTERVIK/tillsynsmail/A 2097-2023.docx")</f>
        <v/>
      </c>
    </row>
    <row r="310" ht="15" customHeight="1">
      <c r="A310" t="inlineStr">
        <is>
          <t>A 2515-2023</t>
        </is>
      </c>
      <c r="B310" s="1" t="n">
        <v>44943</v>
      </c>
      <c r="C310" s="1" t="n">
        <v>45175</v>
      </c>
      <c r="D310" t="inlineStr">
        <is>
          <t>KALMAR LÄN</t>
        </is>
      </c>
      <c r="E310" t="inlineStr">
        <is>
          <t>VÄSTERVIK</t>
        </is>
      </c>
      <c r="G310" t="n">
        <v>1.3</v>
      </c>
      <c r="H310" t="n">
        <v>1</v>
      </c>
      <c r="I310" t="n">
        <v>1</v>
      </c>
      <c r="J310" t="n">
        <v>0</v>
      </c>
      <c r="K310" t="n">
        <v>1</v>
      </c>
      <c r="L310" t="n">
        <v>0</v>
      </c>
      <c r="M310" t="n">
        <v>0</v>
      </c>
      <c r="N310" t="n">
        <v>0</v>
      </c>
      <c r="O310" t="n">
        <v>1</v>
      </c>
      <c r="P310" t="n">
        <v>1</v>
      </c>
      <c r="Q310" t="n">
        <v>2</v>
      </c>
      <c r="R310" s="2" t="inlineStr">
        <is>
          <t>Knärot
Grönpyrola</t>
        </is>
      </c>
      <c r="S310">
        <f>HYPERLINK("https://klasma.github.io/Logging_VASTERVIK/artfynd/A 2515-2023.xlsx")</f>
        <v/>
      </c>
      <c r="T310">
        <f>HYPERLINK("https://klasma.github.io/Logging_VASTERVIK/kartor/A 2515-2023.png")</f>
        <v/>
      </c>
      <c r="U310">
        <f>HYPERLINK("https://klasma.github.io/Logging_VASTERVIK/knärot/A 2515-2023.png")</f>
        <v/>
      </c>
      <c r="V310">
        <f>HYPERLINK("https://klasma.github.io/Logging_VASTERVIK/klagomål/A 2515-2023.docx")</f>
        <v/>
      </c>
      <c r="W310">
        <f>HYPERLINK("https://klasma.github.io/Logging_VASTERVIK/klagomålsmail/A 2515-2023.docx")</f>
        <v/>
      </c>
      <c r="X310">
        <f>HYPERLINK("https://klasma.github.io/Logging_VASTERVIK/tillsyn/A 2515-2023.docx")</f>
        <v/>
      </c>
      <c r="Y310">
        <f>HYPERLINK("https://klasma.github.io/Logging_VASTERVIK/tillsynsmail/A 2515-2023.docx")</f>
        <v/>
      </c>
    </row>
    <row r="311" ht="15" customHeight="1">
      <c r="A311" t="inlineStr">
        <is>
          <t>A 2518-2023</t>
        </is>
      </c>
      <c r="B311" s="1" t="n">
        <v>44943</v>
      </c>
      <c r="C311" s="1" t="n">
        <v>45175</v>
      </c>
      <c r="D311" t="inlineStr">
        <is>
          <t>KALMAR LÄN</t>
        </is>
      </c>
      <c r="E311" t="inlineStr">
        <is>
          <t>VIMMERBY</t>
        </is>
      </c>
      <c r="G311" t="n">
        <v>6.1</v>
      </c>
      <c r="H311" t="n">
        <v>1</v>
      </c>
      <c r="I311" t="n">
        <v>1</v>
      </c>
      <c r="J311" t="n">
        <v>0</v>
      </c>
      <c r="K311" t="n">
        <v>1</v>
      </c>
      <c r="L311" t="n">
        <v>0</v>
      </c>
      <c r="M311" t="n">
        <v>0</v>
      </c>
      <c r="N311" t="n">
        <v>0</v>
      </c>
      <c r="O311" t="n">
        <v>1</v>
      </c>
      <c r="P311" t="n">
        <v>1</v>
      </c>
      <c r="Q311" t="n">
        <v>2</v>
      </c>
      <c r="R311" s="2" t="inlineStr">
        <is>
          <t>Knärot
Grönpyrola</t>
        </is>
      </c>
      <c r="S311">
        <f>HYPERLINK("https://klasma.github.io/Logging_VIMMERBY/artfynd/A 2518-2023.xlsx")</f>
        <v/>
      </c>
      <c r="T311">
        <f>HYPERLINK("https://klasma.github.io/Logging_VIMMERBY/kartor/A 2518-2023.png")</f>
        <v/>
      </c>
      <c r="U311">
        <f>HYPERLINK("https://klasma.github.io/Logging_VIMMERBY/knärot/A 2518-2023.png")</f>
        <v/>
      </c>
      <c r="V311">
        <f>HYPERLINK("https://klasma.github.io/Logging_VIMMERBY/klagomål/A 2518-2023.docx")</f>
        <v/>
      </c>
      <c r="W311">
        <f>HYPERLINK("https://klasma.github.io/Logging_VIMMERBY/klagomålsmail/A 2518-2023.docx")</f>
        <v/>
      </c>
      <c r="X311">
        <f>HYPERLINK("https://klasma.github.io/Logging_VIMMERBY/tillsyn/A 2518-2023.docx")</f>
        <v/>
      </c>
      <c r="Y311">
        <f>HYPERLINK("https://klasma.github.io/Logging_VIMMERBY/tillsynsmail/A 2518-2023.docx")</f>
        <v/>
      </c>
    </row>
    <row r="312" ht="15" customHeight="1">
      <c r="A312" t="inlineStr">
        <is>
          <t>A 3173-2023</t>
        </is>
      </c>
      <c r="B312" s="1" t="n">
        <v>44946</v>
      </c>
      <c r="C312" s="1" t="n">
        <v>45175</v>
      </c>
      <c r="D312" t="inlineStr">
        <is>
          <t>KALMAR LÄN</t>
        </is>
      </c>
      <c r="E312" t="inlineStr">
        <is>
          <t>VÄSTERVIK</t>
        </is>
      </c>
      <c r="G312" t="n">
        <v>4</v>
      </c>
      <c r="H312" t="n">
        <v>1</v>
      </c>
      <c r="I312" t="n">
        <v>0</v>
      </c>
      <c r="J312" t="n">
        <v>1</v>
      </c>
      <c r="K312" t="n">
        <v>1</v>
      </c>
      <c r="L312" t="n">
        <v>0</v>
      </c>
      <c r="M312" t="n">
        <v>0</v>
      </c>
      <c r="N312" t="n">
        <v>0</v>
      </c>
      <c r="O312" t="n">
        <v>2</v>
      </c>
      <c r="P312" t="n">
        <v>1</v>
      </c>
      <c r="Q312" t="n">
        <v>2</v>
      </c>
      <c r="R312" s="2" t="inlineStr">
        <is>
          <t>Knärot
Tallticka</t>
        </is>
      </c>
      <c r="S312">
        <f>HYPERLINK("https://klasma.github.io/Logging_VASTERVIK/artfynd/A 3173-2023.xlsx")</f>
        <v/>
      </c>
      <c r="T312">
        <f>HYPERLINK("https://klasma.github.io/Logging_VASTERVIK/kartor/A 3173-2023.png")</f>
        <v/>
      </c>
      <c r="U312">
        <f>HYPERLINK("https://klasma.github.io/Logging_VASTERVIK/knärot/A 3173-2023.png")</f>
        <v/>
      </c>
      <c r="V312">
        <f>HYPERLINK("https://klasma.github.io/Logging_VASTERVIK/klagomål/A 3173-2023.docx")</f>
        <v/>
      </c>
      <c r="W312">
        <f>HYPERLINK("https://klasma.github.io/Logging_VASTERVIK/klagomålsmail/A 3173-2023.docx")</f>
        <v/>
      </c>
      <c r="X312">
        <f>HYPERLINK("https://klasma.github.io/Logging_VASTERVIK/tillsyn/A 3173-2023.docx")</f>
        <v/>
      </c>
      <c r="Y312">
        <f>HYPERLINK("https://klasma.github.io/Logging_VASTERVIK/tillsynsmail/A 3173-2023.docx")</f>
        <v/>
      </c>
    </row>
    <row r="313" ht="15" customHeight="1">
      <c r="A313" t="inlineStr">
        <is>
          <t>A 4538-2023</t>
        </is>
      </c>
      <c r="B313" s="1" t="n">
        <v>44951</v>
      </c>
      <c r="C313" s="1" t="n">
        <v>45175</v>
      </c>
      <c r="D313" t="inlineStr">
        <is>
          <t>KALMAR LÄN</t>
        </is>
      </c>
      <c r="E313" t="inlineStr">
        <is>
          <t>KALMAR</t>
        </is>
      </c>
      <c r="G313" t="n">
        <v>3.2</v>
      </c>
      <c r="H313" t="n">
        <v>0</v>
      </c>
      <c r="I313" t="n">
        <v>2</v>
      </c>
      <c r="J313" t="n">
        <v>0</v>
      </c>
      <c r="K313" t="n">
        <v>0</v>
      </c>
      <c r="L313" t="n">
        <v>0</v>
      </c>
      <c r="M313" t="n">
        <v>0</v>
      </c>
      <c r="N313" t="n">
        <v>0</v>
      </c>
      <c r="O313" t="n">
        <v>0</v>
      </c>
      <c r="P313" t="n">
        <v>0</v>
      </c>
      <c r="Q313" t="n">
        <v>2</v>
      </c>
      <c r="R313" s="2" t="inlineStr">
        <is>
          <t>Bronshjon
Kornknutmossa</t>
        </is>
      </c>
      <c r="S313">
        <f>HYPERLINK("https://klasma.github.io/Logging_KALMAR/artfynd/A 4538-2023.xlsx")</f>
        <v/>
      </c>
      <c r="T313">
        <f>HYPERLINK("https://klasma.github.io/Logging_KALMAR/kartor/A 4538-2023.png")</f>
        <v/>
      </c>
      <c r="V313">
        <f>HYPERLINK("https://klasma.github.io/Logging_KALMAR/klagomål/A 4538-2023.docx")</f>
        <v/>
      </c>
      <c r="W313">
        <f>HYPERLINK("https://klasma.github.io/Logging_KALMAR/klagomålsmail/A 4538-2023.docx")</f>
        <v/>
      </c>
      <c r="X313">
        <f>HYPERLINK("https://klasma.github.io/Logging_KALMAR/tillsyn/A 4538-2023.docx")</f>
        <v/>
      </c>
      <c r="Y313">
        <f>HYPERLINK("https://klasma.github.io/Logging_KALMAR/tillsynsmail/A 4538-2023.docx")</f>
        <v/>
      </c>
    </row>
    <row r="314" ht="15" customHeight="1">
      <c r="A314" t="inlineStr">
        <is>
          <t>A 4164-2023</t>
        </is>
      </c>
      <c r="B314" s="1" t="n">
        <v>44953</v>
      </c>
      <c r="C314" s="1" t="n">
        <v>45175</v>
      </c>
      <c r="D314" t="inlineStr">
        <is>
          <t>KALMAR LÄN</t>
        </is>
      </c>
      <c r="E314" t="inlineStr">
        <is>
          <t>BORGHOLM</t>
        </is>
      </c>
      <c r="G314" t="n">
        <v>3.3</v>
      </c>
      <c r="H314" t="n">
        <v>1</v>
      </c>
      <c r="I314" t="n">
        <v>1</v>
      </c>
      <c r="J314" t="n">
        <v>0</v>
      </c>
      <c r="K314" t="n">
        <v>0</v>
      </c>
      <c r="L314" t="n">
        <v>0</v>
      </c>
      <c r="M314" t="n">
        <v>0</v>
      </c>
      <c r="N314" t="n">
        <v>0</v>
      </c>
      <c r="O314" t="n">
        <v>0</v>
      </c>
      <c r="P314" t="n">
        <v>0</v>
      </c>
      <c r="Q314" t="n">
        <v>2</v>
      </c>
      <c r="R314" s="2" t="inlineStr">
        <is>
          <t>Murgröna
Blåsippa</t>
        </is>
      </c>
      <c r="S314">
        <f>HYPERLINK("https://klasma.github.io/Logging_BORGHOLM/artfynd/A 4164-2023.xlsx")</f>
        <v/>
      </c>
      <c r="T314">
        <f>HYPERLINK("https://klasma.github.io/Logging_BORGHOLM/kartor/A 4164-2023.png")</f>
        <v/>
      </c>
      <c r="V314">
        <f>HYPERLINK("https://klasma.github.io/Logging_BORGHOLM/klagomål/A 4164-2023.docx")</f>
        <v/>
      </c>
      <c r="W314">
        <f>HYPERLINK("https://klasma.github.io/Logging_BORGHOLM/klagomålsmail/A 4164-2023.docx")</f>
        <v/>
      </c>
      <c r="X314">
        <f>HYPERLINK("https://klasma.github.io/Logging_BORGHOLM/tillsyn/A 4164-2023.docx")</f>
        <v/>
      </c>
      <c r="Y314">
        <f>HYPERLINK("https://klasma.github.io/Logging_BORGHOLM/tillsynsmail/A 4164-2023.docx")</f>
        <v/>
      </c>
    </row>
    <row r="315" ht="15" customHeight="1">
      <c r="A315" t="inlineStr">
        <is>
          <t>A 8742-2023</t>
        </is>
      </c>
      <c r="B315" s="1" t="n">
        <v>44978</v>
      </c>
      <c r="C315" s="1" t="n">
        <v>45175</v>
      </c>
      <c r="D315" t="inlineStr">
        <is>
          <t>KALMAR LÄN</t>
        </is>
      </c>
      <c r="E315" t="inlineStr">
        <is>
          <t>NYBRO</t>
        </is>
      </c>
      <c r="G315" t="n">
        <v>0.9</v>
      </c>
      <c r="H315" t="n">
        <v>0</v>
      </c>
      <c r="I315" t="n">
        <v>2</v>
      </c>
      <c r="J315" t="n">
        <v>0</v>
      </c>
      <c r="K315" t="n">
        <v>0</v>
      </c>
      <c r="L315" t="n">
        <v>0</v>
      </c>
      <c r="M315" t="n">
        <v>0</v>
      </c>
      <c r="N315" t="n">
        <v>0</v>
      </c>
      <c r="O315" t="n">
        <v>0</v>
      </c>
      <c r="P315" t="n">
        <v>0</v>
      </c>
      <c r="Q315" t="n">
        <v>2</v>
      </c>
      <c r="R315" s="2" t="inlineStr">
        <is>
          <t>Fällmossa
Rostfläck</t>
        </is>
      </c>
      <c r="S315">
        <f>HYPERLINK("https://klasma.github.io/Logging_NYBRO/artfynd/A 8742-2023.xlsx")</f>
        <v/>
      </c>
      <c r="T315">
        <f>HYPERLINK("https://klasma.github.io/Logging_NYBRO/kartor/A 8742-2023.png")</f>
        <v/>
      </c>
      <c r="V315">
        <f>HYPERLINK("https://klasma.github.io/Logging_NYBRO/klagomål/A 8742-2023.docx")</f>
        <v/>
      </c>
      <c r="W315">
        <f>HYPERLINK("https://klasma.github.io/Logging_NYBRO/klagomålsmail/A 8742-2023.docx")</f>
        <v/>
      </c>
      <c r="X315">
        <f>HYPERLINK("https://klasma.github.io/Logging_NYBRO/tillsyn/A 8742-2023.docx")</f>
        <v/>
      </c>
      <c r="Y315">
        <f>HYPERLINK("https://klasma.github.io/Logging_NYBRO/tillsynsmail/A 8742-2023.docx")</f>
        <v/>
      </c>
    </row>
    <row r="316" ht="15" customHeight="1">
      <c r="A316" t="inlineStr">
        <is>
          <t>A 9040-2023</t>
        </is>
      </c>
      <c r="B316" s="1" t="n">
        <v>44979</v>
      </c>
      <c r="C316" s="1" t="n">
        <v>45175</v>
      </c>
      <c r="D316" t="inlineStr">
        <is>
          <t>KALMAR LÄN</t>
        </is>
      </c>
      <c r="E316" t="inlineStr">
        <is>
          <t>VÄSTERVIK</t>
        </is>
      </c>
      <c r="G316" t="n">
        <v>5.1</v>
      </c>
      <c r="H316" t="n">
        <v>1</v>
      </c>
      <c r="I316" t="n">
        <v>1</v>
      </c>
      <c r="J316" t="n">
        <v>0</v>
      </c>
      <c r="K316" t="n">
        <v>1</v>
      </c>
      <c r="L316" t="n">
        <v>0</v>
      </c>
      <c r="M316" t="n">
        <v>0</v>
      </c>
      <c r="N316" t="n">
        <v>0</v>
      </c>
      <c r="O316" t="n">
        <v>1</v>
      </c>
      <c r="P316" t="n">
        <v>1</v>
      </c>
      <c r="Q316" t="n">
        <v>2</v>
      </c>
      <c r="R316" s="2" t="inlineStr">
        <is>
          <t>Knärot
Grönpyrola</t>
        </is>
      </c>
      <c r="S316">
        <f>HYPERLINK("https://klasma.github.io/Logging_VASTERVIK/artfynd/A 9040-2023.xlsx")</f>
        <v/>
      </c>
      <c r="T316">
        <f>HYPERLINK("https://klasma.github.io/Logging_VASTERVIK/kartor/A 9040-2023.png")</f>
        <v/>
      </c>
      <c r="U316">
        <f>HYPERLINK("https://klasma.github.io/Logging_VASTERVIK/knärot/A 9040-2023.png")</f>
        <v/>
      </c>
      <c r="V316">
        <f>HYPERLINK("https://klasma.github.io/Logging_VASTERVIK/klagomål/A 9040-2023.docx")</f>
        <v/>
      </c>
      <c r="W316">
        <f>HYPERLINK("https://klasma.github.io/Logging_VASTERVIK/klagomålsmail/A 9040-2023.docx")</f>
        <v/>
      </c>
      <c r="X316">
        <f>HYPERLINK("https://klasma.github.io/Logging_VASTERVIK/tillsyn/A 9040-2023.docx")</f>
        <v/>
      </c>
      <c r="Y316">
        <f>HYPERLINK("https://klasma.github.io/Logging_VASTERVIK/tillsynsmail/A 9040-2023.docx")</f>
        <v/>
      </c>
    </row>
    <row r="317" ht="15" customHeight="1">
      <c r="A317" t="inlineStr">
        <is>
          <t>A 10806-2023</t>
        </is>
      </c>
      <c r="B317" s="1" t="n">
        <v>44989</v>
      </c>
      <c r="C317" s="1" t="n">
        <v>45175</v>
      </c>
      <c r="D317" t="inlineStr">
        <is>
          <t>KALMAR LÄN</t>
        </is>
      </c>
      <c r="E317" t="inlineStr">
        <is>
          <t>VÄSTERVIK</t>
        </is>
      </c>
      <c r="G317" t="n">
        <v>3</v>
      </c>
      <c r="H317" t="n">
        <v>2</v>
      </c>
      <c r="I317" t="n">
        <v>0</v>
      </c>
      <c r="J317" t="n">
        <v>0</v>
      </c>
      <c r="K317" t="n">
        <v>1</v>
      </c>
      <c r="L317" t="n">
        <v>0</v>
      </c>
      <c r="M317" t="n">
        <v>0</v>
      </c>
      <c r="N317" t="n">
        <v>0</v>
      </c>
      <c r="O317" t="n">
        <v>1</v>
      </c>
      <c r="P317" t="n">
        <v>1</v>
      </c>
      <c r="Q317" t="n">
        <v>2</v>
      </c>
      <c r="R317" s="2" t="inlineStr">
        <is>
          <t>Knärot
Revlummer</t>
        </is>
      </c>
      <c r="S317">
        <f>HYPERLINK("https://klasma.github.io/Logging_VASTERVIK/artfynd/A 10806-2023.xlsx")</f>
        <v/>
      </c>
      <c r="T317">
        <f>HYPERLINK("https://klasma.github.io/Logging_VASTERVIK/kartor/A 10806-2023.png")</f>
        <v/>
      </c>
      <c r="U317">
        <f>HYPERLINK("https://klasma.github.io/Logging_VASTERVIK/knärot/A 10806-2023.png")</f>
        <v/>
      </c>
      <c r="V317">
        <f>HYPERLINK("https://klasma.github.io/Logging_VASTERVIK/klagomål/A 10806-2023.docx")</f>
        <v/>
      </c>
      <c r="W317">
        <f>HYPERLINK("https://klasma.github.io/Logging_VASTERVIK/klagomålsmail/A 10806-2023.docx")</f>
        <v/>
      </c>
      <c r="X317">
        <f>HYPERLINK("https://klasma.github.io/Logging_VASTERVIK/tillsyn/A 10806-2023.docx")</f>
        <v/>
      </c>
      <c r="Y317">
        <f>HYPERLINK("https://klasma.github.io/Logging_VASTERVIK/tillsynsmail/A 10806-2023.docx")</f>
        <v/>
      </c>
    </row>
    <row r="318" ht="15" customHeight="1">
      <c r="A318" t="inlineStr">
        <is>
          <t>A 14301-2023</t>
        </is>
      </c>
      <c r="B318" s="1" t="n">
        <v>45011</v>
      </c>
      <c r="C318" s="1" t="n">
        <v>45175</v>
      </c>
      <c r="D318" t="inlineStr">
        <is>
          <t>KALMAR LÄN</t>
        </is>
      </c>
      <c r="E318" t="inlineStr">
        <is>
          <t>VÄSTERVIK</t>
        </is>
      </c>
      <c r="G318" t="n">
        <v>4.4</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14301-2023.xlsx")</f>
        <v/>
      </c>
      <c r="T318">
        <f>HYPERLINK("https://klasma.github.io/Logging_VASTERVIK/kartor/A 14301-2023.png")</f>
        <v/>
      </c>
      <c r="U318">
        <f>HYPERLINK("https://klasma.github.io/Logging_VASTERVIK/knärot/A 14301-2023.png")</f>
        <v/>
      </c>
      <c r="V318">
        <f>HYPERLINK("https://klasma.github.io/Logging_VASTERVIK/klagomål/A 14301-2023.docx")</f>
        <v/>
      </c>
      <c r="W318">
        <f>HYPERLINK("https://klasma.github.io/Logging_VASTERVIK/klagomålsmail/A 14301-2023.docx")</f>
        <v/>
      </c>
      <c r="X318">
        <f>HYPERLINK("https://klasma.github.io/Logging_VASTERVIK/tillsyn/A 14301-2023.docx")</f>
        <v/>
      </c>
      <c r="Y318">
        <f>HYPERLINK("https://klasma.github.io/Logging_VASTERVIK/tillsynsmail/A 14301-2023.docx")</f>
        <v/>
      </c>
    </row>
    <row r="319" ht="15" customHeight="1">
      <c r="A319" t="inlineStr">
        <is>
          <t>A 16431-2023</t>
        </is>
      </c>
      <c r="B319" s="1" t="n">
        <v>45022</v>
      </c>
      <c r="C319" s="1" t="n">
        <v>45175</v>
      </c>
      <c r="D319" t="inlineStr">
        <is>
          <t>KALMAR LÄN</t>
        </is>
      </c>
      <c r="E319" t="inlineStr">
        <is>
          <t>MÖNSTERÅS</t>
        </is>
      </c>
      <c r="G319" t="n">
        <v>9.4</v>
      </c>
      <c r="H319" t="n">
        <v>0</v>
      </c>
      <c r="I319" t="n">
        <v>2</v>
      </c>
      <c r="J319" t="n">
        <v>0</v>
      </c>
      <c r="K319" t="n">
        <v>0</v>
      </c>
      <c r="L319" t="n">
        <v>0</v>
      </c>
      <c r="M319" t="n">
        <v>0</v>
      </c>
      <c r="N319" t="n">
        <v>0</v>
      </c>
      <c r="O319" t="n">
        <v>0</v>
      </c>
      <c r="P319" t="n">
        <v>0</v>
      </c>
      <c r="Q319" t="n">
        <v>2</v>
      </c>
      <c r="R319" s="2" t="inlineStr">
        <is>
          <t>Sårläka
Vätteros</t>
        </is>
      </c>
      <c r="S319">
        <f>HYPERLINK("https://klasma.github.io/Logging_MONSTERAS/artfynd/A 16431-2023.xlsx")</f>
        <v/>
      </c>
      <c r="T319">
        <f>HYPERLINK("https://klasma.github.io/Logging_MONSTERAS/kartor/A 16431-2023.png")</f>
        <v/>
      </c>
      <c r="V319">
        <f>HYPERLINK("https://klasma.github.io/Logging_MONSTERAS/klagomål/A 16431-2023.docx")</f>
        <v/>
      </c>
      <c r="W319">
        <f>HYPERLINK("https://klasma.github.io/Logging_MONSTERAS/klagomålsmail/A 16431-2023.docx")</f>
        <v/>
      </c>
      <c r="X319">
        <f>HYPERLINK("https://klasma.github.io/Logging_MONSTERAS/tillsyn/A 16431-2023.docx")</f>
        <v/>
      </c>
      <c r="Y319">
        <f>HYPERLINK("https://klasma.github.io/Logging_MONSTERAS/tillsynsmail/A 16431-2023.docx")</f>
        <v/>
      </c>
    </row>
    <row r="320" ht="15" customHeight="1">
      <c r="A320" t="inlineStr">
        <is>
          <t>A 19845-2023</t>
        </is>
      </c>
      <c r="B320" s="1" t="n">
        <v>45053</v>
      </c>
      <c r="C320" s="1" t="n">
        <v>45175</v>
      </c>
      <c r="D320" t="inlineStr">
        <is>
          <t>KALMAR LÄN</t>
        </is>
      </c>
      <c r="E320" t="inlineStr">
        <is>
          <t>HULTSFRED</t>
        </is>
      </c>
      <c r="G320" t="n">
        <v>7.3</v>
      </c>
      <c r="H320" t="n">
        <v>2</v>
      </c>
      <c r="I320" t="n">
        <v>0</v>
      </c>
      <c r="J320" t="n">
        <v>0</v>
      </c>
      <c r="K320" t="n">
        <v>1</v>
      </c>
      <c r="L320" t="n">
        <v>0</v>
      </c>
      <c r="M320" t="n">
        <v>0</v>
      </c>
      <c r="N320" t="n">
        <v>0</v>
      </c>
      <c r="O320" t="n">
        <v>1</v>
      </c>
      <c r="P320" t="n">
        <v>1</v>
      </c>
      <c r="Q320" t="n">
        <v>2</v>
      </c>
      <c r="R320" s="2" t="inlineStr">
        <is>
          <t>Knärot
Blåsippa</t>
        </is>
      </c>
      <c r="S320">
        <f>HYPERLINK("https://klasma.github.io/Logging_HULTSFRED/artfynd/A 19845-2023.xlsx")</f>
        <v/>
      </c>
      <c r="T320">
        <f>HYPERLINK("https://klasma.github.io/Logging_HULTSFRED/kartor/A 19845-2023.png")</f>
        <v/>
      </c>
      <c r="U320">
        <f>HYPERLINK("https://klasma.github.io/Logging_HULTSFRED/knärot/A 19845-2023.png")</f>
        <v/>
      </c>
      <c r="V320">
        <f>HYPERLINK("https://klasma.github.io/Logging_HULTSFRED/klagomål/A 19845-2023.docx")</f>
        <v/>
      </c>
      <c r="W320">
        <f>HYPERLINK("https://klasma.github.io/Logging_HULTSFRED/klagomålsmail/A 19845-2023.docx")</f>
        <v/>
      </c>
      <c r="X320">
        <f>HYPERLINK("https://klasma.github.io/Logging_HULTSFRED/tillsyn/A 19845-2023.docx")</f>
        <v/>
      </c>
      <c r="Y320">
        <f>HYPERLINK("https://klasma.github.io/Logging_HULTSFRED/tillsynsmail/A 19845-2023.docx")</f>
        <v/>
      </c>
    </row>
    <row r="321" ht="15" customHeight="1">
      <c r="A321" t="inlineStr">
        <is>
          <t>A 21219-2023</t>
        </is>
      </c>
      <c r="B321" s="1" t="n">
        <v>45062</v>
      </c>
      <c r="C321" s="1" t="n">
        <v>45175</v>
      </c>
      <c r="D321" t="inlineStr">
        <is>
          <t>KALMAR LÄN</t>
        </is>
      </c>
      <c r="E321" t="inlineStr">
        <is>
          <t>MÖRBYLÅNGA</t>
        </is>
      </c>
      <c r="G321" t="n">
        <v>3.6</v>
      </c>
      <c r="H321" t="n">
        <v>1</v>
      </c>
      <c r="I321" t="n">
        <v>1</v>
      </c>
      <c r="J321" t="n">
        <v>0</v>
      </c>
      <c r="K321" t="n">
        <v>0</v>
      </c>
      <c r="L321" t="n">
        <v>0</v>
      </c>
      <c r="M321" t="n">
        <v>0</v>
      </c>
      <c r="N321" t="n">
        <v>0</v>
      </c>
      <c r="O321" t="n">
        <v>0</v>
      </c>
      <c r="P321" t="n">
        <v>0</v>
      </c>
      <c r="Q321" t="n">
        <v>2</v>
      </c>
      <c r="R321" s="2" t="inlineStr">
        <is>
          <t>Sårläka
Blåsippa</t>
        </is>
      </c>
      <c r="S321">
        <f>HYPERLINK("https://klasma.github.io/Logging_MORBYLANGA/artfynd/A 21219-2023.xlsx")</f>
        <v/>
      </c>
      <c r="T321">
        <f>HYPERLINK("https://klasma.github.io/Logging_MORBYLANGA/kartor/A 21219-2023.png")</f>
        <v/>
      </c>
      <c r="V321">
        <f>HYPERLINK("https://klasma.github.io/Logging_MORBYLANGA/klagomål/A 21219-2023.docx")</f>
        <v/>
      </c>
      <c r="W321">
        <f>HYPERLINK("https://klasma.github.io/Logging_MORBYLANGA/klagomålsmail/A 21219-2023.docx")</f>
        <v/>
      </c>
      <c r="X321">
        <f>HYPERLINK("https://klasma.github.io/Logging_MORBYLANGA/tillsyn/A 21219-2023.docx")</f>
        <v/>
      </c>
      <c r="Y321">
        <f>HYPERLINK("https://klasma.github.io/Logging_MORBYLANGA/tillsynsmail/A 21219-2023.docx")</f>
        <v/>
      </c>
    </row>
    <row r="322" ht="15" customHeight="1">
      <c r="A322" t="inlineStr">
        <is>
          <t>A 22825-2023</t>
        </is>
      </c>
      <c r="B322" s="1" t="n">
        <v>45072</v>
      </c>
      <c r="C322" s="1" t="n">
        <v>45175</v>
      </c>
      <c r="D322" t="inlineStr">
        <is>
          <t>KALMAR LÄN</t>
        </is>
      </c>
      <c r="E322" t="inlineStr">
        <is>
          <t>VIMMERBY</t>
        </is>
      </c>
      <c r="G322" t="n">
        <v>14.1</v>
      </c>
      <c r="H322" t="n">
        <v>0</v>
      </c>
      <c r="I322" t="n">
        <v>0</v>
      </c>
      <c r="J322" t="n">
        <v>2</v>
      </c>
      <c r="K322" t="n">
        <v>0</v>
      </c>
      <c r="L322" t="n">
        <v>0</v>
      </c>
      <c r="M322" t="n">
        <v>0</v>
      </c>
      <c r="N322" t="n">
        <v>0</v>
      </c>
      <c r="O322" t="n">
        <v>2</v>
      </c>
      <c r="P322" t="n">
        <v>0</v>
      </c>
      <c r="Q322" t="n">
        <v>2</v>
      </c>
      <c r="R322" s="2" t="inlineStr">
        <is>
          <t>Klasefibbla
Sommarfibbla</t>
        </is>
      </c>
      <c r="S322">
        <f>HYPERLINK("https://klasma.github.io/Logging_VIMMERBY/artfynd/A 22825-2023.xlsx")</f>
        <v/>
      </c>
      <c r="T322">
        <f>HYPERLINK("https://klasma.github.io/Logging_VIMMERBY/kartor/A 22825-2023.png")</f>
        <v/>
      </c>
      <c r="V322">
        <f>HYPERLINK("https://klasma.github.io/Logging_VIMMERBY/klagomål/A 22825-2023.docx")</f>
        <v/>
      </c>
      <c r="W322">
        <f>HYPERLINK("https://klasma.github.io/Logging_VIMMERBY/klagomålsmail/A 22825-2023.docx")</f>
        <v/>
      </c>
      <c r="X322">
        <f>HYPERLINK("https://klasma.github.io/Logging_VIMMERBY/tillsyn/A 22825-2023.docx")</f>
        <v/>
      </c>
      <c r="Y322">
        <f>HYPERLINK("https://klasma.github.io/Logging_VIMMERBY/tillsynsmail/A 22825-2023.docx")</f>
        <v/>
      </c>
    </row>
    <row r="323" ht="15" customHeight="1">
      <c r="A323" t="inlineStr">
        <is>
          <t>A 23106-2023</t>
        </is>
      </c>
      <c r="B323" s="1" t="n">
        <v>45075</v>
      </c>
      <c r="C323" s="1" t="n">
        <v>45175</v>
      </c>
      <c r="D323" t="inlineStr">
        <is>
          <t>KALMAR LÄN</t>
        </is>
      </c>
      <c r="E323" t="inlineStr">
        <is>
          <t>NYBRO</t>
        </is>
      </c>
      <c r="G323" t="n">
        <v>9.6</v>
      </c>
      <c r="H323" t="n">
        <v>0</v>
      </c>
      <c r="I323" t="n">
        <v>2</v>
      </c>
      <c r="J323" t="n">
        <v>0</v>
      </c>
      <c r="K323" t="n">
        <v>0</v>
      </c>
      <c r="L323" t="n">
        <v>0</v>
      </c>
      <c r="M323" t="n">
        <v>0</v>
      </c>
      <c r="N323" t="n">
        <v>0</v>
      </c>
      <c r="O323" t="n">
        <v>0</v>
      </c>
      <c r="P323" t="n">
        <v>0</v>
      </c>
      <c r="Q323" t="n">
        <v>2</v>
      </c>
      <c r="R323" s="2" t="inlineStr">
        <is>
          <t>Fjällig taggsvamp s.str.
Grovticka</t>
        </is>
      </c>
      <c r="S323">
        <f>HYPERLINK("https://klasma.github.io/Logging_NYBRO/artfynd/A 23106-2023.xlsx")</f>
        <v/>
      </c>
      <c r="T323">
        <f>HYPERLINK("https://klasma.github.io/Logging_NYBRO/kartor/A 23106-2023.png")</f>
        <v/>
      </c>
      <c r="V323">
        <f>HYPERLINK("https://klasma.github.io/Logging_NYBRO/klagomål/A 23106-2023.docx")</f>
        <v/>
      </c>
      <c r="W323">
        <f>HYPERLINK("https://klasma.github.io/Logging_NYBRO/klagomålsmail/A 23106-2023.docx")</f>
        <v/>
      </c>
      <c r="X323">
        <f>HYPERLINK("https://klasma.github.io/Logging_NYBRO/tillsyn/A 23106-2023.docx")</f>
        <v/>
      </c>
      <c r="Y323">
        <f>HYPERLINK("https://klasma.github.io/Logging_NYBRO/tillsynsmail/A 23106-2023.docx")</f>
        <v/>
      </c>
    </row>
    <row r="324" ht="15" customHeight="1">
      <c r="A324" t="inlineStr">
        <is>
          <t>A 27719-2023</t>
        </is>
      </c>
      <c r="B324" s="1" t="n">
        <v>45093</v>
      </c>
      <c r="C324" s="1" t="n">
        <v>45175</v>
      </c>
      <c r="D324" t="inlineStr">
        <is>
          <t>KALMAR LÄN</t>
        </is>
      </c>
      <c r="E324" t="inlineStr">
        <is>
          <t>NYBRO</t>
        </is>
      </c>
      <c r="G324" t="n">
        <v>33.7</v>
      </c>
      <c r="H324" t="n">
        <v>0</v>
      </c>
      <c r="I324" t="n">
        <v>0</v>
      </c>
      <c r="J324" t="n">
        <v>1</v>
      </c>
      <c r="K324" t="n">
        <v>1</v>
      </c>
      <c r="L324" t="n">
        <v>0</v>
      </c>
      <c r="M324" t="n">
        <v>0</v>
      </c>
      <c r="N324" t="n">
        <v>0</v>
      </c>
      <c r="O324" t="n">
        <v>2</v>
      </c>
      <c r="P324" t="n">
        <v>1</v>
      </c>
      <c r="Q324" t="n">
        <v>2</v>
      </c>
      <c r="R324" s="2" t="inlineStr">
        <is>
          <t>Raggbock
Mindre träfjäril</t>
        </is>
      </c>
      <c r="S324">
        <f>HYPERLINK("https://klasma.github.io/Logging_NYBRO/artfynd/A 27719-2023.xlsx")</f>
        <v/>
      </c>
      <c r="T324">
        <f>HYPERLINK("https://klasma.github.io/Logging_NYBRO/kartor/A 27719-2023.png")</f>
        <v/>
      </c>
      <c r="V324">
        <f>HYPERLINK("https://klasma.github.io/Logging_NYBRO/klagomål/A 27719-2023.docx")</f>
        <v/>
      </c>
      <c r="W324">
        <f>HYPERLINK("https://klasma.github.io/Logging_NYBRO/klagomålsmail/A 27719-2023.docx")</f>
        <v/>
      </c>
      <c r="X324">
        <f>HYPERLINK("https://klasma.github.io/Logging_NYBRO/tillsyn/A 27719-2023.docx")</f>
        <v/>
      </c>
      <c r="Y324">
        <f>HYPERLINK("https://klasma.github.io/Logging_NYBRO/tillsynsmail/A 27719-2023.docx")</f>
        <v/>
      </c>
    </row>
    <row r="325" ht="15" customHeight="1">
      <c r="A325" t="inlineStr">
        <is>
          <t>A 31692-2023</t>
        </is>
      </c>
      <c r="B325" s="1" t="n">
        <v>45105</v>
      </c>
      <c r="C325" s="1" t="n">
        <v>45175</v>
      </c>
      <c r="D325" t="inlineStr">
        <is>
          <t>KALMAR LÄN</t>
        </is>
      </c>
      <c r="E325" t="inlineStr">
        <is>
          <t>KALMAR</t>
        </is>
      </c>
      <c r="G325" t="n">
        <v>6.8</v>
      </c>
      <c r="H325" t="n">
        <v>0</v>
      </c>
      <c r="I325" t="n">
        <v>0</v>
      </c>
      <c r="J325" t="n">
        <v>2</v>
      </c>
      <c r="K325" t="n">
        <v>0</v>
      </c>
      <c r="L325" t="n">
        <v>0</v>
      </c>
      <c r="M325" t="n">
        <v>0</v>
      </c>
      <c r="N325" t="n">
        <v>0</v>
      </c>
      <c r="O325" t="n">
        <v>2</v>
      </c>
      <c r="P325" t="n">
        <v>0</v>
      </c>
      <c r="Q325" t="n">
        <v>2</v>
      </c>
      <c r="R325" s="2" t="inlineStr">
        <is>
          <t>Korskovall
Solvända</t>
        </is>
      </c>
      <c r="S325">
        <f>HYPERLINK("https://klasma.github.io/Logging_KALMAR/artfynd/A 31692-2023.xlsx")</f>
        <v/>
      </c>
      <c r="T325">
        <f>HYPERLINK("https://klasma.github.io/Logging_KALMAR/kartor/A 31692-2023.png")</f>
        <v/>
      </c>
      <c r="V325">
        <f>HYPERLINK("https://klasma.github.io/Logging_KALMAR/klagomål/A 31692-2023.docx")</f>
        <v/>
      </c>
      <c r="W325">
        <f>HYPERLINK("https://klasma.github.io/Logging_KALMAR/klagomålsmail/A 31692-2023.docx")</f>
        <v/>
      </c>
      <c r="X325">
        <f>HYPERLINK("https://klasma.github.io/Logging_KALMAR/tillsyn/A 31692-2023.docx")</f>
        <v/>
      </c>
      <c r="Y325">
        <f>HYPERLINK("https://klasma.github.io/Logging_KALMAR/tillsynsmail/A 31692-2023.docx")</f>
        <v/>
      </c>
    </row>
    <row r="326" ht="15" customHeight="1">
      <c r="A326" t="inlineStr">
        <is>
          <t>A 30203-2023</t>
        </is>
      </c>
      <c r="B326" s="1" t="n">
        <v>45110</v>
      </c>
      <c r="C326" s="1" t="n">
        <v>45175</v>
      </c>
      <c r="D326" t="inlineStr">
        <is>
          <t>KALMAR LÄN</t>
        </is>
      </c>
      <c r="E326" t="inlineStr">
        <is>
          <t>HÖGSBY</t>
        </is>
      </c>
      <c r="F326" t="inlineStr">
        <is>
          <t>Sveaskog</t>
        </is>
      </c>
      <c r="G326" t="n">
        <v>3.4</v>
      </c>
      <c r="H326" t="n">
        <v>2</v>
      </c>
      <c r="I326" t="n">
        <v>0</v>
      </c>
      <c r="J326" t="n">
        <v>0</v>
      </c>
      <c r="K326" t="n">
        <v>0</v>
      </c>
      <c r="L326" t="n">
        <v>0</v>
      </c>
      <c r="M326" t="n">
        <v>0</v>
      </c>
      <c r="N326" t="n">
        <v>0</v>
      </c>
      <c r="O326" t="n">
        <v>0</v>
      </c>
      <c r="P326" t="n">
        <v>0</v>
      </c>
      <c r="Q326" t="n">
        <v>2</v>
      </c>
      <c r="R326" s="2" t="inlineStr">
        <is>
          <t>Mistel
Gullviva</t>
        </is>
      </c>
      <c r="S326">
        <f>HYPERLINK("https://klasma.github.io/Logging_HOGSBY/artfynd/A 30203-2023.xlsx")</f>
        <v/>
      </c>
      <c r="T326">
        <f>HYPERLINK("https://klasma.github.io/Logging_HOGSBY/kartor/A 30203-2023.png")</f>
        <v/>
      </c>
      <c r="V326">
        <f>HYPERLINK("https://klasma.github.io/Logging_HOGSBY/klagomål/A 30203-2023.docx")</f>
        <v/>
      </c>
      <c r="W326">
        <f>HYPERLINK("https://klasma.github.io/Logging_HOGSBY/klagomålsmail/A 30203-2023.docx")</f>
        <v/>
      </c>
      <c r="X326">
        <f>HYPERLINK("https://klasma.github.io/Logging_HOGSBY/tillsyn/A 30203-2023.docx")</f>
        <v/>
      </c>
      <c r="Y326">
        <f>HYPERLINK("https://klasma.github.io/Logging_HOGSBY/tillsynsmail/A 30203-2023.docx")</f>
        <v/>
      </c>
    </row>
    <row r="327" ht="15" customHeight="1">
      <c r="A327" t="inlineStr">
        <is>
          <t>A 30933-2023</t>
        </is>
      </c>
      <c r="B327" s="1" t="n">
        <v>45113</v>
      </c>
      <c r="C327" s="1" t="n">
        <v>45175</v>
      </c>
      <c r="D327" t="inlineStr">
        <is>
          <t>KALMAR LÄN</t>
        </is>
      </c>
      <c r="E327" t="inlineStr">
        <is>
          <t>OSKARSHAMN</t>
        </is>
      </c>
      <c r="G327" t="n">
        <v>3.7</v>
      </c>
      <c r="H327" t="n">
        <v>2</v>
      </c>
      <c r="I327" t="n">
        <v>0</v>
      </c>
      <c r="J327" t="n">
        <v>2</v>
      </c>
      <c r="K327" t="n">
        <v>0</v>
      </c>
      <c r="L327" t="n">
        <v>0</v>
      </c>
      <c r="M327" t="n">
        <v>0</v>
      </c>
      <c r="N327" t="n">
        <v>0</v>
      </c>
      <c r="O327" t="n">
        <v>2</v>
      </c>
      <c r="P327" t="n">
        <v>0</v>
      </c>
      <c r="Q327" t="n">
        <v>2</v>
      </c>
      <c r="R327" s="2" t="inlineStr">
        <is>
          <t>Mindre hackspett
Spillkråka</t>
        </is>
      </c>
      <c r="S327">
        <f>HYPERLINK("https://klasma.github.io/Logging_OSKARSHAMN/artfynd/A 30933-2023.xlsx")</f>
        <v/>
      </c>
      <c r="T327">
        <f>HYPERLINK("https://klasma.github.io/Logging_OSKARSHAMN/kartor/A 30933-2023.png")</f>
        <v/>
      </c>
      <c r="V327">
        <f>HYPERLINK("https://klasma.github.io/Logging_OSKARSHAMN/klagomål/A 30933-2023.docx")</f>
        <v/>
      </c>
      <c r="W327">
        <f>HYPERLINK("https://klasma.github.io/Logging_OSKARSHAMN/klagomålsmail/A 30933-2023.docx")</f>
        <v/>
      </c>
      <c r="X327">
        <f>HYPERLINK("https://klasma.github.io/Logging_OSKARSHAMN/tillsyn/A 30933-2023.docx")</f>
        <v/>
      </c>
      <c r="Y327">
        <f>HYPERLINK("https://klasma.github.io/Logging_OSKARSHAMN/tillsynsmail/A 30933-2023.docx")</f>
        <v/>
      </c>
    </row>
    <row r="328" ht="15" customHeight="1">
      <c r="A328" t="inlineStr">
        <is>
          <t>A 32298-2023</t>
        </is>
      </c>
      <c r="B328" s="1" t="n">
        <v>45120</v>
      </c>
      <c r="C328" s="1" t="n">
        <v>45175</v>
      </c>
      <c r="D328" t="inlineStr">
        <is>
          <t>KALMAR LÄN</t>
        </is>
      </c>
      <c r="E328" t="inlineStr">
        <is>
          <t>MÖNSTERÅS</t>
        </is>
      </c>
      <c r="G328" t="n">
        <v>5</v>
      </c>
      <c r="H328" t="n">
        <v>1</v>
      </c>
      <c r="I328" t="n">
        <v>1</v>
      </c>
      <c r="J328" t="n">
        <v>0</v>
      </c>
      <c r="K328" t="n">
        <v>1</v>
      </c>
      <c r="L328" t="n">
        <v>0</v>
      </c>
      <c r="M328" t="n">
        <v>0</v>
      </c>
      <c r="N328" t="n">
        <v>0</v>
      </c>
      <c r="O328" t="n">
        <v>1</v>
      </c>
      <c r="P328" t="n">
        <v>1</v>
      </c>
      <c r="Q328" t="n">
        <v>2</v>
      </c>
      <c r="R328" s="2" t="inlineStr">
        <is>
          <t>Knärot
Grönpyrola</t>
        </is>
      </c>
      <c r="S328">
        <f>HYPERLINK("https://klasma.github.io/Logging_MONSTERAS/artfynd/A 32298-2023.xlsx")</f>
        <v/>
      </c>
      <c r="T328">
        <f>HYPERLINK("https://klasma.github.io/Logging_MONSTERAS/kartor/A 32298-2023.png")</f>
        <v/>
      </c>
      <c r="U328">
        <f>HYPERLINK("https://klasma.github.io/Logging_MONSTERAS/knärot/A 32298-2023.png")</f>
        <v/>
      </c>
      <c r="V328">
        <f>HYPERLINK("https://klasma.github.io/Logging_MONSTERAS/klagomål/A 32298-2023.docx")</f>
        <v/>
      </c>
      <c r="W328">
        <f>HYPERLINK("https://klasma.github.io/Logging_MONSTERAS/klagomålsmail/A 32298-2023.docx")</f>
        <v/>
      </c>
      <c r="X328">
        <f>HYPERLINK("https://klasma.github.io/Logging_MONSTERAS/tillsyn/A 32298-2023.docx")</f>
        <v/>
      </c>
      <c r="Y328">
        <f>HYPERLINK("https://klasma.github.io/Logging_MONSTERAS/tillsynsmail/A 32298-2023.docx")</f>
        <v/>
      </c>
    </row>
    <row r="329" ht="15" customHeight="1">
      <c r="A329" t="inlineStr">
        <is>
          <t>A 32649-2023</t>
        </is>
      </c>
      <c r="B329" s="1" t="n">
        <v>45121</v>
      </c>
      <c r="C329" s="1" t="n">
        <v>45175</v>
      </c>
      <c r="D329" t="inlineStr">
        <is>
          <t>KALMAR LÄN</t>
        </is>
      </c>
      <c r="E329" t="inlineStr">
        <is>
          <t>VÄSTERVIK</t>
        </is>
      </c>
      <c r="G329" t="n">
        <v>1.7</v>
      </c>
      <c r="H329" t="n">
        <v>1</v>
      </c>
      <c r="I329" t="n">
        <v>1</v>
      </c>
      <c r="J329" t="n">
        <v>0</v>
      </c>
      <c r="K329" t="n">
        <v>1</v>
      </c>
      <c r="L329" t="n">
        <v>0</v>
      </c>
      <c r="M329" t="n">
        <v>0</v>
      </c>
      <c r="N329" t="n">
        <v>0</v>
      </c>
      <c r="O329" t="n">
        <v>1</v>
      </c>
      <c r="P329" t="n">
        <v>1</v>
      </c>
      <c r="Q329" t="n">
        <v>2</v>
      </c>
      <c r="R329" s="2" t="inlineStr">
        <is>
          <t>Knärot
Blåmossa</t>
        </is>
      </c>
      <c r="S329">
        <f>HYPERLINK("https://klasma.github.io/Logging_VASTERVIK/artfynd/A 32649-2023.xlsx")</f>
        <v/>
      </c>
      <c r="T329">
        <f>HYPERLINK("https://klasma.github.io/Logging_VASTERVIK/kartor/A 32649-2023.png")</f>
        <v/>
      </c>
      <c r="U329">
        <f>HYPERLINK("https://klasma.github.io/Logging_VASTERVIK/knärot/A 32649-2023.png")</f>
        <v/>
      </c>
      <c r="V329">
        <f>HYPERLINK("https://klasma.github.io/Logging_VASTERVIK/klagomål/A 32649-2023.docx")</f>
        <v/>
      </c>
      <c r="W329">
        <f>HYPERLINK("https://klasma.github.io/Logging_VASTERVIK/klagomålsmail/A 32649-2023.docx")</f>
        <v/>
      </c>
      <c r="X329">
        <f>HYPERLINK("https://klasma.github.io/Logging_VASTERVIK/tillsyn/A 32649-2023.docx")</f>
        <v/>
      </c>
      <c r="Y329">
        <f>HYPERLINK("https://klasma.github.io/Logging_VASTERVIK/tillsynsmail/A 32649-2023.docx")</f>
        <v/>
      </c>
    </row>
    <row r="330" ht="15" customHeight="1">
      <c r="A330" t="inlineStr">
        <is>
          <t>A 37269-2018</t>
        </is>
      </c>
      <c r="B330" s="1" t="n">
        <v>43332</v>
      </c>
      <c r="C330" s="1" t="n">
        <v>45175</v>
      </c>
      <c r="D330" t="inlineStr">
        <is>
          <t>KALMAR LÄN</t>
        </is>
      </c>
      <c r="E330" t="inlineStr">
        <is>
          <t>HÖGSBY</t>
        </is>
      </c>
      <c r="F330" t="inlineStr">
        <is>
          <t>Kommuner</t>
        </is>
      </c>
      <c r="G330" t="n">
        <v>16.1</v>
      </c>
      <c r="H330" t="n">
        <v>0</v>
      </c>
      <c r="I330" t="n">
        <v>0</v>
      </c>
      <c r="J330" t="n">
        <v>1</v>
      </c>
      <c r="K330" t="n">
        <v>0</v>
      </c>
      <c r="L330" t="n">
        <v>0</v>
      </c>
      <c r="M330" t="n">
        <v>0</v>
      </c>
      <c r="N330" t="n">
        <v>0</v>
      </c>
      <c r="O330" t="n">
        <v>1</v>
      </c>
      <c r="P330" t="n">
        <v>0</v>
      </c>
      <c r="Q330" t="n">
        <v>1</v>
      </c>
      <c r="R330" s="2" t="inlineStr">
        <is>
          <t>Tallticka</t>
        </is>
      </c>
      <c r="S330">
        <f>HYPERLINK("https://klasma.github.io/Logging_HOGSBY/artfynd/A 37269-2018.xlsx")</f>
        <v/>
      </c>
      <c r="T330">
        <f>HYPERLINK("https://klasma.github.io/Logging_HOGSBY/kartor/A 37269-2018.png")</f>
        <v/>
      </c>
      <c r="V330">
        <f>HYPERLINK("https://klasma.github.io/Logging_HOGSBY/klagomål/A 37269-2018.docx")</f>
        <v/>
      </c>
      <c r="W330">
        <f>HYPERLINK("https://klasma.github.io/Logging_HOGSBY/klagomålsmail/A 37269-2018.docx")</f>
        <v/>
      </c>
      <c r="X330">
        <f>HYPERLINK("https://klasma.github.io/Logging_HOGSBY/tillsyn/A 37269-2018.docx")</f>
        <v/>
      </c>
      <c r="Y330">
        <f>HYPERLINK("https://klasma.github.io/Logging_HOGSBY/tillsynsmail/A 37269-2018.docx")</f>
        <v/>
      </c>
    </row>
    <row r="331" ht="15" customHeight="1">
      <c r="A331" t="inlineStr">
        <is>
          <t>A 41586-2018</t>
        </is>
      </c>
      <c r="B331" s="1" t="n">
        <v>43349</v>
      </c>
      <c r="C331" s="1" t="n">
        <v>45175</v>
      </c>
      <c r="D331" t="inlineStr">
        <is>
          <t>KALMAR LÄN</t>
        </is>
      </c>
      <c r="E331" t="inlineStr">
        <is>
          <t>TORSÅS</t>
        </is>
      </c>
      <c r="G331" t="n">
        <v>1.8</v>
      </c>
      <c r="H331" t="n">
        <v>1</v>
      </c>
      <c r="I331" t="n">
        <v>0</v>
      </c>
      <c r="J331" t="n">
        <v>1</v>
      </c>
      <c r="K331" t="n">
        <v>0</v>
      </c>
      <c r="L331" t="n">
        <v>0</v>
      </c>
      <c r="M331" t="n">
        <v>0</v>
      </c>
      <c r="N331" t="n">
        <v>0</v>
      </c>
      <c r="O331" t="n">
        <v>1</v>
      </c>
      <c r="P331" t="n">
        <v>0</v>
      </c>
      <c r="Q331" t="n">
        <v>1</v>
      </c>
      <c r="R331" s="2" t="inlineStr">
        <is>
          <t>Långbensgroda</t>
        </is>
      </c>
      <c r="S331">
        <f>HYPERLINK("https://klasma.github.io/Logging_TORSAS/artfynd/A 41586-2018.xlsx")</f>
        <v/>
      </c>
      <c r="T331">
        <f>HYPERLINK("https://klasma.github.io/Logging_TORSAS/kartor/A 41586-2018.png")</f>
        <v/>
      </c>
      <c r="V331">
        <f>HYPERLINK("https://klasma.github.io/Logging_TORSAS/klagomål/A 41586-2018.docx")</f>
        <v/>
      </c>
      <c r="W331">
        <f>HYPERLINK("https://klasma.github.io/Logging_TORSAS/klagomålsmail/A 41586-2018.docx")</f>
        <v/>
      </c>
      <c r="X331">
        <f>HYPERLINK("https://klasma.github.io/Logging_TORSAS/tillsyn/A 41586-2018.docx")</f>
        <v/>
      </c>
      <c r="Y331">
        <f>HYPERLINK("https://klasma.github.io/Logging_TORSAS/tillsynsmail/A 41586-2018.docx")</f>
        <v/>
      </c>
    </row>
    <row r="332" ht="15" customHeight="1">
      <c r="A332" t="inlineStr">
        <is>
          <t>A 41755-2018</t>
        </is>
      </c>
      <c r="B332" s="1" t="n">
        <v>43350</v>
      </c>
      <c r="C332" s="1" t="n">
        <v>45175</v>
      </c>
      <c r="D332" t="inlineStr">
        <is>
          <t>KALMAR LÄN</t>
        </is>
      </c>
      <c r="E332" t="inlineStr">
        <is>
          <t>EMMABODA</t>
        </is>
      </c>
      <c r="G332" t="n">
        <v>4.9</v>
      </c>
      <c r="H332" t="n">
        <v>0</v>
      </c>
      <c r="I332" t="n">
        <v>0</v>
      </c>
      <c r="J332" t="n">
        <v>0</v>
      </c>
      <c r="K332" t="n">
        <v>0</v>
      </c>
      <c r="L332" t="n">
        <v>0</v>
      </c>
      <c r="M332" t="n">
        <v>0</v>
      </c>
      <c r="N332" t="n">
        <v>1</v>
      </c>
      <c r="O332" t="n">
        <v>1</v>
      </c>
      <c r="P332" t="n">
        <v>0</v>
      </c>
      <c r="Q332" t="n">
        <v>1</v>
      </c>
      <c r="R332" s="2" t="inlineStr">
        <is>
          <t>Pimpinellros</t>
        </is>
      </c>
      <c r="S332">
        <f>HYPERLINK("https://klasma.github.io/Logging_EMMABODA/artfynd/A 41755-2018.xlsx")</f>
        <v/>
      </c>
      <c r="T332">
        <f>HYPERLINK("https://klasma.github.io/Logging_EMMABODA/kartor/A 41755-2018.png")</f>
        <v/>
      </c>
      <c r="V332">
        <f>HYPERLINK("https://klasma.github.io/Logging_EMMABODA/klagomål/A 41755-2018.docx")</f>
        <v/>
      </c>
      <c r="W332">
        <f>HYPERLINK("https://klasma.github.io/Logging_EMMABODA/klagomålsmail/A 41755-2018.docx")</f>
        <v/>
      </c>
      <c r="X332">
        <f>HYPERLINK("https://klasma.github.io/Logging_EMMABODA/tillsyn/A 41755-2018.docx")</f>
        <v/>
      </c>
      <c r="Y332">
        <f>HYPERLINK("https://klasma.github.io/Logging_EMMABODA/tillsynsmail/A 41755-2018.docx")</f>
        <v/>
      </c>
    </row>
    <row r="333" ht="15" customHeight="1">
      <c r="A333" t="inlineStr">
        <is>
          <t>A 45366-2018</t>
        </is>
      </c>
      <c r="B333" s="1" t="n">
        <v>43363</v>
      </c>
      <c r="C333" s="1" t="n">
        <v>45175</v>
      </c>
      <c r="D333" t="inlineStr">
        <is>
          <t>KALMAR LÄN</t>
        </is>
      </c>
      <c r="E333" t="inlineStr">
        <is>
          <t>TORSÅS</t>
        </is>
      </c>
      <c r="G333" t="n">
        <v>4.4</v>
      </c>
      <c r="H333" t="n">
        <v>0</v>
      </c>
      <c r="I333" t="n">
        <v>1</v>
      </c>
      <c r="J333" t="n">
        <v>0</v>
      </c>
      <c r="K333" t="n">
        <v>0</v>
      </c>
      <c r="L333" t="n">
        <v>0</v>
      </c>
      <c r="M333" t="n">
        <v>0</v>
      </c>
      <c r="N333" t="n">
        <v>0</v>
      </c>
      <c r="O333" t="n">
        <v>0</v>
      </c>
      <c r="P333" t="n">
        <v>0</v>
      </c>
      <c r="Q333" t="n">
        <v>1</v>
      </c>
      <c r="R333" s="2" t="inlineStr">
        <is>
          <t>Lömsk flugsvamp</t>
        </is>
      </c>
      <c r="S333">
        <f>HYPERLINK("https://klasma.github.io/Logging_TORSAS/artfynd/A 45366-2018.xlsx")</f>
        <v/>
      </c>
      <c r="T333">
        <f>HYPERLINK("https://klasma.github.io/Logging_TORSAS/kartor/A 45366-2018.png")</f>
        <v/>
      </c>
      <c r="V333">
        <f>HYPERLINK("https://klasma.github.io/Logging_TORSAS/klagomål/A 45366-2018.docx")</f>
        <v/>
      </c>
      <c r="W333">
        <f>HYPERLINK("https://klasma.github.io/Logging_TORSAS/klagomålsmail/A 45366-2018.docx")</f>
        <v/>
      </c>
      <c r="X333">
        <f>HYPERLINK("https://klasma.github.io/Logging_TORSAS/tillsyn/A 45366-2018.docx")</f>
        <v/>
      </c>
      <c r="Y333">
        <f>HYPERLINK("https://klasma.github.io/Logging_TORSAS/tillsynsmail/A 45366-2018.docx")</f>
        <v/>
      </c>
    </row>
    <row r="334" ht="15" customHeight="1">
      <c r="A334" t="inlineStr">
        <is>
          <t>A 46845-2018</t>
        </is>
      </c>
      <c r="B334" s="1" t="n">
        <v>43367</v>
      </c>
      <c r="C334" s="1" t="n">
        <v>45175</v>
      </c>
      <c r="D334" t="inlineStr">
        <is>
          <t>KALMAR LÄN</t>
        </is>
      </c>
      <c r="E334" t="inlineStr">
        <is>
          <t>MÖRBYLÅNGA</t>
        </is>
      </c>
      <c r="F334" t="inlineStr">
        <is>
          <t>Kyrkan</t>
        </is>
      </c>
      <c r="G334" t="n">
        <v>2.2</v>
      </c>
      <c r="H334" t="n">
        <v>0</v>
      </c>
      <c r="I334" t="n">
        <v>0</v>
      </c>
      <c r="J334" t="n">
        <v>0</v>
      </c>
      <c r="K334" t="n">
        <v>0</v>
      </c>
      <c r="L334" t="n">
        <v>0</v>
      </c>
      <c r="M334" t="n">
        <v>1</v>
      </c>
      <c r="N334" t="n">
        <v>0</v>
      </c>
      <c r="O334" t="n">
        <v>1</v>
      </c>
      <c r="P334" t="n">
        <v>1</v>
      </c>
      <c r="Q334" t="n">
        <v>1</v>
      </c>
      <c r="R334" s="2" t="inlineStr">
        <is>
          <t>Skogsalm</t>
        </is>
      </c>
      <c r="S334">
        <f>HYPERLINK("https://klasma.github.io/Logging_MORBYLANGA/artfynd/A 46845-2018.xlsx")</f>
        <v/>
      </c>
      <c r="T334">
        <f>HYPERLINK("https://klasma.github.io/Logging_MORBYLANGA/kartor/A 46845-2018.png")</f>
        <v/>
      </c>
      <c r="V334">
        <f>HYPERLINK("https://klasma.github.io/Logging_MORBYLANGA/klagomål/A 46845-2018.docx")</f>
        <v/>
      </c>
      <c r="W334">
        <f>HYPERLINK("https://klasma.github.io/Logging_MORBYLANGA/klagomålsmail/A 46845-2018.docx")</f>
        <v/>
      </c>
      <c r="X334">
        <f>HYPERLINK("https://klasma.github.io/Logging_MORBYLANGA/tillsyn/A 46845-2018.docx")</f>
        <v/>
      </c>
      <c r="Y334">
        <f>HYPERLINK("https://klasma.github.io/Logging_MORBYLANGA/tillsynsmail/A 46845-2018.docx")</f>
        <v/>
      </c>
    </row>
    <row r="335" ht="15" customHeight="1">
      <c r="A335" t="inlineStr">
        <is>
          <t>A 46598-2018</t>
        </is>
      </c>
      <c r="B335" s="1" t="n">
        <v>43368</v>
      </c>
      <c r="C335" s="1" t="n">
        <v>45175</v>
      </c>
      <c r="D335" t="inlineStr">
        <is>
          <t>KALMAR LÄN</t>
        </is>
      </c>
      <c r="E335" t="inlineStr">
        <is>
          <t>VIMMERBY</t>
        </is>
      </c>
      <c r="G335" t="n">
        <v>3.9</v>
      </c>
      <c r="H335" t="n">
        <v>0</v>
      </c>
      <c r="I335" t="n">
        <v>1</v>
      </c>
      <c r="J335" t="n">
        <v>0</v>
      </c>
      <c r="K335" t="n">
        <v>0</v>
      </c>
      <c r="L335" t="n">
        <v>0</v>
      </c>
      <c r="M335" t="n">
        <v>0</v>
      </c>
      <c r="N335" t="n">
        <v>0</v>
      </c>
      <c r="O335" t="n">
        <v>0</v>
      </c>
      <c r="P335" t="n">
        <v>0</v>
      </c>
      <c r="Q335" t="n">
        <v>1</v>
      </c>
      <c r="R335" s="2" t="inlineStr">
        <is>
          <t>Ögonpyrola</t>
        </is>
      </c>
      <c r="S335">
        <f>HYPERLINK("https://klasma.github.io/Logging_VIMMERBY/artfynd/A 46598-2018.xlsx")</f>
        <v/>
      </c>
      <c r="T335">
        <f>HYPERLINK("https://klasma.github.io/Logging_VIMMERBY/kartor/A 46598-2018.png")</f>
        <v/>
      </c>
      <c r="V335">
        <f>HYPERLINK("https://klasma.github.io/Logging_VIMMERBY/klagomål/A 46598-2018.docx")</f>
        <v/>
      </c>
      <c r="W335">
        <f>HYPERLINK("https://klasma.github.io/Logging_VIMMERBY/klagomålsmail/A 46598-2018.docx")</f>
        <v/>
      </c>
      <c r="X335">
        <f>HYPERLINK("https://klasma.github.io/Logging_VIMMERBY/tillsyn/A 46598-2018.docx")</f>
        <v/>
      </c>
      <c r="Y335">
        <f>HYPERLINK("https://klasma.github.io/Logging_VIMMERBY/tillsynsmail/A 46598-2018.docx")</f>
        <v/>
      </c>
    </row>
    <row r="336" ht="15" customHeight="1">
      <c r="A336" t="inlineStr">
        <is>
          <t>A 48007-2018</t>
        </is>
      </c>
      <c r="B336" s="1" t="n">
        <v>43370</v>
      </c>
      <c r="C336" s="1" t="n">
        <v>45175</v>
      </c>
      <c r="D336" t="inlineStr">
        <is>
          <t>KALMAR LÄN</t>
        </is>
      </c>
      <c r="E336" t="inlineStr">
        <is>
          <t>KALMAR</t>
        </is>
      </c>
      <c r="G336" t="n">
        <v>1.5</v>
      </c>
      <c r="H336" t="n">
        <v>0</v>
      </c>
      <c r="I336" t="n">
        <v>1</v>
      </c>
      <c r="J336" t="n">
        <v>0</v>
      </c>
      <c r="K336" t="n">
        <v>0</v>
      </c>
      <c r="L336" t="n">
        <v>0</v>
      </c>
      <c r="M336" t="n">
        <v>0</v>
      </c>
      <c r="N336" t="n">
        <v>0</v>
      </c>
      <c r="O336" t="n">
        <v>0</v>
      </c>
      <c r="P336" t="n">
        <v>0</v>
      </c>
      <c r="Q336" t="n">
        <v>1</v>
      </c>
      <c r="R336" s="2" t="inlineStr">
        <is>
          <t>Vedticka</t>
        </is>
      </c>
      <c r="S336">
        <f>HYPERLINK("https://klasma.github.io/Logging_KALMAR/artfynd/A 48007-2018.xlsx")</f>
        <v/>
      </c>
      <c r="T336">
        <f>HYPERLINK("https://klasma.github.io/Logging_KALMAR/kartor/A 48007-2018.png")</f>
        <v/>
      </c>
      <c r="V336">
        <f>HYPERLINK("https://klasma.github.io/Logging_KALMAR/klagomål/A 48007-2018.docx")</f>
        <v/>
      </c>
      <c r="W336">
        <f>HYPERLINK("https://klasma.github.io/Logging_KALMAR/klagomålsmail/A 48007-2018.docx")</f>
        <v/>
      </c>
      <c r="X336">
        <f>HYPERLINK("https://klasma.github.io/Logging_KALMAR/tillsyn/A 48007-2018.docx")</f>
        <v/>
      </c>
      <c r="Y336">
        <f>HYPERLINK("https://klasma.github.io/Logging_KALMAR/tillsynsmail/A 48007-2018.docx")</f>
        <v/>
      </c>
    </row>
    <row r="337" ht="15" customHeight="1">
      <c r="A337" t="inlineStr">
        <is>
          <t>A 51204-2018</t>
        </is>
      </c>
      <c r="B337" s="1" t="n">
        <v>43377</v>
      </c>
      <c r="C337" s="1" t="n">
        <v>45175</v>
      </c>
      <c r="D337" t="inlineStr">
        <is>
          <t>KALMAR LÄN</t>
        </is>
      </c>
      <c r="E337" t="inlineStr">
        <is>
          <t>VÄSTERVIK</t>
        </is>
      </c>
      <c r="G337" t="n">
        <v>2.2</v>
      </c>
      <c r="H337" t="n">
        <v>0</v>
      </c>
      <c r="I337" t="n">
        <v>1</v>
      </c>
      <c r="J337" t="n">
        <v>0</v>
      </c>
      <c r="K337" t="n">
        <v>0</v>
      </c>
      <c r="L337" t="n">
        <v>0</v>
      </c>
      <c r="M337" t="n">
        <v>0</v>
      </c>
      <c r="N337" t="n">
        <v>0</v>
      </c>
      <c r="O337" t="n">
        <v>0</v>
      </c>
      <c r="P337" t="n">
        <v>0</v>
      </c>
      <c r="Q337" t="n">
        <v>1</v>
      </c>
      <c r="R337" s="2" t="inlineStr">
        <is>
          <t>Scharlakansskål</t>
        </is>
      </c>
      <c r="S337">
        <f>HYPERLINK("https://klasma.github.io/Logging_VASTERVIK/artfynd/A 51204-2018.xlsx")</f>
        <v/>
      </c>
      <c r="T337">
        <f>HYPERLINK("https://klasma.github.io/Logging_VASTERVIK/kartor/A 51204-2018.png")</f>
        <v/>
      </c>
      <c r="V337">
        <f>HYPERLINK("https://klasma.github.io/Logging_VASTERVIK/klagomål/A 51204-2018.docx")</f>
        <v/>
      </c>
      <c r="W337">
        <f>HYPERLINK("https://klasma.github.io/Logging_VASTERVIK/klagomålsmail/A 51204-2018.docx")</f>
        <v/>
      </c>
      <c r="X337">
        <f>HYPERLINK("https://klasma.github.io/Logging_VASTERVIK/tillsyn/A 51204-2018.docx")</f>
        <v/>
      </c>
      <c r="Y337">
        <f>HYPERLINK("https://klasma.github.io/Logging_VASTERVIK/tillsynsmail/A 51204-2018.docx")</f>
        <v/>
      </c>
    </row>
    <row r="338" ht="15" customHeight="1">
      <c r="A338" t="inlineStr">
        <is>
          <t>A 52781-2018</t>
        </is>
      </c>
      <c r="B338" s="1" t="n">
        <v>43383</v>
      </c>
      <c r="C338" s="1" t="n">
        <v>45175</v>
      </c>
      <c r="D338" t="inlineStr">
        <is>
          <t>KALMAR LÄN</t>
        </is>
      </c>
      <c r="E338" t="inlineStr">
        <is>
          <t>KALMAR</t>
        </is>
      </c>
      <c r="G338" t="n">
        <v>1.1</v>
      </c>
      <c r="H338" t="n">
        <v>0</v>
      </c>
      <c r="I338" t="n">
        <v>0</v>
      </c>
      <c r="J338" t="n">
        <v>1</v>
      </c>
      <c r="K338" t="n">
        <v>0</v>
      </c>
      <c r="L338" t="n">
        <v>0</v>
      </c>
      <c r="M338" t="n">
        <v>0</v>
      </c>
      <c r="N338" t="n">
        <v>0</v>
      </c>
      <c r="O338" t="n">
        <v>1</v>
      </c>
      <c r="P338" t="n">
        <v>0</v>
      </c>
      <c r="Q338" t="n">
        <v>1</v>
      </c>
      <c r="R338" s="2" t="inlineStr">
        <is>
          <t>Leptoporus erubescens</t>
        </is>
      </c>
      <c r="S338">
        <f>HYPERLINK("https://klasma.github.io/Logging_KALMAR/artfynd/A 52781-2018.xlsx")</f>
        <v/>
      </c>
      <c r="T338">
        <f>HYPERLINK("https://klasma.github.io/Logging_KALMAR/kartor/A 52781-2018.png")</f>
        <v/>
      </c>
      <c r="U338">
        <f>HYPERLINK("https://klasma.github.io/Logging_KALMAR/knärot/A 52781-2018.png")</f>
        <v/>
      </c>
      <c r="V338">
        <f>HYPERLINK("https://klasma.github.io/Logging_KALMAR/klagomål/A 52781-2018.docx")</f>
        <v/>
      </c>
      <c r="W338">
        <f>HYPERLINK("https://klasma.github.io/Logging_KALMAR/klagomålsmail/A 52781-2018.docx")</f>
        <v/>
      </c>
      <c r="X338">
        <f>HYPERLINK("https://klasma.github.io/Logging_KALMAR/tillsyn/A 52781-2018.docx")</f>
        <v/>
      </c>
      <c r="Y338">
        <f>HYPERLINK("https://klasma.github.io/Logging_KALMAR/tillsynsmail/A 52781-2018.docx")</f>
        <v/>
      </c>
    </row>
    <row r="339" ht="15" customHeight="1">
      <c r="A339" t="inlineStr">
        <is>
          <t>A 55105-2018</t>
        </is>
      </c>
      <c r="B339" s="1" t="n">
        <v>43396</v>
      </c>
      <c r="C339" s="1" t="n">
        <v>45175</v>
      </c>
      <c r="D339" t="inlineStr">
        <is>
          <t>KALMAR LÄN</t>
        </is>
      </c>
      <c r="E339" t="inlineStr">
        <is>
          <t>BORGHOLM</t>
        </is>
      </c>
      <c r="G339" t="n">
        <v>0.8</v>
      </c>
      <c r="H339" t="n">
        <v>1</v>
      </c>
      <c r="I339" t="n">
        <v>0</v>
      </c>
      <c r="J339" t="n">
        <v>0</v>
      </c>
      <c r="K339" t="n">
        <v>0</v>
      </c>
      <c r="L339" t="n">
        <v>0</v>
      </c>
      <c r="M339" t="n">
        <v>0</v>
      </c>
      <c r="N339" t="n">
        <v>0</v>
      </c>
      <c r="O339" t="n">
        <v>0</v>
      </c>
      <c r="P339" t="n">
        <v>0</v>
      </c>
      <c r="Q339" t="n">
        <v>1</v>
      </c>
      <c r="R339" s="2" t="inlineStr">
        <is>
          <t>Fläcknycklar</t>
        </is>
      </c>
      <c r="S339">
        <f>HYPERLINK("https://klasma.github.io/Logging_BORGHOLM/artfynd/A 55105-2018.xlsx")</f>
        <v/>
      </c>
      <c r="T339">
        <f>HYPERLINK("https://klasma.github.io/Logging_BORGHOLM/kartor/A 55105-2018.png")</f>
        <v/>
      </c>
      <c r="V339">
        <f>HYPERLINK("https://klasma.github.io/Logging_BORGHOLM/klagomål/A 55105-2018.docx")</f>
        <v/>
      </c>
      <c r="W339">
        <f>HYPERLINK("https://klasma.github.io/Logging_BORGHOLM/klagomålsmail/A 55105-2018.docx")</f>
        <v/>
      </c>
      <c r="X339">
        <f>HYPERLINK("https://klasma.github.io/Logging_BORGHOLM/tillsyn/A 55105-2018.docx")</f>
        <v/>
      </c>
      <c r="Y339">
        <f>HYPERLINK("https://klasma.github.io/Logging_BORGHOLM/tillsynsmail/A 55105-2018.docx")</f>
        <v/>
      </c>
    </row>
    <row r="340" ht="15" customHeight="1">
      <c r="A340" t="inlineStr">
        <is>
          <t>A 56760-2018</t>
        </is>
      </c>
      <c r="B340" s="1" t="n">
        <v>43402</v>
      </c>
      <c r="C340" s="1" t="n">
        <v>45175</v>
      </c>
      <c r="D340" t="inlineStr">
        <is>
          <t>KALMAR LÄN</t>
        </is>
      </c>
      <c r="E340" t="inlineStr">
        <is>
          <t>KALMAR</t>
        </is>
      </c>
      <c r="G340" t="n">
        <v>23.4</v>
      </c>
      <c r="H340" t="n">
        <v>0</v>
      </c>
      <c r="I340" t="n">
        <v>0</v>
      </c>
      <c r="J340" t="n">
        <v>1</v>
      </c>
      <c r="K340" t="n">
        <v>0</v>
      </c>
      <c r="L340" t="n">
        <v>0</v>
      </c>
      <c r="M340" t="n">
        <v>0</v>
      </c>
      <c r="N340" t="n">
        <v>0</v>
      </c>
      <c r="O340" t="n">
        <v>1</v>
      </c>
      <c r="P340" t="n">
        <v>0</v>
      </c>
      <c r="Q340" t="n">
        <v>1</v>
      </c>
      <c r="R340" s="2" t="inlineStr">
        <is>
          <t>Vårstarr</t>
        </is>
      </c>
      <c r="S340">
        <f>HYPERLINK("https://klasma.github.io/Logging_KALMAR/artfynd/A 56760-2018.xlsx")</f>
        <v/>
      </c>
      <c r="T340">
        <f>HYPERLINK("https://klasma.github.io/Logging_KALMAR/kartor/A 56760-2018.png")</f>
        <v/>
      </c>
      <c r="V340">
        <f>HYPERLINK("https://klasma.github.io/Logging_KALMAR/klagomål/A 56760-2018.docx")</f>
        <v/>
      </c>
      <c r="W340">
        <f>HYPERLINK("https://klasma.github.io/Logging_KALMAR/klagomålsmail/A 56760-2018.docx")</f>
        <v/>
      </c>
      <c r="X340">
        <f>HYPERLINK("https://klasma.github.io/Logging_KALMAR/tillsyn/A 56760-2018.docx")</f>
        <v/>
      </c>
      <c r="Y340">
        <f>HYPERLINK("https://klasma.github.io/Logging_KALMAR/tillsynsmail/A 56760-2018.docx")</f>
        <v/>
      </c>
    </row>
    <row r="341" ht="15" customHeight="1">
      <c r="A341" t="inlineStr">
        <is>
          <t>A 57216-2018</t>
        </is>
      </c>
      <c r="B341" s="1" t="n">
        <v>43403</v>
      </c>
      <c r="C341" s="1" t="n">
        <v>45175</v>
      </c>
      <c r="D341" t="inlineStr">
        <is>
          <t>KALMAR LÄN</t>
        </is>
      </c>
      <c r="E341" t="inlineStr">
        <is>
          <t>BORGHOLM</t>
        </is>
      </c>
      <c r="G341" t="n">
        <v>0.3</v>
      </c>
      <c r="H341" t="n">
        <v>1</v>
      </c>
      <c r="I341" t="n">
        <v>0</v>
      </c>
      <c r="J341" t="n">
        <v>1</v>
      </c>
      <c r="K341" t="n">
        <v>0</v>
      </c>
      <c r="L341" t="n">
        <v>0</v>
      </c>
      <c r="M341" t="n">
        <v>0</v>
      </c>
      <c r="N341" t="n">
        <v>0</v>
      </c>
      <c r="O341" t="n">
        <v>1</v>
      </c>
      <c r="P341" t="n">
        <v>0</v>
      </c>
      <c r="Q341" t="n">
        <v>1</v>
      </c>
      <c r="R341" s="2" t="inlineStr">
        <is>
          <t>Grönsångare</t>
        </is>
      </c>
      <c r="S341">
        <f>HYPERLINK("https://klasma.github.io/Logging_BORGHOLM/artfynd/A 57216-2018.xlsx")</f>
        <v/>
      </c>
      <c r="T341">
        <f>HYPERLINK("https://klasma.github.io/Logging_BORGHOLM/kartor/A 57216-2018.png")</f>
        <v/>
      </c>
      <c r="V341">
        <f>HYPERLINK("https://klasma.github.io/Logging_BORGHOLM/klagomål/A 57216-2018.docx")</f>
        <v/>
      </c>
      <c r="W341">
        <f>HYPERLINK("https://klasma.github.io/Logging_BORGHOLM/klagomålsmail/A 57216-2018.docx")</f>
        <v/>
      </c>
      <c r="X341">
        <f>HYPERLINK("https://klasma.github.io/Logging_BORGHOLM/tillsyn/A 57216-2018.docx")</f>
        <v/>
      </c>
      <c r="Y341">
        <f>HYPERLINK("https://klasma.github.io/Logging_BORGHOLM/tillsynsmail/A 57216-2018.docx")</f>
        <v/>
      </c>
    </row>
    <row r="342" ht="15" customHeight="1">
      <c r="A342" t="inlineStr">
        <is>
          <t>A 59892-2018</t>
        </is>
      </c>
      <c r="B342" s="1" t="n">
        <v>43419</v>
      </c>
      <c r="C342" s="1" t="n">
        <v>45175</v>
      </c>
      <c r="D342" t="inlineStr">
        <is>
          <t>KALMAR LÄN</t>
        </is>
      </c>
      <c r="E342" t="inlineStr">
        <is>
          <t>VIMMERBY</t>
        </is>
      </c>
      <c r="G342" t="n">
        <v>2.8</v>
      </c>
      <c r="H342" t="n">
        <v>1</v>
      </c>
      <c r="I342" t="n">
        <v>0</v>
      </c>
      <c r="J342" t="n">
        <v>0</v>
      </c>
      <c r="K342" t="n">
        <v>0</v>
      </c>
      <c r="L342" t="n">
        <v>0</v>
      </c>
      <c r="M342" t="n">
        <v>0</v>
      </c>
      <c r="N342" t="n">
        <v>0</v>
      </c>
      <c r="O342" t="n">
        <v>0</v>
      </c>
      <c r="P342" t="n">
        <v>0</v>
      </c>
      <c r="Q342" t="n">
        <v>1</v>
      </c>
      <c r="R342" s="2" t="inlineStr">
        <is>
          <t>Revlummer</t>
        </is>
      </c>
      <c r="S342">
        <f>HYPERLINK("https://klasma.github.io/Logging_VIMMERBY/artfynd/A 59892-2018.xlsx")</f>
        <v/>
      </c>
      <c r="T342">
        <f>HYPERLINK("https://klasma.github.io/Logging_VIMMERBY/kartor/A 59892-2018.png")</f>
        <v/>
      </c>
      <c r="V342">
        <f>HYPERLINK("https://klasma.github.io/Logging_VIMMERBY/klagomål/A 59892-2018.docx")</f>
        <v/>
      </c>
      <c r="W342">
        <f>HYPERLINK("https://klasma.github.io/Logging_VIMMERBY/klagomålsmail/A 59892-2018.docx")</f>
        <v/>
      </c>
      <c r="X342">
        <f>HYPERLINK("https://klasma.github.io/Logging_VIMMERBY/tillsyn/A 59892-2018.docx")</f>
        <v/>
      </c>
      <c r="Y342">
        <f>HYPERLINK("https://klasma.github.io/Logging_VIMMERBY/tillsynsmail/A 59892-2018.docx")</f>
        <v/>
      </c>
    </row>
    <row r="343" ht="15" customHeight="1">
      <c r="A343" t="inlineStr">
        <is>
          <t>A 60463-2018</t>
        </is>
      </c>
      <c r="B343" s="1" t="n">
        <v>43420</v>
      </c>
      <c r="C343" s="1" t="n">
        <v>45175</v>
      </c>
      <c r="D343" t="inlineStr">
        <is>
          <t>KALMAR LÄN</t>
        </is>
      </c>
      <c r="E343" t="inlineStr">
        <is>
          <t>OSKARSHAMN</t>
        </is>
      </c>
      <c r="F343" t="inlineStr">
        <is>
          <t>Övriga Aktiebolag</t>
        </is>
      </c>
      <c r="G343" t="n">
        <v>9.300000000000001</v>
      </c>
      <c r="H343" t="n">
        <v>1</v>
      </c>
      <c r="I343" t="n">
        <v>0</v>
      </c>
      <c r="J343" t="n">
        <v>1</v>
      </c>
      <c r="K343" t="n">
        <v>0</v>
      </c>
      <c r="L343" t="n">
        <v>0</v>
      </c>
      <c r="M343" t="n">
        <v>0</v>
      </c>
      <c r="N343" t="n">
        <v>0</v>
      </c>
      <c r="O343" t="n">
        <v>1</v>
      </c>
      <c r="P343" t="n">
        <v>0</v>
      </c>
      <c r="Q343" t="n">
        <v>1</v>
      </c>
      <c r="R343" s="2" t="inlineStr">
        <is>
          <t>Svartvit flugsnappare</t>
        </is>
      </c>
      <c r="S343">
        <f>HYPERLINK("https://klasma.github.io/Logging_OSKARSHAMN/artfynd/A 60463-2018.xlsx")</f>
        <v/>
      </c>
      <c r="T343">
        <f>HYPERLINK("https://klasma.github.io/Logging_OSKARSHAMN/kartor/A 60463-2018.png")</f>
        <v/>
      </c>
      <c r="V343">
        <f>HYPERLINK("https://klasma.github.io/Logging_OSKARSHAMN/klagomål/A 60463-2018.docx")</f>
        <v/>
      </c>
      <c r="W343">
        <f>HYPERLINK("https://klasma.github.io/Logging_OSKARSHAMN/klagomålsmail/A 60463-2018.docx")</f>
        <v/>
      </c>
      <c r="X343">
        <f>HYPERLINK("https://klasma.github.io/Logging_OSKARSHAMN/tillsyn/A 60463-2018.docx")</f>
        <v/>
      </c>
      <c r="Y343">
        <f>HYPERLINK("https://klasma.github.io/Logging_OSKARSHAMN/tillsynsmail/A 60463-2018.docx")</f>
        <v/>
      </c>
    </row>
    <row r="344" ht="15" customHeight="1">
      <c r="A344" t="inlineStr">
        <is>
          <t>A 64017-2018</t>
        </is>
      </c>
      <c r="B344" s="1" t="n">
        <v>43430</v>
      </c>
      <c r="C344" s="1" t="n">
        <v>45175</v>
      </c>
      <c r="D344" t="inlineStr">
        <is>
          <t>KALMAR LÄN</t>
        </is>
      </c>
      <c r="E344" t="inlineStr">
        <is>
          <t>MÖNSTERÅS</t>
        </is>
      </c>
      <c r="F344" t="inlineStr">
        <is>
          <t>Övriga Aktiebolag</t>
        </is>
      </c>
      <c r="G344" t="n">
        <v>10.4</v>
      </c>
      <c r="H344" t="n">
        <v>1</v>
      </c>
      <c r="I344" t="n">
        <v>0</v>
      </c>
      <c r="J344" t="n">
        <v>1</v>
      </c>
      <c r="K344" t="n">
        <v>0</v>
      </c>
      <c r="L344" t="n">
        <v>0</v>
      </c>
      <c r="M344" t="n">
        <v>0</v>
      </c>
      <c r="N344" t="n">
        <v>0</v>
      </c>
      <c r="O344" t="n">
        <v>1</v>
      </c>
      <c r="P344" t="n">
        <v>0</v>
      </c>
      <c r="Q344" t="n">
        <v>1</v>
      </c>
      <c r="R344" s="2" t="inlineStr">
        <is>
          <t>Hornuggla</t>
        </is>
      </c>
      <c r="S344">
        <f>HYPERLINK("https://klasma.github.io/Logging_MONSTERAS/artfynd/A 64017-2018.xlsx")</f>
        <v/>
      </c>
      <c r="T344">
        <f>HYPERLINK("https://klasma.github.io/Logging_MONSTERAS/kartor/A 64017-2018.png")</f>
        <v/>
      </c>
      <c r="V344">
        <f>HYPERLINK("https://klasma.github.io/Logging_MONSTERAS/klagomål/A 64017-2018.docx")</f>
        <v/>
      </c>
      <c r="W344">
        <f>HYPERLINK("https://klasma.github.io/Logging_MONSTERAS/klagomålsmail/A 64017-2018.docx")</f>
        <v/>
      </c>
      <c r="X344">
        <f>HYPERLINK("https://klasma.github.io/Logging_MONSTERAS/tillsyn/A 64017-2018.docx")</f>
        <v/>
      </c>
      <c r="Y344">
        <f>HYPERLINK("https://klasma.github.io/Logging_MONSTERAS/tillsynsmail/A 64017-2018.docx")</f>
        <v/>
      </c>
    </row>
    <row r="345" ht="15" customHeight="1">
      <c r="A345" t="inlineStr">
        <is>
          <t>A 66856-2018</t>
        </is>
      </c>
      <c r="B345" s="1" t="n">
        <v>43438</v>
      </c>
      <c r="C345" s="1" t="n">
        <v>45175</v>
      </c>
      <c r="D345" t="inlineStr">
        <is>
          <t>KALMAR LÄN</t>
        </is>
      </c>
      <c r="E345" t="inlineStr">
        <is>
          <t>HULTSFRED</t>
        </is>
      </c>
      <c r="G345" t="n">
        <v>0.9</v>
      </c>
      <c r="H345" t="n">
        <v>0</v>
      </c>
      <c r="I345" t="n">
        <v>0</v>
      </c>
      <c r="J345" t="n">
        <v>1</v>
      </c>
      <c r="K345" t="n">
        <v>0</v>
      </c>
      <c r="L345" t="n">
        <v>0</v>
      </c>
      <c r="M345" t="n">
        <v>0</v>
      </c>
      <c r="N345" t="n">
        <v>0</v>
      </c>
      <c r="O345" t="n">
        <v>1</v>
      </c>
      <c r="P345" t="n">
        <v>0</v>
      </c>
      <c r="Q345" t="n">
        <v>1</v>
      </c>
      <c r="R345" s="2" t="inlineStr">
        <is>
          <t>Svedjenäva</t>
        </is>
      </c>
      <c r="S345">
        <f>HYPERLINK("https://klasma.github.io/Logging_HULTSFRED/artfynd/A 66856-2018.xlsx")</f>
        <v/>
      </c>
      <c r="T345">
        <f>HYPERLINK("https://klasma.github.io/Logging_HULTSFRED/kartor/A 66856-2018.png")</f>
        <v/>
      </c>
      <c r="V345">
        <f>HYPERLINK("https://klasma.github.io/Logging_HULTSFRED/klagomål/A 66856-2018.docx")</f>
        <v/>
      </c>
      <c r="W345">
        <f>HYPERLINK("https://klasma.github.io/Logging_HULTSFRED/klagomålsmail/A 66856-2018.docx")</f>
        <v/>
      </c>
      <c r="X345">
        <f>HYPERLINK("https://klasma.github.io/Logging_HULTSFRED/tillsyn/A 66856-2018.docx")</f>
        <v/>
      </c>
      <c r="Y345">
        <f>HYPERLINK("https://klasma.github.io/Logging_HULTSFRED/tillsynsmail/A 66856-2018.docx")</f>
        <v/>
      </c>
    </row>
    <row r="346" ht="15" customHeight="1">
      <c r="A346" t="inlineStr">
        <is>
          <t>A 69586-2018</t>
        </is>
      </c>
      <c r="B346" s="1" t="n">
        <v>43446</v>
      </c>
      <c r="C346" s="1" t="n">
        <v>45175</v>
      </c>
      <c r="D346" t="inlineStr">
        <is>
          <t>KALMAR LÄN</t>
        </is>
      </c>
      <c r="E346" t="inlineStr">
        <is>
          <t>MÖRBYLÅNGA</t>
        </is>
      </c>
      <c r="G346" t="n">
        <v>2.5</v>
      </c>
      <c r="H346" t="n">
        <v>0</v>
      </c>
      <c r="I346" t="n">
        <v>0</v>
      </c>
      <c r="J346" t="n">
        <v>0</v>
      </c>
      <c r="K346" t="n">
        <v>1</v>
      </c>
      <c r="L346" t="n">
        <v>0</v>
      </c>
      <c r="M346" t="n">
        <v>0</v>
      </c>
      <c r="N346" t="n">
        <v>0</v>
      </c>
      <c r="O346" t="n">
        <v>1</v>
      </c>
      <c r="P346" t="n">
        <v>1</v>
      </c>
      <c r="Q346" t="n">
        <v>1</v>
      </c>
      <c r="R346" s="2" t="inlineStr">
        <is>
          <t>Backsilja</t>
        </is>
      </c>
      <c r="S346">
        <f>HYPERLINK("https://klasma.github.io/Logging_MORBYLANGA/artfynd/A 69586-2018.xlsx")</f>
        <v/>
      </c>
      <c r="T346">
        <f>HYPERLINK("https://klasma.github.io/Logging_MORBYLANGA/kartor/A 69586-2018.png")</f>
        <v/>
      </c>
      <c r="V346">
        <f>HYPERLINK("https://klasma.github.io/Logging_MORBYLANGA/klagomål/A 69586-2018.docx")</f>
        <v/>
      </c>
      <c r="W346">
        <f>HYPERLINK("https://klasma.github.io/Logging_MORBYLANGA/klagomålsmail/A 69586-2018.docx")</f>
        <v/>
      </c>
      <c r="X346">
        <f>HYPERLINK("https://klasma.github.io/Logging_MORBYLANGA/tillsyn/A 69586-2018.docx")</f>
        <v/>
      </c>
      <c r="Y346">
        <f>HYPERLINK("https://klasma.github.io/Logging_MORBYLANGA/tillsynsmail/A 69586-2018.docx")</f>
        <v/>
      </c>
    </row>
    <row r="347" ht="15" customHeight="1">
      <c r="A347" t="inlineStr">
        <is>
          <t>A 70266-2018</t>
        </is>
      </c>
      <c r="B347" s="1" t="n">
        <v>43449</v>
      </c>
      <c r="C347" s="1" t="n">
        <v>45175</v>
      </c>
      <c r="D347" t="inlineStr">
        <is>
          <t>KALMAR LÄN</t>
        </is>
      </c>
      <c r="E347" t="inlineStr">
        <is>
          <t>NYBRO</t>
        </is>
      </c>
      <c r="G347" t="n">
        <v>1.4</v>
      </c>
      <c r="H347" t="n">
        <v>1</v>
      </c>
      <c r="I347" t="n">
        <v>0</v>
      </c>
      <c r="J347" t="n">
        <v>1</v>
      </c>
      <c r="K347" t="n">
        <v>0</v>
      </c>
      <c r="L347" t="n">
        <v>0</v>
      </c>
      <c r="M347" t="n">
        <v>0</v>
      </c>
      <c r="N347" t="n">
        <v>0</v>
      </c>
      <c r="O347" t="n">
        <v>1</v>
      </c>
      <c r="P347" t="n">
        <v>0</v>
      </c>
      <c r="Q347" t="n">
        <v>1</v>
      </c>
      <c r="R347" s="2" t="inlineStr">
        <is>
          <t>Järpe</t>
        </is>
      </c>
      <c r="S347">
        <f>HYPERLINK("https://klasma.github.io/Logging_NYBRO/artfynd/A 70266-2018.xlsx")</f>
        <v/>
      </c>
      <c r="T347">
        <f>HYPERLINK("https://klasma.github.io/Logging_NYBRO/kartor/A 70266-2018.png")</f>
        <v/>
      </c>
      <c r="V347">
        <f>HYPERLINK("https://klasma.github.io/Logging_NYBRO/klagomål/A 70266-2018.docx")</f>
        <v/>
      </c>
      <c r="W347">
        <f>HYPERLINK("https://klasma.github.io/Logging_NYBRO/klagomålsmail/A 70266-2018.docx")</f>
        <v/>
      </c>
      <c r="X347">
        <f>HYPERLINK("https://klasma.github.io/Logging_NYBRO/tillsyn/A 70266-2018.docx")</f>
        <v/>
      </c>
      <c r="Y347">
        <f>HYPERLINK("https://klasma.github.io/Logging_NYBRO/tillsynsmail/A 70266-2018.docx")</f>
        <v/>
      </c>
    </row>
    <row r="348" ht="15" customHeight="1">
      <c r="A348" t="inlineStr">
        <is>
          <t>A 71541-2018</t>
        </is>
      </c>
      <c r="B348" s="1" t="n">
        <v>43452</v>
      </c>
      <c r="C348" s="1" t="n">
        <v>45175</v>
      </c>
      <c r="D348" t="inlineStr">
        <is>
          <t>KALMAR LÄN</t>
        </is>
      </c>
      <c r="E348" t="inlineStr">
        <is>
          <t>EMMABODA</t>
        </is>
      </c>
      <c r="F348" t="inlineStr">
        <is>
          <t>Kommuner</t>
        </is>
      </c>
      <c r="G348" t="n">
        <v>1.6</v>
      </c>
      <c r="H348" t="n">
        <v>0</v>
      </c>
      <c r="I348" t="n">
        <v>0</v>
      </c>
      <c r="J348" t="n">
        <v>1</v>
      </c>
      <c r="K348" t="n">
        <v>0</v>
      </c>
      <c r="L348" t="n">
        <v>0</v>
      </c>
      <c r="M348" t="n">
        <v>0</v>
      </c>
      <c r="N348" t="n">
        <v>0</v>
      </c>
      <c r="O348" t="n">
        <v>1</v>
      </c>
      <c r="P348" t="n">
        <v>0</v>
      </c>
      <c r="Q348" t="n">
        <v>1</v>
      </c>
      <c r="R348" s="2" t="inlineStr">
        <is>
          <t>Åkerkål</t>
        </is>
      </c>
      <c r="S348">
        <f>HYPERLINK("https://klasma.github.io/Logging_EMMABODA/artfynd/A 71541-2018.xlsx")</f>
        <v/>
      </c>
      <c r="T348">
        <f>HYPERLINK("https://klasma.github.io/Logging_EMMABODA/kartor/A 71541-2018.png")</f>
        <v/>
      </c>
      <c r="V348">
        <f>HYPERLINK("https://klasma.github.io/Logging_EMMABODA/klagomål/A 71541-2018.docx")</f>
        <v/>
      </c>
      <c r="W348">
        <f>HYPERLINK("https://klasma.github.io/Logging_EMMABODA/klagomålsmail/A 71541-2018.docx")</f>
        <v/>
      </c>
      <c r="X348">
        <f>HYPERLINK("https://klasma.github.io/Logging_EMMABODA/tillsyn/A 71541-2018.docx")</f>
        <v/>
      </c>
      <c r="Y348">
        <f>HYPERLINK("https://klasma.github.io/Logging_EMMABODA/tillsynsmail/A 71541-2018.docx")</f>
        <v/>
      </c>
    </row>
    <row r="349" ht="15" customHeight="1">
      <c r="A349" t="inlineStr">
        <is>
          <t>A 1303-2019</t>
        </is>
      </c>
      <c r="B349" s="1" t="n">
        <v>43473</v>
      </c>
      <c r="C349" s="1" t="n">
        <v>45175</v>
      </c>
      <c r="D349" t="inlineStr">
        <is>
          <t>KALMAR LÄN</t>
        </is>
      </c>
      <c r="E349" t="inlineStr">
        <is>
          <t>VIMMERBY</t>
        </is>
      </c>
      <c r="G349" t="n">
        <v>4.1</v>
      </c>
      <c r="H349" t="n">
        <v>0</v>
      </c>
      <c r="I349" t="n">
        <v>0</v>
      </c>
      <c r="J349" t="n">
        <v>1</v>
      </c>
      <c r="K349" t="n">
        <v>0</v>
      </c>
      <c r="L349" t="n">
        <v>0</v>
      </c>
      <c r="M349" t="n">
        <v>0</v>
      </c>
      <c r="N349" t="n">
        <v>0</v>
      </c>
      <c r="O349" t="n">
        <v>1</v>
      </c>
      <c r="P349" t="n">
        <v>0</v>
      </c>
      <c r="Q349" t="n">
        <v>1</v>
      </c>
      <c r="R349" s="2" t="inlineStr">
        <is>
          <t>Svedjenäva</t>
        </is>
      </c>
      <c r="S349">
        <f>HYPERLINK("https://klasma.github.io/Logging_VIMMERBY/artfynd/A 1303-2019.xlsx")</f>
        <v/>
      </c>
      <c r="T349">
        <f>HYPERLINK("https://klasma.github.io/Logging_VIMMERBY/kartor/A 1303-2019.png")</f>
        <v/>
      </c>
      <c r="V349">
        <f>HYPERLINK("https://klasma.github.io/Logging_VIMMERBY/klagomål/A 1303-2019.docx")</f>
        <v/>
      </c>
      <c r="W349">
        <f>HYPERLINK("https://klasma.github.io/Logging_VIMMERBY/klagomålsmail/A 1303-2019.docx")</f>
        <v/>
      </c>
      <c r="X349">
        <f>HYPERLINK("https://klasma.github.io/Logging_VIMMERBY/tillsyn/A 1303-2019.docx")</f>
        <v/>
      </c>
      <c r="Y349">
        <f>HYPERLINK("https://klasma.github.io/Logging_VIMMERBY/tillsynsmail/A 1303-2019.docx")</f>
        <v/>
      </c>
    </row>
    <row r="350" ht="15" customHeight="1">
      <c r="A350" t="inlineStr">
        <is>
          <t>A 4926-2019</t>
        </is>
      </c>
      <c r="B350" s="1" t="n">
        <v>43479</v>
      </c>
      <c r="C350" s="1" t="n">
        <v>45175</v>
      </c>
      <c r="D350" t="inlineStr">
        <is>
          <t>KALMAR LÄN</t>
        </is>
      </c>
      <c r="E350" t="inlineStr">
        <is>
          <t>VÄSTERVIK</t>
        </is>
      </c>
      <c r="G350" t="n">
        <v>2.2</v>
      </c>
      <c r="H350" t="n">
        <v>1</v>
      </c>
      <c r="I350" t="n">
        <v>0</v>
      </c>
      <c r="J350" t="n">
        <v>1</v>
      </c>
      <c r="K350" t="n">
        <v>0</v>
      </c>
      <c r="L350" t="n">
        <v>0</v>
      </c>
      <c r="M350" t="n">
        <v>0</v>
      </c>
      <c r="N350" t="n">
        <v>0</v>
      </c>
      <c r="O350" t="n">
        <v>1</v>
      </c>
      <c r="P350" t="n">
        <v>0</v>
      </c>
      <c r="Q350" t="n">
        <v>1</v>
      </c>
      <c r="R350" s="2" t="inlineStr">
        <is>
          <t>Hornuggla</t>
        </is>
      </c>
      <c r="S350">
        <f>HYPERLINK("https://klasma.github.io/Logging_VASTERVIK/artfynd/A 4926-2019.xlsx")</f>
        <v/>
      </c>
      <c r="T350">
        <f>HYPERLINK("https://klasma.github.io/Logging_VASTERVIK/kartor/A 4926-2019.png")</f>
        <v/>
      </c>
      <c r="V350">
        <f>HYPERLINK("https://klasma.github.io/Logging_VASTERVIK/klagomål/A 4926-2019.docx")</f>
        <v/>
      </c>
      <c r="W350">
        <f>HYPERLINK("https://klasma.github.io/Logging_VASTERVIK/klagomålsmail/A 4926-2019.docx")</f>
        <v/>
      </c>
      <c r="X350">
        <f>HYPERLINK("https://klasma.github.io/Logging_VASTERVIK/tillsyn/A 4926-2019.docx")</f>
        <v/>
      </c>
      <c r="Y350">
        <f>HYPERLINK("https://klasma.github.io/Logging_VASTERVIK/tillsynsmail/A 4926-2019.docx")</f>
        <v/>
      </c>
    </row>
    <row r="351" ht="15" customHeight="1">
      <c r="A351" t="inlineStr">
        <is>
          <t>A 4365-2019</t>
        </is>
      </c>
      <c r="B351" s="1" t="n">
        <v>43483</v>
      </c>
      <c r="C351" s="1" t="n">
        <v>45175</v>
      </c>
      <c r="D351" t="inlineStr">
        <is>
          <t>KALMAR LÄN</t>
        </is>
      </c>
      <c r="E351" t="inlineStr">
        <is>
          <t>HÖGSBY</t>
        </is>
      </c>
      <c r="G351" t="n">
        <v>3.9</v>
      </c>
      <c r="H351" t="n">
        <v>1</v>
      </c>
      <c r="I351" t="n">
        <v>0</v>
      </c>
      <c r="J351" t="n">
        <v>0</v>
      </c>
      <c r="K351" t="n">
        <v>0</v>
      </c>
      <c r="L351" t="n">
        <v>0</v>
      </c>
      <c r="M351" t="n">
        <v>0</v>
      </c>
      <c r="N351" t="n">
        <v>0</v>
      </c>
      <c r="O351" t="n">
        <v>0</v>
      </c>
      <c r="P351" t="n">
        <v>0</v>
      </c>
      <c r="Q351" t="n">
        <v>1</v>
      </c>
      <c r="R351" s="2" t="inlineStr">
        <is>
          <t>Revlummer</t>
        </is>
      </c>
      <c r="S351">
        <f>HYPERLINK("https://klasma.github.io/Logging_HOGSBY/artfynd/A 4365-2019.xlsx")</f>
        <v/>
      </c>
      <c r="T351">
        <f>HYPERLINK("https://klasma.github.io/Logging_HOGSBY/kartor/A 4365-2019.png")</f>
        <v/>
      </c>
      <c r="V351">
        <f>HYPERLINK("https://klasma.github.io/Logging_HOGSBY/klagomål/A 4365-2019.docx")</f>
        <v/>
      </c>
      <c r="W351">
        <f>HYPERLINK("https://klasma.github.io/Logging_HOGSBY/klagomålsmail/A 4365-2019.docx")</f>
        <v/>
      </c>
      <c r="X351">
        <f>HYPERLINK("https://klasma.github.io/Logging_HOGSBY/tillsyn/A 4365-2019.docx")</f>
        <v/>
      </c>
      <c r="Y351">
        <f>HYPERLINK("https://klasma.github.io/Logging_HOGSBY/tillsynsmail/A 4365-2019.docx")</f>
        <v/>
      </c>
    </row>
    <row r="352" ht="15" customHeight="1">
      <c r="A352" t="inlineStr">
        <is>
          <t>A 4513-2019</t>
        </is>
      </c>
      <c r="B352" s="1" t="n">
        <v>43486</v>
      </c>
      <c r="C352" s="1" t="n">
        <v>45175</v>
      </c>
      <c r="D352" t="inlineStr">
        <is>
          <t>KALMAR LÄN</t>
        </is>
      </c>
      <c r="E352" t="inlineStr">
        <is>
          <t>KALMAR</t>
        </is>
      </c>
      <c r="G352" t="n">
        <v>1.7</v>
      </c>
      <c r="H352" t="n">
        <v>1</v>
      </c>
      <c r="I352" t="n">
        <v>0</v>
      </c>
      <c r="J352" t="n">
        <v>1</v>
      </c>
      <c r="K352" t="n">
        <v>0</v>
      </c>
      <c r="L352" t="n">
        <v>0</v>
      </c>
      <c r="M352" t="n">
        <v>0</v>
      </c>
      <c r="N352" t="n">
        <v>0</v>
      </c>
      <c r="O352" t="n">
        <v>1</v>
      </c>
      <c r="P352" t="n">
        <v>0</v>
      </c>
      <c r="Q352" t="n">
        <v>1</v>
      </c>
      <c r="R352" s="2" t="inlineStr">
        <is>
          <t>Utter</t>
        </is>
      </c>
      <c r="S352">
        <f>HYPERLINK("https://klasma.github.io/Logging_KALMAR/artfynd/A 4513-2019.xlsx")</f>
        <v/>
      </c>
      <c r="T352">
        <f>HYPERLINK("https://klasma.github.io/Logging_KALMAR/kartor/A 4513-2019.png")</f>
        <v/>
      </c>
      <c r="V352">
        <f>HYPERLINK("https://klasma.github.io/Logging_KALMAR/klagomål/A 4513-2019.docx")</f>
        <v/>
      </c>
      <c r="W352">
        <f>HYPERLINK("https://klasma.github.io/Logging_KALMAR/klagomålsmail/A 4513-2019.docx")</f>
        <v/>
      </c>
      <c r="X352">
        <f>HYPERLINK("https://klasma.github.io/Logging_KALMAR/tillsyn/A 4513-2019.docx")</f>
        <v/>
      </c>
      <c r="Y352">
        <f>HYPERLINK("https://klasma.github.io/Logging_KALMAR/tillsynsmail/A 4513-2019.docx")</f>
        <v/>
      </c>
    </row>
    <row r="353" ht="15" customHeight="1">
      <c r="A353" t="inlineStr">
        <is>
          <t>A 4895-2019</t>
        </is>
      </c>
      <c r="B353" s="1" t="n">
        <v>43487</v>
      </c>
      <c r="C353" s="1" t="n">
        <v>45175</v>
      </c>
      <c r="D353" t="inlineStr">
        <is>
          <t>KALMAR LÄN</t>
        </is>
      </c>
      <c r="E353" t="inlineStr">
        <is>
          <t>VIMMERBY</t>
        </is>
      </c>
      <c r="G353" t="n">
        <v>1.7</v>
      </c>
      <c r="H353" t="n">
        <v>0</v>
      </c>
      <c r="I353" t="n">
        <v>1</v>
      </c>
      <c r="J353" t="n">
        <v>0</v>
      </c>
      <c r="K353" t="n">
        <v>0</v>
      </c>
      <c r="L353" t="n">
        <v>0</v>
      </c>
      <c r="M353" t="n">
        <v>0</v>
      </c>
      <c r="N353" t="n">
        <v>0</v>
      </c>
      <c r="O353" t="n">
        <v>0</v>
      </c>
      <c r="P353" t="n">
        <v>0</v>
      </c>
      <c r="Q353" t="n">
        <v>1</v>
      </c>
      <c r="R353" s="2" t="inlineStr">
        <is>
          <t>Gräsull</t>
        </is>
      </c>
      <c r="S353">
        <f>HYPERLINK("https://klasma.github.io/Logging_VIMMERBY/artfynd/A 4895-2019.xlsx")</f>
        <v/>
      </c>
      <c r="T353">
        <f>HYPERLINK("https://klasma.github.io/Logging_VIMMERBY/kartor/A 4895-2019.png")</f>
        <v/>
      </c>
      <c r="V353">
        <f>HYPERLINK("https://klasma.github.io/Logging_VIMMERBY/klagomål/A 4895-2019.docx")</f>
        <v/>
      </c>
      <c r="W353">
        <f>HYPERLINK("https://klasma.github.io/Logging_VIMMERBY/klagomålsmail/A 4895-2019.docx")</f>
        <v/>
      </c>
      <c r="X353">
        <f>HYPERLINK("https://klasma.github.io/Logging_VIMMERBY/tillsyn/A 4895-2019.docx")</f>
        <v/>
      </c>
      <c r="Y353">
        <f>HYPERLINK("https://klasma.github.io/Logging_VIMMERBY/tillsynsmail/A 4895-2019.docx")</f>
        <v/>
      </c>
    </row>
    <row r="354" ht="15" customHeight="1">
      <c r="A354" t="inlineStr">
        <is>
          <t>A 6325-2019</t>
        </is>
      </c>
      <c r="B354" s="1" t="n">
        <v>43493</v>
      </c>
      <c r="C354" s="1" t="n">
        <v>45175</v>
      </c>
      <c r="D354" t="inlineStr">
        <is>
          <t>KALMAR LÄN</t>
        </is>
      </c>
      <c r="E354" t="inlineStr">
        <is>
          <t>HULTSFRED</t>
        </is>
      </c>
      <c r="F354" t="inlineStr">
        <is>
          <t>Sveaskog</t>
        </is>
      </c>
      <c r="G354" t="n">
        <v>2.9</v>
      </c>
      <c r="H354" t="n">
        <v>1</v>
      </c>
      <c r="I354" t="n">
        <v>0</v>
      </c>
      <c r="J354" t="n">
        <v>0</v>
      </c>
      <c r="K354" t="n">
        <v>0</v>
      </c>
      <c r="L354" t="n">
        <v>0</v>
      </c>
      <c r="M354" t="n">
        <v>0</v>
      </c>
      <c r="N354" t="n">
        <v>0</v>
      </c>
      <c r="O354" t="n">
        <v>0</v>
      </c>
      <c r="P354" t="n">
        <v>0</v>
      </c>
      <c r="Q354" t="n">
        <v>1</v>
      </c>
      <c r="R354" s="2" t="inlineStr">
        <is>
          <t>Vanlig padda</t>
        </is>
      </c>
      <c r="S354">
        <f>HYPERLINK("https://klasma.github.io/Logging_HULTSFRED/artfynd/A 6325-2019.xlsx")</f>
        <v/>
      </c>
      <c r="T354">
        <f>HYPERLINK("https://klasma.github.io/Logging_HULTSFRED/kartor/A 6325-2019.png")</f>
        <v/>
      </c>
      <c r="V354">
        <f>HYPERLINK("https://klasma.github.io/Logging_HULTSFRED/klagomål/A 6325-2019.docx")</f>
        <v/>
      </c>
      <c r="W354">
        <f>HYPERLINK("https://klasma.github.io/Logging_HULTSFRED/klagomålsmail/A 6325-2019.docx")</f>
        <v/>
      </c>
      <c r="X354">
        <f>HYPERLINK("https://klasma.github.io/Logging_HULTSFRED/tillsyn/A 6325-2019.docx")</f>
        <v/>
      </c>
      <c r="Y354">
        <f>HYPERLINK("https://klasma.github.io/Logging_HULTSFRED/tillsynsmail/A 6325-2019.docx")</f>
        <v/>
      </c>
    </row>
    <row r="355" ht="15" customHeight="1">
      <c r="A355" t="inlineStr">
        <is>
          <t>A 6089-2019</t>
        </is>
      </c>
      <c r="B355" s="1" t="n">
        <v>43493</v>
      </c>
      <c r="C355" s="1" t="n">
        <v>45175</v>
      </c>
      <c r="D355" t="inlineStr">
        <is>
          <t>KALMAR LÄN</t>
        </is>
      </c>
      <c r="E355" t="inlineStr">
        <is>
          <t>MÖRBYLÅNGA</t>
        </is>
      </c>
      <c r="G355" t="n">
        <v>0.8</v>
      </c>
      <c r="H355" t="n">
        <v>1</v>
      </c>
      <c r="I355" t="n">
        <v>0</v>
      </c>
      <c r="J355" t="n">
        <v>0</v>
      </c>
      <c r="K355" t="n">
        <v>0</v>
      </c>
      <c r="L355" t="n">
        <v>0</v>
      </c>
      <c r="M355" t="n">
        <v>0</v>
      </c>
      <c r="N355" t="n">
        <v>0</v>
      </c>
      <c r="O355" t="n">
        <v>0</v>
      </c>
      <c r="P355" t="n">
        <v>0</v>
      </c>
      <c r="Q355" t="n">
        <v>1</v>
      </c>
      <c r="R355" s="2" t="inlineStr">
        <is>
          <t>Johannesnycklar</t>
        </is>
      </c>
      <c r="S355">
        <f>HYPERLINK("https://klasma.github.io/Logging_MORBYLANGA/artfynd/A 6089-2019.xlsx")</f>
        <v/>
      </c>
      <c r="T355">
        <f>HYPERLINK("https://klasma.github.io/Logging_MORBYLANGA/kartor/A 6089-2019.png")</f>
        <v/>
      </c>
      <c r="V355">
        <f>HYPERLINK("https://klasma.github.io/Logging_MORBYLANGA/klagomål/A 6089-2019.docx")</f>
        <v/>
      </c>
      <c r="W355">
        <f>HYPERLINK("https://klasma.github.io/Logging_MORBYLANGA/klagomålsmail/A 6089-2019.docx")</f>
        <v/>
      </c>
      <c r="X355">
        <f>HYPERLINK("https://klasma.github.io/Logging_MORBYLANGA/tillsyn/A 6089-2019.docx")</f>
        <v/>
      </c>
      <c r="Y355">
        <f>HYPERLINK("https://klasma.github.io/Logging_MORBYLANGA/tillsynsmail/A 6089-2019.docx")</f>
        <v/>
      </c>
    </row>
    <row r="356" ht="15" customHeight="1">
      <c r="A356" t="inlineStr">
        <is>
          <t>A 6492-2019</t>
        </is>
      </c>
      <c r="B356" s="1" t="n">
        <v>43494</v>
      </c>
      <c r="C356" s="1" t="n">
        <v>45175</v>
      </c>
      <c r="D356" t="inlineStr">
        <is>
          <t>KALMAR LÄN</t>
        </is>
      </c>
      <c r="E356" t="inlineStr">
        <is>
          <t>TORSÅS</t>
        </is>
      </c>
      <c r="G356" t="n">
        <v>3.7</v>
      </c>
      <c r="H356" t="n">
        <v>1</v>
      </c>
      <c r="I356" t="n">
        <v>0</v>
      </c>
      <c r="J356" t="n">
        <v>1</v>
      </c>
      <c r="K356" t="n">
        <v>0</v>
      </c>
      <c r="L356" t="n">
        <v>0</v>
      </c>
      <c r="M356" t="n">
        <v>0</v>
      </c>
      <c r="N356" t="n">
        <v>0</v>
      </c>
      <c r="O356" t="n">
        <v>1</v>
      </c>
      <c r="P356" t="n">
        <v>0</v>
      </c>
      <c r="Q356" t="n">
        <v>1</v>
      </c>
      <c r="R356" s="2" t="inlineStr">
        <is>
          <t>Långbensgroda</t>
        </is>
      </c>
      <c r="S356">
        <f>HYPERLINK("https://klasma.github.io/Logging_TORSAS/artfynd/A 6492-2019.xlsx")</f>
        <v/>
      </c>
      <c r="T356">
        <f>HYPERLINK("https://klasma.github.io/Logging_TORSAS/kartor/A 6492-2019.png")</f>
        <v/>
      </c>
      <c r="V356">
        <f>HYPERLINK("https://klasma.github.io/Logging_TORSAS/klagomål/A 6492-2019.docx")</f>
        <v/>
      </c>
      <c r="W356">
        <f>HYPERLINK("https://klasma.github.io/Logging_TORSAS/klagomålsmail/A 6492-2019.docx")</f>
        <v/>
      </c>
      <c r="X356">
        <f>HYPERLINK("https://klasma.github.io/Logging_TORSAS/tillsyn/A 6492-2019.docx")</f>
        <v/>
      </c>
      <c r="Y356">
        <f>HYPERLINK("https://klasma.github.io/Logging_TORSAS/tillsynsmail/A 6492-2019.docx")</f>
        <v/>
      </c>
    </row>
    <row r="357" ht="15" customHeight="1">
      <c r="A357" t="inlineStr">
        <is>
          <t>A 9969-2019</t>
        </is>
      </c>
      <c r="B357" s="1" t="n">
        <v>43509</v>
      </c>
      <c r="C357" s="1" t="n">
        <v>45175</v>
      </c>
      <c r="D357" t="inlineStr">
        <is>
          <t>KALMAR LÄN</t>
        </is>
      </c>
      <c r="E357" t="inlineStr">
        <is>
          <t>MÖRBYLÅNGA</t>
        </is>
      </c>
      <c r="G357" t="n">
        <v>1.5</v>
      </c>
      <c r="H357" t="n">
        <v>0</v>
      </c>
      <c r="I357" t="n">
        <v>0</v>
      </c>
      <c r="J357" t="n">
        <v>0</v>
      </c>
      <c r="K357" t="n">
        <v>1</v>
      </c>
      <c r="L357" t="n">
        <v>0</v>
      </c>
      <c r="M357" t="n">
        <v>0</v>
      </c>
      <c r="N357" t="n">
        <v>0</v>
      </c>
      <c r="O357" t="n">
        <v>1</v>
      </c>
      <c r="P357" t="n">
        <v>1</v>
      </c>
      <c r="Q357" t="n">
        <v>1</v>
      </c>
      <c r="R357" s="2" t="inlineStr">
        <is>
          <t>Sammetsmusseron</t>
        </is>
      </c>
      <c r="S357">
        <f>HYPERLINK("https://klasma.github.io/Logging_MORBYLANGA/artfynd/A 9969-2019.xlsx")</f>
        <v/>
      </c>
      <c r="T357">
        <f>HYPERLINK("https://klasma.github.io/Logging_MORBYLANGA/kartor/A 9969-2019.png")</f>
        <v/>
      </c>
      <c r="V357">
        <f>HYPERLINK("https://klasma.github.io/Logging_MORBYLANGA/klagomål/A 9969-2019.docx")</f>
        <v/>
      </c>
      <c r="W357">
        <f>HYPERLINK("https://klasma.github.io/Logging_MORBYLANGA/klagomålsmail/A 9969-2019.docx")</f>
        <v/>
      </c>
      <c r="X357">
        <f>HYPERLINK("https://klasma.github.io/Logging_MORBYLANGA/tillsyn/A 9969-2019.docx")</f>
        <v/>
      </c>
      <c r="Y357">
        <f>HYPERLINK("https://klasma.github.io/Logging_MORBYLANGA/tillsynsmail/A 9969-2019.docx")</f>
        <v/>
      </c>
    </row>
    <row r="358" ht="15" customHeight="1">
      <c r="A358" t="inlineStr">
        <is>
          <t>A 10741-2019</t>
        </is>
      </c>
      <c r="B358" s="1" t="n">
        <v>43514</v>
      </c>
      <c r="C358" s="1" t="n">
        <v>45175</v>
      </c>
      <c r="D358" t="inlineStr">
        <is>
          <t>KALMAR LÄN</t>
        </is>
      </c>
      <c r="E358" t="inlineStr">
        <is>
          <t>VÄSTERVIK</t>
        </is>
      </c>
      <c r="F358" t="inlineStr">
        <is>
          <t>Holmen skog AB</t>
        </is>
      </c>
      <c r="G358" t="n">
        <v>3.3</v>
      </c>
      <c r="H358" t="n">
        <v>0</v>
      </c>
      <c r="I358" t="n">
        <v>0</v>
      </c>
      <c r="J358" t="n">
        <v>1</v>
      </c>
      <c r="K358" t="n">
        <v>0</v>
      </c>
      <c r="L358" t="n">
        <v>0</v>
      </c>
      <c r="M358" t="n">
        <v>0</v>
      </c>
      <c r="N358" t="n">
        <v>0</v>
      </c>
      <c r="O358" t="n">
        <v>1</v>
      </c>
      <c r="P358" t="n">
        <v>0</v>
      </c>
      <c r="Q358" t="n">
        <v>1</v>
      </c>
      <c r="R358" s="2" t="inlineStr">
        <is>
          <t>Tallticka</t>
        </is>
      </c>
      <c r="S358">
        <f>HYPERLINK("https://klasma.github.io/Logging_VASTERVIK/artfynd/A 10741-2019.xlsx")</f>
        <v/>
      </c>
      <c r="T358">
        <f>HYPERLINK("https://klasma.github.io/Logging_VASTERVIK/kartor/A 10741-2019.png")</f>
        <v/>
      </c>
      <c r="U358">
        <f>HYPERLINK("https://klasma.github.io/Logging_VASTERVIK/knärot/A 10741-2019.png")</f>
        <v/>
      </c>
      <c r="V358">
        <f>HYPERLINK("https://klasma.github.io/Logging_VASTERVIK/klagomål/A 10741-2019.docx")</f>
        <v/>
      </c>
      <c r="W358">
        <f>HYPERLINK("https://klasma.github.io/Logging_VASTERVIK/klagomålsmail/A 10741-2019.docx")</f>
        <v/>
      </c>
      <c r="X358">
        <f>HYPERLINK("https://klasma.github.io/Logging_VASTERVIK/tillsyn/A 10741-2019.docx")</f>
        <v/>
      </c>
      <c r="Y358">
        <f>HYPERLINK("https://klasma.github.io/Logging_VASTERVIK/tillsynsmail/A 10741-2019.docx")</f>
        <v/>
      </c>
    </row>
    <row r="359" ht="15" customHeight="1">
      <c r="A359" t="inlineStr">
        <is>
          <t>A 12140-2019</t>
        </is>
      </c>
      <c r="B359" s="1" t="n">
        <v>43521</v>
      </c>
      <c r="C359" s="1" t="n">
        <v>45175</v>
      </c>
      <c r="D359" t="inlineStr">
        <is>
          <t>KALMAR LÄN</t>
        </is>
      </c>
      <c r="E359" t="inlineStr">
        <is>
          <t>NYBRO</t>
        </is>
      </c>
      <c r="G359" t="n">
        <v>20.9</v>
      </c>
      <c r="H359" t="n">
        <v>0</v>
      </c>
      <c r="I359" t="n">
        <v>0</v>
      </c>
      <c r="J359" t="n">
        <v>0</v>
      </c>
      <c r="K359" t="n">
        <v>1</v>
      </c>
      <c r="L359" t="n">
        <v>0</v>
      </c>
      <c r="M359" t="n">
        <v>0</v>
      </c>
      <c r="N359" t="n">
        <v>0</v>
      </c>
      <c r="O359" t="n">
        <v>1</v>
      </c>
      <c r="P359" t="n">
        <v>1</v>
      </c>
      <c r="Q359" t="n">
        <v>1</v>
      </c>
      <c r="R359" s="2" t="inlineStr">
        <is>
          <t>Hjärtstilla</t>
        </is>
      </c>
      <c r="S359">
        <f>HYPERLINK("https://klasma.github.io/Logging_NYBRO/artfynd/A 12140-2019.xlsx")</f>
        <v/>
      </c>
      <c r="T359">
        <f>HYPERLINK("https://klasma.github.io/Logging_NYBRO/kartor/A 12140-2019.png")</f>
        <v/>
      </c>
      <c r="V359">
        <f>HYPERLINK("https://klasma.github.io/Logging_NYBRO/klagomål/A 12140-2019.docx")</f>
        <v/>
      </c>
      <c r="W359">
        <f>HYPERLINK("https://klasma.github.io/Logging_NYBRO/klagomålsmail/A 12140-2019.docx")</f>
        <v/>
      </c>
      <c r="X359">
        <f>HYPERLINK("https://klasma.github.io/Logging_NYBRO/tillsyn/A 12140-2019.docx")</f>
        <v/>
      </c>
      <c r="Y359">
        <f>HYPERLINK("https://klasma.github.io/Logging_NYBRO/tillsynsmail/A 12140-2019.docx")</f>
        <v/>
      </c>
    </row>
    <row r="360" ht="15" customHeight="1">
      <c r="A360" t="inlineStr">
        <is>
          <t>A 13362-2019</t>
        </is>
      </c>
      <c r="B360" s="1" t="n">
        <v>43529</v>
      </c>
      <c r="C360" s="1" t="n">
        <v>45175</v>
      </c>
      <c r="D360" t="inlineStr">
        <is>
          <t>KALMAR LÄN</t>
        </is>
      </c>
      <c r="E360" t="inlineStr">
        <is>
          <t>HÖGSBY</t>
        </is>
      </c>
      <c r="G360" t="n">
        <v>5.7</v>
      </c>
      <c r="H360" t="n">
        <v>1</v>
      </c>
      <c r="I360" t="n">
        <v>0</v>
      </c>
      <c r="J360" t="n">
        <v>0</v>
      </c>
      <c r="K360" t="n">
        <v>0</v>
      </c>
      <c r="L360" t="n">
        <v>0</v>
      </c>
      <c r="M360" t="n">
        <v>0</v>
      </c>
      <c r="N360" t="n">
        <v>0</v>
      </c>
      <c r="O360" t="n">
        <v>0</v>
      </c>
      <c r="P360" t="n">
        <v>0</v>
      </c>
      <c r="Q360" t="n">
        <v>1</v>
      </c>
      <c r="R360" s="2" t="inlineStr">
        <is>
          <t>Blåsippa</t>
        </is>
      </c>
      <c r="S360">
        <f>HYPERLINK("https://klasma.github.io/Logging_HOGSBY/artfynd/A 13362-2019.xlsx")</f>
        <v/>
      </c>
      <c r="T360">
        <f>HYPERLINK("https://klasma.github.io/Logging_HOGSBY/kartor/A 13362-2019.png")</f>
        <v/>
      </c>
      <c r="V360">
        <f>HYPERLINK("https://klasma.github.io/Logging_HOGSBY/klagomål/A 13362-2019.docx")</f>
        <v/>
      </c>
      <c r="W360">
        <f>HYPERLINK("https://klasma.github.io/Logging_HOGSBY/klagomålsmail/A 13362-2019.docx")</f>
        <v/>
      </c>
      <c r="X360">
        <f>HYPERLINK("https://klasma.github.io/Logging_HOGSBY/tillsyn/A 13362-2019.docx")</f>
        <v/>
      </c>
      <c r="Y360">
        <f>HYPERLINK("https://klasma.github.io/Logging_HOGSBY/tillsynsmail/A 13362-2019.docx")</f>
        <v/>
      </c>
    </row>
    <row r="361" ht="15" customHeight="1">
      <c r="A361" t="inlineStr">
        <is>
          <t>A 13783-2019</t>
        </is>
      </c>
      <c r="B361" s="1" t="n">
        <v>43531</v>
      </c>
      <c r="C361" s="1" t="n">
        <v>45175</v>
      </c>
      <c r="D361" t="inlineStr">
        <is>
          <t>KALMAR LÄN</t>
        </is>
      </c>
      <c r="E361" t="inlineStr">
        <is>
          <t>KALMAR</t>
        </is>
      </c>
      <c r="G361" t="n">
        <v>1.7</v>
      </c>
      <c r="H361" t="n">
        <v>1</v>
      </c>
      <c r="I361" t="n">
        <v>0</v>
      </c>
      <c r="J361" t="n">
        <v>0</v>
      </c>
      <c r="K361" t="n">
        <v>0</v>
      </c>
      <c r="L361" t="n">
        <v>0</v>
      </c>
      <c r="M361" t="n">
        <v>0</v>
      </c>
      <c r="N361" t="n">
        <v>0</v>
      </c>
      <c r="O361" t="n">
        <v>0</v>
      </c>
      <c r="P361" t="n">
        <v>0</v>
      </c>
      <c r="Q361" t="n">
        <v>1</v>
      </c>
      <c r="R361" s="2" t="inlineStr">
        <is>
          <t>Blåsippa</t>
        </is>
      </c>
      <c r="S361">
        <f>HYPERLINK("https://klasma.github.io/Logging_KALMAR/artfynd/A 13783-2019.xlsx")</f>
        <v/>
      </c>
      <c r="T361">
        <f>HYPERLINK("https://klasma.github.io/Logging_KALMAR/kartor/A 13783-2019.png")</f>
        <v/>
      </c>
      <c r="V361">
        <f>HYPERLINK("https://klasma.github.io/Logging_KALMAR/klagomål/A 13783-2019.docx")</f>
        <v/>
      </c>
      <c r="W361">
        <f>HYPERLINK("https://klasma.github.io/Logging_KALMAR/klagomålsmail/A 13783-2019.docx")</f>
        <v/>
      </c>
      <c r="X361">
        <f>HYPERLINK("https://klasma.github.io/Logging_KALMAR/tillsyn/A 13783-2019.docx")</f>
        <v/>
      </c>
      <c r="Y361">
        <f>HYPERLINK("https://klasma.github.io/Logging_KALMAR/tillsynsmail/A 13783-2019.docx")</f>
        <v/>
      </c>
    </row>
    <row r="362" ht="15" customHeight="1">
      <c r="A362" t="inlineStr">
        <is>
          <t>A 15043-2019</t>
        </is>
      </c>
      <c r="B362" s="1" t="n">
        <v>43538</v>
      </c>
      <c r="C362" s="1" t="n">
        <v>45175</v>
      </c>
      <c r="D362" t="inlineStr">
        <is>
          <t>KALMAR LÄN</t>
        </is>
      </c>
      <c r="E362" t="inlineStr">
        <is>
          <t>VÄSTERVIK</t>
        </is>
      </c>
      <c r="G362" t="n">
        <v>10.2</v>
      </c>
      <c r="H362" t="n">
        <v>0</v>
      </c>
      <c r="I362" t="n">
        <v>0</v>
      </c>
      <c r="J362" t="n">
        <v>0</v>
      </c>
      <c r="K362" t="n">
        <v>1</v>
      </c>
      <c r="L362" t="n">
        <v>0</v>
      </c>
      <c r="M362" t="n">
        <v>0</v>
      </c>
      <c r="N362" t="n">
        <v>0</v>
      </c>
      <c r="O362" t="n">
        <v>1</v>
      </c>
      <c r="P362" t="n">
        <v>1</v>
      </c>
      <c r="Q362" t="n">
        <v>1</v>
      </c>
      <c r="R362" s="2" t="inlineStr">
        <is>
          <t>Slåttergubbe</t>
        </is>
      </c>
      <c r="S362">
        <f>HYPERLINK("https://klasma.github.io/Logging_VASTERVIK/artfynd/A 15043-2019.xlsx")</f>
        <v/>
      </c>
      <c r="T362">
        <f>HYPERLINK("https://klasma.github.io/Logging_VASTERVIK/kartor/A 15043-2019.png")</f>
        <v/>
      </c>
      <c r="V362">
        <f>HYPERLINK("https://klasma.github.io/Logging_VASTERVIK/klagomål/A 15043-2019.docx")</f>
        <v/>
      </c>
      <c r="W362">
        <f>HYPERLINK("https://klasma.github.io/Logging_VASTERVIK/klagomålsmail/A 15043-2019.docx")</f>
        <v/>
      </c>
      <c r="X362">
        <f>HYPERLINK("https://klasma.github.io/Logging_VASTERVIK/tillsyn/A 15043-2019.docx")</f>
        <v/>
      </c>
      <c r="Y362">
        <f>HYPERLINK("https://klasma.github.io/Logging_VASTERVIK/tillsynsmail/A 15043-2019.docx")</f>
        <v/>
      </c>
    </row>
    <row r="363" ht="15" customHeight="1">
      <c r="A363" t="inlineStr">
        <is>
          <t>A 16334-2019</t>
        </is>
      </c>
      <c r="B363" s="1" t="n">
        <v>43545</v>
      </c>
      <c r="C363" s="1" t="n">
        <v>45175</v>
      </c>
      <c r="D363" t="inlineStr">
        <is>
          <t>KALMAR LÄN</t>
        </is>
      </c>
      <c r="E363" t="inlineStr">
        <is>
          <t>NYBRO</t>
        </is>
      </c>
      <c r="G363" t="n">
        <v>6</v>
      </c>
      <c r="H363" t="n">
        <v>0</v>
      </c>
      <c r="I363" t="n">
        <v>1</v>
      </c>
      <c r="J363" t="n">
        <v>0</v>
      </c>
      <c r="K363" t="n">
        <v>0</v>
      </c>
      <c r="L363" t="n">
        <v>0</v>
      </c>
      <c r="M363" t="n">
        <v>0</v>
      </c>
      <c r="N363" t="n">
        <v>0</v>
      </c>
      <c r="O363" t="n">
        <v>0</v>
      </c>
      <c r="P363" t="n">
        <v>0</v>
      </c>
      <c r="Q363" t="n">
        <v>1</v>
      </c>
      <c r="R363" s="2" t="inlineStr">
        <is>
          <t>Vätteros</t>
        </is>
      </c>
      <c r="S363">
        <f>HYPERLINK("https://klasma.github.io/Logging_NYBRO/artfynd/A 16334-2019.xlsx")</f>
        <v/>
      </c>
      <c r="T363">
        <f>HYPERLINK("https://klasma.github.io/Logging_NYBRO/kartor/A 16334-2019.png")</f>
        <v/>
      </c>
      <c r="V363">
        <f>HYPERLINK("https://klasma.github.io/Logging_NYBRO/klagomål/A 16334-2019.docx")</f>
        <v/>
      </c>
      <c r="W363">
        <f>HYPERLINK("https://klasma.github.io/Logging_NYBRO/klagomålsmail/A 16334-2019.docx")</f>
        <v/>
      </c>
      <c r="X363">
        <f>HYPERLINK("https://klasma.github.io/Logging_NYBRO/tillsyn/A 16334-2019.docx")</f>
        <v/>
      </c>
      <c r="Y363">
        <f>HYPERLINK("https://klasma.github.io/Logging_NYBRO/tillsynsmail/A 16334-2019.docx")</f>
        <v/>
      </c>
    </row>
    <row r="364" ht="15" customHeight="1">
      <c r="A364" t="inlineStr">
        <is>
          <t>A 16332-2019</t>
        </is>
      </c>
      <c r="B364" s="1" t="n">
        <v>43545</v>
      </c>
      <c r="C364" s="1" t="n">
        <v>45175</v>
      </c>
      <c r="D364" t="inlineStr">
        <is>
          <t>KALMAR LÄN</t>
        </is>
      </c>
      <c r="E364" t="inlineStr">
        <is>
          <t>HULTSFRED</t>
        </is>
      </c>
      <c r="G364" t="n">
        <v>3.2</v>
      </c>
      <c r="H364" t="n">
        <v>0</v>
      </c>
      <c r="I364" t="n">
        <v>0</v>
      </c>
      <c r="J364" t="n">
        <v>1</v>
      </c>
      <c r="K364" t="n">
        <v>0</v>
      </c>
      <c r="L364" t="n">
        <v>0</v>
      </c>
      <c r="M364" t="n">
        <v>0</v>
      </c>
      <c r="N364" t="n">
        <v>0</v>
      </c>
      <c r="O364" t="n">
        <v>1</v>
      </c>
      <c r="P364" t="n">
        <v>0</v>
      </c>
      <c r="Q364" t="n">
        <v>1</v>
      </c>
      <c r="R364" s="2" t="inlineStr">
        <is>
          <t>Svinrot</t>
        </is>
      </c>
      <c r="S364">
        <f>HYPERLINK("https://klasma.github.io/Logging_HULTSFRED/artfynd/A 16332-2019.xlsx")</f>
        <v/>
      </c>
      <c r="T364">
        <f>HYPERLINK("https://klasma.github.io/Logging_HULTSFRED/kartor/A 16332-2019.png")</f>
        <v/>
      </c>
      <c r="V364">
        <f>HYPERLINK("https://klasma.github.io/Logging_HULTSFRED/klagomål/A 16332-2019.docx")</f>
        <v/>
      </c>
      <c r="W364">
        <f>HYPERLINK("https://klasma.github.io/Logging_HULTSFRED/klagomålsmail/A 16332-2019.docx")</f>
        <v/>
      </c>
      <c r="X364">
        <f>HYPERLINK("https://klasma.github.io/Logging_HULTSFRED/tillsyn/A 16332-2019.docx")</f>
        <v/>
      </c>
      <c r="Y364">
        <f>HYPERLINK("https://klasma.github.io/Logging_HULTSFRED/tillsynsmail/A 16332-2019.docx")</f>
        <v/>
      </c>
    </row>
    <row r="365" ht="15" customHeight="1">
      <c r="A365" t="inlineStr">
        <is>
          <t>A 17819-2019</t>
        </is>
      </c>
      <c r="B365" s="1" t="n">
        <v>43556</v>
      </c>
      <c r="C365" s="1" t="n">
        <v>45175</v>
      </c>
      <c r="D365" t="inlineStr">
        <is>
          <t>KALMAR LÄN</t>
        </is>
      </c>
      <c r="E365" t="inlineStr">
        <is>
          <t>NYBRO</t>
        </is>
      </c>
      <c r="G365" t="n">
        <v>3.8</v>
      </c>
      <c r="H365" t="n">
        <v>0</v>
      </c>
      <c r="I365" t="n">
        <v>1</v>
      </c>
      <c r="J365" t="n">
        <v>0</v>
      </c>
      <c r="K365" t="n">
        <v>0</v>
      </c>
      <c r="L365" t="n">
        <v>0</v>
      </c>
      <c r="M365" t="n">
        <v>0</v>
      </c>
      <c r="N365" t="n">
        <v>0</v>
      </c>
      <c r="O365" t="n">
        <v>0</v>
      </c>
      <c r="P365" t="n">
        <v>0</v>
      </c>
      <c r="Q365" t="n">
        <v>1</v>
      </c>
      <c r="R365" s="2" t="inlineStr">
        <is>
          <t>Sårläka</t>
        </is>
      </c>
      <c r="S365">
        <f>HYPERLINK("https://klasma.github.io/Logging_NYBRO/artfynd/A 17819-2019.xlsx")</f>
        <v/>
      </c>
      <c r="T365">
        <f>HYPERLINK("https://klasma.github.io/Logging_NYBRO/kartor/A 17819-2019.png")</f>
        <v/>
      </c>
      <c r="V365">
        <f>HYPERLINK("https://klasma.github.io/Logging_NYBRO/klagomål/A 17819-2019.docx")</f>
        <v/>
      </c>
      <c r="W365">
        <f>HYPERLINK("https://klasma.github.io/Logging_NYBRO/klagomålsmail/A 17819-2019.docx")</f>
        <v/>
      </c>
      <c r="X365">
        <f>HYPERLINK("https://klasma.github.io/Logging_NYBRO/tillsyn/A 17819-2019.docx")</f>
        <v/>
      </c>
      <c r="Y365">
        <f>HYPERLINK("https://klasma.github.io/Logging_NYBRO/tillsynsmail/A 17819-2019.docx")</f>
        <v/>
      </c>
    </row>
    <row r="366" ht="15" customHeight="1">
      <c r="A366" t="inlineStr">
        <is>
          <t>A 18650-2019</t>
        </is>
      </c>
      <c r="B366" s="1" t="n">
        <v>43559</v>
      </c>
      <c r="C366" s="1" t="n">
        <v>45175</v>
      </c>
      <c r="D366" t="inlineStr">
        <is>
          <t>KALMAR LÄN</t>
        </is>
      </c>
      <c r="E366" t="inlineStr">
        <is>
          <t>NYBRO</t>
        </is>
      </c>
      <c r="G366" t="n">
        <v>4.2</v>
      </c>
      <c r="H366" t="n">
        <v>0</v>
      </c>
      <c r="I366" t="n">
        <v>1</v>
      </c>
      <c r="J366" t="n">
        <v>0</v>
      </c>
      <c r="K366" t="n">
        <v>0</v>
      </c>
      <c r="L366" t="n">
        <v>0</v>
      </c>
      <c r="M366" t="n">
        <v>0</v>
      </c>
      <c r="N366" t="n">
        <v>0</v>
      </c>
      <c r="O366" t="n">
        <v>0</v>
      </c>
      <c r="P366" t="n">
        <v>0</v>
      </c>
      <c r="Q366" t="n">
        <v>1</v>
      </c>
      <c r="R366" s="2" t="inlineStr">
        <is>
          <t>Blåmossa</t>
        </is>
      </c>
      <c r="S366">
        <f>HYPERLINK("https://klasma.github.io/Logging_NYBRO/artfynd/A 18650-2019.xlsx")</f>
        <v/>
      </c>
      <c r="T366">
        <f>HYPERLINK("https://klasma.github.io/Logging_NYBRO/kartor/A 18650-2019.png")</f>
        <v/>
      </c>
      <c r="V366">
        <f>HYPERLINK("https://klasma.github.io/Logging_NYBRO/klagomål/A 18650-2019.docx")</f>
        <v/>
      </c>
      <c r="W366">
        <f>HYPERLINK("https://klasma.github.io/Logging_NYBRO/klagomålsmail/A 18650-2019.docx")</f>
        <v/>
      </c>
      <c r="X366">
        <f>HYPERLINK("https://klasma.github.io/Logging_NYBRO/tillsyn/A 18650-2019.docx")</f>
        <v/>
      </c>
      <c r="Y366">
        <f>HYPERLINK("https://klasma.github.io/Logging_NYBRO/tillsynsmail/A 18650-2019.docx")</f>
        <v/>
      </c>
    </row>
    <row r="367" ht="15" customHeight="1">
      <c r="A367" t="inlineStr">
        <is>
          <t>A 19055-2019</t>
        </is>
      </c>
      <c r="B367" s="1" t="n">
        <v>43563</v>
      </c>
      <c r="C367" s="1" t="n">
        <v>45175</v>
      </c>
      <c r="D367" t="inlineStr">
        <is>
          <t>KALMAR LÄN</t>
        </is>
      </c>
      <c r="E367" t="inlineStr">
        <is>
          <t>VIMMERBY</t>
        </is>
      </c>
      <c r="G367" t="n">
        <v>1</v>
      </c>
      <c r="H367" t="n">
        <v>1</v>
      </c>
      <c r="I367" t="n">
        <v>1</v>
      </c>
      <c r="J367" t="n">
        <v>0</v>
      </c>
      <c r="K367" t="n">
        <v>0</v>
      </c>
      <c r="L367" t="n">
        <v>0</v>
      </c>
      <c r="M367" t="n">
        <v>0</v>
      </c>
      <c r="N367" t="n">
        <v>0</v>
      </c>
      <c r="O367" t="n">
        <v>0</v>
      </c>
      <c r="P367" t="n">
        <v>0</v>
      </c>
      <c r="Q367" t="n">
        <v>1</v>
      </c>
      <c r="R367" s="2" t="inlineStr">
        <is>
          <t>Korallrot</t>
        </is>
      </c>
      <c r="S367">
        <f>HYPERLINK("https://klasma.github.io/Logging_VIMMERBY/artfynd/A 19055-2019.xlsx")</f>
        <v/>
      </c>
      <c r="T367">
        <f>HYPERLINK("https://klasma.github.io/Logging_VIMMERBY/kartor/A 19055-2019.png")</f>
        <v/>
      </c>
      <c r="V367">
        <f>HYPERLINK("https://klasma.github.io/Logging_VIMMERBY/klagomål/A 19055-2019.docx")</f>
        <v/>
      </c>
      <c r="W367">
        <f>HYPERLINK("https://klasma.github.io/Logging_VIMMERBY/klagomålsmail/A 19055-2019.docx")</f>
        <v/>
      </c>
      <c r="X367">
        <f>HYPERLINK("https://klasma.github.io/Logging_VIMMERBY/tillsyn/A 19055-2019.docx")</f>
        <v/>
      </c>
      <c r="Y367">
        <f>HYPERLINK("https://klasma.github.io/Logging_VIMMERBY/tillsynsmail/A 19055-2019.docx")</f>
        <v/>
      </c>
    </row>
    <row r="368" ht="15" customHeight="1">
      <c r="A368" t="inlineStr">
        <is>
          <t>A 20046-2019</t>
        </is>
      </c>
      <c r="B368" s="1" t="n">
        <v>43570</v>
      </c>
      <c r="C368" s="1" t="n">
        <v>45175</v>
      </c>
      <c r="D368" t="inlineStr">
        <is>
          <t>KALMAR LÄN</t>
        </is>
      </c>
      <c r="E368" t="inlineStr">
        <is>
          <t>NYBRO</t>
        </is>
      </c>
      <c r="G368" t="n">
        <v>3.3</v>
      </c>
      <c r="H368" t="n">
        <v>0</v>
      </c>
      <c r="I368" t="n">
        <v>0</v>
      </c>
      <c r="J368" t="n">
        <v>1</v>
      </c>
      <c r="K368" t="n">
        <v>0</v>
      </c>
      <c r="L368" t="n">
        <v>0</v>
      </c>
      <c r="M368" t="n">
        <v>0</v>
      </c>
      <c r="N368" t="n">
        <v>0</v>
      </c>
      <c r="O368" t="n">
        <v>1</v>
      </c>
      <c r="P368" t="n">
        <v>0</v>
      </c>
      <c r="Q368" t="n">
        <v>1</v>
      </c>
      <c r="R368" s="2" t="inlineStr">
        <is>
          <t>Solvända</t>
        </is>
      </c>
      <c r="S368">
        <f>HYPERLINK("https://klasma.github.io/Logging_NYBRO/artfynd/A 20046-2019.xlsx")</f>
        <v/>
      </c>
      <c r="T368">
        <f>HYPERLINK("https://klasma.github.io/Logging_NYBRO/kartor/A 20046-2019.png")</f>
        <v/>
      </c>
      <c r="V368">
        <f>HYPERLINK("https://klasma.github.io/Logging_NYBRO/klagomål/A 20046-2019.docx")</f>
        <v/>
      </c>
      <c r="W368">
        <f>HYPERLINK("https://klasma.github.io/Logging_NYBRO/klagomålsmail/A 20046-2019.docx")</f>
        <v/>
      </c>
      <c r="X368">
        <f>HYPERLINK("https://klasma.github.io/Logging_NYBRO/tillsyn/A 20046-2019.docx")</f>
        <v/>
      </c>
      <c r="Y368">
        <f>HYPERLINK("https://klasma.github.io/Logging_NYBRO/tillsynsmail/A 20046-2019.docx")</f>
        <v/>
      </c>
    </row>
    <row r="369" ht="15" customHeight="1">
      <c r="A369" t="inlineStr">
        <is>
          <t>A 21100-2019</t>
        </is>
      </c>
      <c r="B369" s="1" t="n">
        <v>43578</v>
      </c>
      <c r="C369" s="1" t="n">
        <v>45175</v>
      </c>
      <c r="D369" t="inlineStr">
        <is>
          <t>KALMAR LÄN</t>
        </is>
      </c>
      <c r="E369" t="inlineStr">
        <is>
          <t>HÖGSBY</t>
        </is>
      </c>
      <c r="G369" t="n">
        <v>7.3</v>
      </c>
      <c r="H369" t="n">
        <v>1</v>
      </c>
      <c r="I369" t="n">
        <v>0</v>
      </c>
      <c r="J369" t="n">
        <v>0</v>
      </c>
      <c r="K369" t="n">
        <v>0</v>
      </c>
      <c r="L369" t="n">
        <v>0</v>
      </c>
      <c r="M369" t="n">
        <v>0</v>
      </c>
      <c r="N369" t="n">
        <v>0</v>
      </c>
      <c r="O369" t="n">
        <v>0</v>
      </c>
      <c r="P369" t="n">
        <v>0</v>
      </c>
      <c r="Q369" t="n">
        <v>1</v>
      </c>
      <c r="R369" s="2" t="inlineStr">
        <is>
          <t>Blåsippa</t>
        </is>
      </c>
      <c r="S369">
        <f>HYPERLINK("https://klasma.github.io/Logging_HOGSBY/artfynd/A 21100-2019.xlsx")</f>
        <v/>
      </c>
      <c r="T369">
        <f>HYPERLINK("https://klasma.github.io/Logging_HOGSBY/kartor/A 21100-2019.png")</f>
        <v/>
      </c>
      <c r="V369">
        <f>HYPERLINK("https://klasma.github.io/Logging_HOGSBY/klagomål/A 21100-2019.docx")</f>
        <v/>
      </c>
      <c r="W369">
        <f>HYPERLINK("https://klasma.github.io/Logging_HOGSBY/klagomålsmail/A 21100-2019.docx")</f>
        <v/>
      </c>
      <c r="X369">
        <f>HYPERLINK("https://klasma.github.io/Logging_HOGSBY/tillsyn/A 21100-2019.docx")</f>
        <v/>
      </c>
      <c r="Y369">
        <f>HYPERLINK("https://klasma.github.io/Logging_HOGSBY/tillsynsmail/A 21100-2019.docx")</f>
        <v/>
      </c>
    </row>
    <row r="370" ht="15" customHeight="1">
      <c r="A370" t="inlineStr">
        <is>
          <t>A 21143-2019</t>
        </is>
      </c>
      <c r="B370" s="1" t="n">
        <v>43579</v>
      </c>
      <c r="C370" s="1" t="n">
        <v>45175</v>
      </c>
      <c r="D370" t="inlineStr">
        <is>
          <t>KALMAR LÄN</t>
        </is>
      </c>
      <c r="E370" t="inlineStr">
        <is>
          <t>TORSÅS</t>
        </is>
      </c>
      <c r="G370" t="n">
        <v>2</v>
      </c>
      <c r="H370" t="n">
        <v>1</v>
      </c>
      <c r="I370" t="n">
        <v>0</v>
      </c>
      <c r="J370" t="n">
        <v>0</v>
      </c>
      <c r="K370" t="n">
        <v>0</v>
      </c>
      <c r="L370" t="n">
        <v>0</v>
      </c>
      <c r="M370" t="n">
        <v>0</v>
      </c>
      <c r="N370" t="n">
        <v>0</v>
      </c>
      <c r="O370" t="n">
        <v>0</v>
      </c>
      <c r="P370" t="n">
        <v>0</v>
      </c>
      <c r="Q370" t="n">
        <v>1</v>
      </c>
      <c r="R370" s="2" t="inlineStr">
        <is>
          <t>Mattlummer</t>
        </is>
      </c>
      <c r="S370">
        <f>HYPERLINK("https://klasma.github.io/Logging_TORSAS/artfynd/A 21143-2019.xlsx")</f>
        <v/>
      </c>
      <c r="T370">
        <f>HYPERLINK("https://klasma.github.io/Logging_TORSAS/kartor/A 21143-2019.png")</f>
        <v/>
      </c>
      <c r="V370">
        <f>HYPERLINK("https://klasma.github.io/Logging_TORSAS/klagomål/A 21143-2019.docx")</f>
        <v/>
      </c>
      <c r="W370">
        <f>HYPERLINK("https://klasma.github.io/Logging_TORSAS/klagomålsmail/A 21143-2019.docx")</f>
        <v/>
      </c>
      <c r="X370">
        <f>HYPERLINK("https://klasma.github.io/Logging_TORSAS/tillsyn/A 21143-2019.docx")</f>
        <v/>
      </c>
      <c r="Y370">
        <f>HYPERLINK("https://klasma.github.io/Logging_TORSAS/tillsynsmail/A 21143-2019.docx")</f>
        <v/>
      </c>
    </row>
    <row r="371" ht="15" customHeight="1">
      <c r="A371" t="inlineStr">
        <is>
          <t>A 21406-2019</t>
        </is>
      </c>
      <c r="B371" s="1" t="n">
        <v>43580</v>
      </c>
      <c r="C371" s="1" t="n">
        <v>45175</v>
      </c>
      <c r="D371" t="inlineStr">
        <is>
          <t>KALMAR LÄN</t>
        </is>
      </c>
      <c r="E371" t="inlineStr">
        <is>
          <t>NYBRO</t>
        </is>
      </c>
      <c r="G371" t="n">
        <v>0.7</v>
      </c>
      <c r="H371" t="n">
        <v>0</v>
      </c>
      <c r="I371" t="n">
        <v>0</v>
      </c>
      <c r="J371" t="n">
        <v>1</v>
      </c>
      <c r="K371" t="n">
        <v>0</v>
      </c>
      <c r="L371" t="n">
        <v>0</v>
      </c>
      <c r="M371" t="n">
        <v>0</v>
      </c>
      <c r="N371" t="n">
        <v>0</v>
      </c>
      <c r="O371" t="n">
        <v>1</v>
      </c>
      <c r="P371" t="n">
        <v>0</v>
      </c>
      <c r="Q371" t="n">
        <v>1</v>
      </c>
      <c r="R371" s="2" t="inlineStr">
        <is>
          <t>Slåtterfibbla</t>
        </is>
      </c>
      <c r="S371">
        <f>HYPERLINK("https://klasma.github.io/Logging_NYBRO/artfynd/A 21406-2019.xlsx")</f>
        <v/>
      </c>
      <c r="T371">
        <f>HYPERLINK("https://klasma.github.io/Logging_NYBRO/kartor/A 21406-2019.png")</f>
        <v/>
      </c>
      <c r="V371">
        <f>HYPERLINK("https://klasma.github.io/Logging_NYBRO/klagomål/A 21406-2019.docx")</f>
        <v/>
      </c>
      <c r="W371">
        <f>HYPERLINK("https://klasma.github.io/Logging_NYBRO/klagomålsmail/A 21406-2019.docx")</f>
        <v/>
      </c>
      <c r="X371">
        <f>HYPERLINK("https://klasma.github.io/Logging_NYBRO/tillsyn/A 21406-2019.docx")</f>
        <v/>
      </c>
      <c r="Y371">
        <f>HYPERLINK("https://klasma.github.io/Logging_NYBRO/tillsynsmail/A 21406-2019.docx")</f>
        <v/>
      </c>
    </row>
    <row r="372" ht="15" customHeight="1">
      <c r="A372" t="inlineStr">
        <is>
          <t>A 22903-2019</t>
        </is>
      </c>
      <c r="B372" s="1" t="n">
        <v>43591</v>
      </c>
      <c r="C372" s="1" t="n">
        <v>45175</v>
      </c>
      <c r="D372" t="inlineStr">
        <is>
          <t>KALMAR LÄN</t>
        </is>
      </c>
      <c r="E372" t="inlineStr">
        <is>
          <t>HULTSFRED</t>
        </is>
      </c>
      <c r="G372" t="n">
        <v>3.5</v>
      </c>
      <c r="H372" t="n">
        <v>1</v>
      </c>
      <c r="I372" t="n">
        <v>0</v>
      </c>
      <c r="J372" t="n">
        <v>0</v>
      </c>
      <c r="K372" t="n">
        <v>1</v>
      </c>
      <c r="L372" t="n">
        <v>0</v>
      </c>
      <c r="M372" t="n">
        <v>0</v>
      </c>
      <c r="N372" t="n">
        <v>0</v>
      </c>
      <c r="O372" t="n">
        <v>1</v>
      </c>
      <c r="P372" t="n">
        <v>1</v>
      </c>
      <c r="Q372" t="n">
        <v>1</v>
      </c>
      <c r="R372" s="2" t="inlineStr">
        <is>
          <t>Knärot</t>
        </is>
      </c>
      <c r="S372">
        <f>HYPERLINK("https://klasma.github.io/Logging_HULTSFRED/artfynd/A 22903-2019.xlsx")</f>
        <v/>
      </c>
      <c r="T372">
        <f>HYPERLINK("https://klasma.github.io/Logging_HULTSFRED/kartor/A 22903-2019.png")</f>
        <v/>
      </c>
      <c r="U372">
        <f>HYPERLINK("https://klasma.github.io/Logging_HULTSFRED/knärot/A 22903-2019.png")</f>
        <v/>
      </c>
      <c r="V372">
        <f>HYPERLINK("https://klasma.github.io/Logging_HULTSFRED/klagomål/A 22903-2019.docx")</f>
        <v/>
      </c>
      <c r="W372">
        <f>HYPERLINK("https://klasma.github.io/Logging_HULTSFRED/klagomålsmail/A 22903-2019.docx")</f>
        <v/>
      </c>
      <c r="X372">
        <f>HYPERLINK("https://klasma.github.io/Logging_HULTSFRED/tillsyn/A 22903-2019.docx")</f>
        <v/>
      </c>
      <c r="Y372">
        <f>HYPERLINK("https://klasma.github.io/Logging_HULTSFRED/tillsynsmail/A 22903-2019.docx")</f>
        <v/>
      </c>
    </row>
    <row r="373" ht="15" customHeight="1">
      <c r="A373" t="inlineStr">
        <is>
          <t>A 23194-2019</t>
        </is>
      </c>
      <c r="B373" s="1" t="n">
        <v>43592</v>
      </c>
      <c r="C373" s="1" t="n">
        <v>45175</v>
      </c>
      <c r="D373" t="inlineStr">
        <is>
          <t>KALMAR LÄN</t>
        </is>
      </c>
      <c r="E373" t="inlineStr">
        <is>
          <t>BORGHOLM</t>
        </is>
      </c>
      <c r="G373" t="n">
        <v>1.6</v>
      </c>
      <c r="H373" t="n">
        <v>1</v>
      </c>
      <c r="I373" t="n">
        <v>0</v>
      </c>
      <c r="J373" t="n">
        <v>0</v>
      </c>
      <c r="K373" t="n">
        <v>0</v>
      </c>
      <c r="L373" t="n">
        <v>0</v>
      </c>
      <c r="M373" t="n">
        <v>0</v>
      </c>
      <c r="N373" t="n">
        <v>0</v>
      </c>
      <c r="O373" t="n">
        <v>0</v>
      </c>
      <c r="P373" t="n">
        <v>0</v>
      </c>
      <c r="Q373" t="n">
        <v>1</v>
      </c>
      <c r="R373" s="2" t="inlineStr">
        <is>
          <t>Blåsippa</t>
        </is>
      </c>
      <c r="S373">
        <f>HYPERLINK("https://klasma.github.io/Logging_BORGHOLM/artfynd/A 23194-2019.xlsx")</f>
        <v/>
      </c>
      <c r="T373">
        <f>HYPERLINK("https://klasma.github.io/Logging_BORGHOLM/kartor/A 23194-2019.png")</f>
        <v/>
      </c>
      <c r="V373">
        <f>HYPERLINK("https://klasma.github.io/Logging_BORGHOLM/klagomål/A 23194-2019.docx")</f>
        <v/>
      </c>
      <c r="W373">
        <f>HYPERLINK("https://klasma.github.io/Logging_BORGHOLM/klagomålsmail/A 23194-2019.docx")</f>
        <v/>
      </c>
      <c r="X373">
        <f>HYPERLINK("https://klasma.github.io/Logging_BORGHOLM/tillsyn/A 23194-2019.docx")</f>
        <v/>
      </c>
      <c r="Y373">
        <f>HYPERLINK("https://klasma.github.io/Logging_BORGHOLM/tillsynsmail/A 23194-2019.docx")</f>
        <v/>
      </c>
    </row>
    <row r="374" ht="15" customHeight="1">
      <c r="A374" t="inlineStr">
        <is>
          <t>A 25168-2019</t>
        </is>
      </c>
      <c r="B374" s="1" t="n">
        <v>43605</v>
      </c>
      <c r="C374" s="1" t="n">
        <v>45175</v>
      </c>
      <c r="D374" t="inlineStr">
        <is>
          <t>KALMAR LÄN</t>
        </is>
      </c>
      <c r="E374" t="inlineStr">
        <is>
          <t>KALMAR</t>
        </is>
      </c>
      <c r="G374" t="n">
        <v>5.2</v>
      </c>
      <c r="H374" t="n">
        <v>1</v>
      </c>
      <c r="I374" t="n">
        <v>0</v>
      </c>
      <c r="J374" t="n">
        <v>0</v>
      </c>
      <c r="K374" t="n">
        <v>0</v>
      </c>
      <c r="L374" t="n">
        <v>0</v>
      </c>
      <c r="M374" t="n">
        <v>0</v>
      </c>
      <c r="N374" t="n">
        <v>0</v>
      </c>
      <c r="O374" t="n">
        <v>0</v>
      </c>
      <c r="P374" t="n">
        <v>0</v>
      </c>
      <c r="Q374" t="n">
        <v>1</v>
      </c>
      <c r="R374" s="2" t="inlineStr">
        <is>
          <t>Större vattensalamander</t>
        </is>
      </c>
      <c r="S374">
        <f>HYPERLINK("https://klasma.github.io/Logging_KALMAR/artfynd/A 25168-2019.xlsx")</f>
        <v/>
      </c>
      <c r="T374">
        <f>HYPERLINK("https://klasma.github.io/Logging_KALMAR/kartor/A 25168-2019.png")</f>
        <v/>
      </c>
      <c r="V374">
        <f>HYPERLINK("https://klasma.github.io/Logging_KALMAR/klagomål/A 25168-2019.docx")</f>
        <v/>
      </c>
      <c r="W374">
        <f>HYPERLINK("https://klasma.github.io/Logging_KALMAR/klagomålsmail/A 25168-2019.docx")</f>
        <v/>
      </c>
      <c r="X374">
        <f>HYPERLINK("https://klasma.github.io/Logging_KALMAR/tillsyn/A 25168-2019.docx")</f>
        <v/>
      </c>
      <c r="Y374">
        <f>HYPERLINK("https://klasma.github.io/Logging_KALMAR/tillsynsmail/A 25168-2019.docx")</f>
        <v/>
      </c>
    </row>
    <row r="375" ht="15" customHeight="1">
      <c r="A375" t="inlineStr">
        <is>
          <t>A 25190-2019</t>
        </is>
      </c>
      <c r="B375" s="1" t="n">
        <v>43605</v>
      </c>
      <c r="C375" s="1" t="n">
        <v>45175</v>
      </c>
      <c r="D375" t="inlineStr">
        <is>
          <t>KALMAR LÄN</t>
        </is>
      </c>
      <c r="E375" t="inlineStr">
        <is>
          <t>HÖGSBY</t>
        </is>
      </c>
      <c r="G375" t="n">
        <v>1.2</v>
      </c>
      <c r="H375" t="n">
        <v>1</v>
      </c>
      <c r="I375" t="n">
        <v>0</v>
      </c>
      <c r="J375" t="n">
        <v>0</v>
      </c>
      <c r="K375" t="n">
        <v>1</v>
      </c>
      <c r="L375" t="n">
        <v>0</v>
      </c>
      <c r="M375" t="n">
        <v>0</v>
      </c>
      <c r="N375" t="n">
        <v>0</v>
      </c>
      <c r="O375" t="n">
        <v>1</v>
      </c>
      <c r="P375" t="n">
        <v>1</v>
      </c>
      <c r="Q375" t="n">
        <v>1</v>
      </c>
      <c r="R375" s="2" t="inlineStr">
        <is>
          <t>Knärot</t>
        </is>
      </c>
      <c r="S375">
        <f>HYPERLINK("https://klasma.github.io/Logging_HOGSBY/artfynd/A 25190-2019.xlsx")</f>
        <v/>
      </c>
      <c r="T375">
        <f>HYPERLINK("https://klasma.github.io/Logging_HOGSBY/kartor/A 25190-2019.png")</f>
        <v/>
      </c>
      <c r="U375">
        <f>HYPERLINK("https://klasma.github.io/Logging_HOGSBY/knärot/A 25190-2019.png")</f>
        <v/>
      </c>
      <c r="V375">
        <f>HYPERLINK("https://klasma.github.io/Logging_HOGSBY/klagomål/A 25190-2019.docx")</f>
        <v/>
      </c>
      <c r="W375">
        <f>HYPERLINK("https://klasma.github.io/Logging_HOGSBY/klagomålsmail/A 25190-2019.docx")</f>
        <v/>
      </c>
      <c r="X375">
        <f>HYPERLINK("https://klasma.github.io/Logging_HOGSBY/tillsyn/A 25190-2019.docx")</f>
        <v/>
      </c>
      <c r="Y375">
        <f>HYPERLINK("https://klasma.github.io/Logging_HOGSBY/tillsynsmail/A 25190-2019.docx")</f>
        <v/>
      </c>
    </row>
    <row r="376" ht="15" customHeight="1">
      <c r="A376" t="inlineStr">
        <is>
          <t>A 26448-2019</t>
        </is>
      </c>
      <c r="B376" s="1" t="n">
        <v>43612</v>
      </c>
      <c r="C376" s="1" t="n">
        <v>45175</v>
      </c>
      <c r="D376" t="inlineStr">
        <is>
          <t>KALMAR LÄN</t>
        </is>
      </c>
      <c r="E376" t="inlineStr">
        <is>
          <t>HÖGSBY</t>
        </is>
      </c>
      <c r="G376" t="n">
        <v>0.9</v>
      </c>
      <c r="H376" t="n">
        <v>1</v>
      </c>
      <c r="I376" t="n">
        <v>0</v>
      </c>
      <c r="J376" t="n">
        <v>0</v>
      </c>
      <c r="K376" t="n">
        <v>0</v>
      </c>
      <c r="L376" t="n">
        <v>1</v>
      </c>
      <c r="M376" t="n">
        <v>0</v>
      </c>
      <c r="N376" t="n">
        <v>0</v>
      </c>
      <c r="O376" t="n">
        <v>1</v>
      </c>
      <c r="P376" t="n">
        <v>1</v>
      </c>
      <c r="Q376" t="n">
        <v>1</v>
      </c>
      <c r="R376" s="2" t="inlineStr">
        <is>
          <t>Mosippa</t>
        </is>
      </c>
      <c r="S376">
        <f>HYPERLINK("https://klasma.github.io/Logging_HOGSBY/artfynd/A 26448-2019.xlsx")</f>
        <v/>
      </c>
      <c r="T376">
        <f>HYPERLINK("https://klasma.github.io/Logging_HOGSBY/kartor/A 26448-2019.png")</f>
        <v/>
      </c>
      <c r="V376">
        <f>HYPERLINK("https://klasma.github.io/Logging_HOGSBY/klagomål/A 26448-2019.docx")</f>
        <v/>
      </c>
      <c r="W376">
        <f>HYPERLINK("https://klasma.github.io/Logging_HOGSBY/klagomålsmail/A 26448-2019.docx")</f>
        <v/>
      </c>
      <c r="X376">
        <f>HYPERLINK("https://klasma.github.io/Logging_HOGSBY/tillsyn/A 26448-2019.docx")</f>
        <v/>
      </c>
      <c r="Y376">
        <f>HYPERLINK("https://klasma.github.io/Logging_HOGSBY/tillsynsmail/A 26448-2019.docx")</f>
        <v/>
      </c>
    </row>
    <row r="377" ht="15" customHeight="1">
      <c r="A377" t="inlineStr">
        <is>
          <t>A 27200-2019</t>
        </is>
      </c>
      <c r="B377" s="1" t="n">
        <v>43614</v>
      </c>
      <c r="C377" s="1" t="n">
        <v>45175</v>
      </c>
      <c r="D377" t="inlineStr">
        <is>
          <t>KALMAR LÄN</t>
        </is>
      </c>
      <c r="E377" t="inlineStr">
        <is>
          <t>VÄSTERVIK</t>
        </is>
      </c>
      <c r="F377" t="inlineStr">
        <is>
          <t>Sveaskog</t>
        </is>
      </c>
      <c r="G377" t="n">
        <v>8.5</v>
      </c>
      <c r="H377" t="n">
        <v>0</v>
      </c>
      <c r="I377" t="n">
        <v>1</v>
      </c>
      <c r="J377" t="n">
        <v>0</v>
      </c>
      <c r="K377" t="n">
        <v>0</v>
      </c>
      <c r="L377" t="n">
        <v>0</v>
      </c>
      <c r="M377" t="n">
        <v>0</v>
      </c>
      <c r="N377" t="n">
        <v>0</v>
      </c>
      <c r="O377" t="n">
        <v>0</v>
      </c>
      <c r="P377" t="n">
        <v>0</v>
      </c>
      <c r="Q377" t="n">
        <v>1</v>
      </c>
      <c r="R377" s="2" t="inlineStr">
        <is>
          <t>Myskmadra</t>
        </is>
      </c>
      <c r="S377">
        <f>HYPERLINK("https://klasma.github.io/Logging_VASTERVIK/artfynd/A 27200-2019.xlsx")</f>
        <v/>
      </c>
      <c r="T377">
        <f>HYPERLINK("https://klasma.github.io/Logging_VASTERVIK/kartor/A 27200-2019.png")</f>
        <v/>
      </c>
      <c r="V377">
        <f>HYPERLINK("https://klasma.github.io/Logging_VASTERVIK/klagomål/A 27200-2019.docx")</f>
        <v/>
      </c>
      <c r="W377">
        <f>HYPERLINK("https://klasma.github.io/Logging_VASTERVIK/klagomålsmail/A 27200-2019.docx")</f>
        <v/>
      </c>
      <c r="X377">
        <f>HYPERLINK("https://klasma.github.io/Logging_VASTERVIK/tillsyn/A 27200-2019.docx")</f>
        <v/>
      </c>
      <c r="Y377">
        <f>HYPERLINK("https://klasma.github.io/Logging_VASTERVIK/tillsynsmail/A 27200-2019.docx")</f>
        <v/>
      </c>
    </row>
    <row r="378" ht="15" customHeight="1">
      <c r="A378" t="inlineStr">
        <is>
          <t>A 26976-2019</t>
        </is>
      </c>
      <c r="B378" s="1" t="n">
        <v>43614</v>
      </c>
      <c r="C378" s="1" t="n">
        <v>45175</v>
      </c>
      <c r="D378" t="inlineStr">
        <is>
          <t>KALMAR LÄN</t>
        </is>
      </c>
      <c r="E378" t="inlineStr">
        <is>
          <t>KALMAR</t>
        </is>
      </c>
      <c r="G378" t="n">
        <v>1.7</v>
      </c>
      <c r="H378" t="n">
        <v>0</v>
      </c>
      <c r="I378" t="n">
        <v>1</v>
      </c>
      <c r="J378" t="n">
        <v>0</v>
      </c>
      <c r="K378" t="n">
        <v>0</v>
      </c>
      <c r="L378" t="n">
        <v>0</v>
      </c>
      <c r="M378" t="n">
        <v>0</v>
      </c>
      <c r="N378" t="n">
        <v>0</v>
      </c>
      <c r="O378" t="n">
        <v>0</v>
      </c>
      <c r="P378" t="n">
        <v>0</v>
      </c>
      <c r="Q378" t="n">
        <v>1</v>
      </c>
      <c r="R378" s="2" t="inlineStr">
        <is>
          <t>Vätteros</t>
        </is>
      </c>
      <c r="S378">
        <f>HYPERLINK("https://klasma.github.io/Logging_KALMAR/artfynd/A 26976-2019.xlsx")</f>
        <v/>
      </c>
      <c r="T378">
        <f>HYPERLINK("https://klasma.github.io/Logging_KALMAR/kartor/A 26976-2019.png")</f>
        <v/>
      </c>
      <c r="V378">
        <f>HYPERLINK("https://klasma.github.io/Logging_KALMAR/klagomål/A 26976-2019.docx")</f>
        <v/>
      </c>
      <c r="W378">
        <f>HYPERLINK("https://klasma.github.io/Logging_KALMAR/klagomålsmail/A 26976-2019.docx")</f>
        <v/>
      </c>
      <c r="X378">
        <f>HYPERLINK("https://klasma.github.io/Logging_KALMAR/tillsyn/A 26976-2019.docx")</f>
        <v/>
      </c>
      <c r="Y378">
        <f>HYPERLINK("https://klasma.github.io/Logging_KALMAR/tillsynsmail/A 26976-2019.docx")</f>
        <v/>
      </c>
    </row>
    <row r="379" ht="15" customHeight="1">
      <c r="A379" t="inlineStr">
        <is>
          <t>A 27203-2019</t>
        </is>
      </c>
      <c r="B379" s="1" t="n">
        <v>43614</v>
      </c>
      <c r="C379" s="1" t="n">
        <v>45175</v>
      </c>
      <c r="D379" t="inlineStr">
        <is>
          <t>KALMAR LÄN</t>
        </is>
      </c>
      <c r="E379" t="inlineStr">
        <is>
          <t>VÄSTERVIK</t>
        </is>
      </c>
      <c r="F379" t="inlineStr">
        <is>
          <t>Sveaskog</t>
        </is>
      </c>
      <c r="G379" t="n">
        <v>4.8</v>
      </c>
      <c r="H379" t="n">
        <v>0</v>
      </c>
      <c r="I379" t="n">
        <v>1</v>
      </c>
      <c r="J379" t="n">
        <v>0</v>
      </c>
      <c r="K379" t="n">
        <v>0</v>
      </c>
      <c r="L379" t="n">
        <v>0</v>
      </c>
      <c r="M379" t="n">
        <v>0</v>
      </c>
      <c r="N379" t="n">
        <v>0</v>
      </c>
      <c r="O379" t="n">
        <v>0</v>
      </c>
      <c r="P379" t="n">
        <v>0</v>
      </c>
      <c r="Q379" t="n">
        <v>1</v>
      </c>
      <c r="R379" s="2" t="inlineStr">
        <is>
          <t>Blomskägglav</t>
        </is>
      </c>
      <c r="S379">
        <f>HYPERLINK("https://klasma.github.io/Logging_VASTERVIK/artfynd/A 27203-2019.xlsx")</f>
        <v/>
      </c>
      <c r="T379">
        <f>HYPERLINK("https://klasma.github.io/Logging_VASTERVIK/kartor/A 27203-2019.png")</f>
        <v/>
      </c>
      <c r="V379">
        <f>HYPERLINK("https://klasma.github.io/Logging_VASTERVIK/klagomål/A 27203-2019.docx")</f>
        <v/>
      </c>
      <c r="W379">
        <f>HYPERLINK("https://klasma.github.io/Logging_VASTERVIK/klagomålsmail/A 27203-2019.docx")</f>
        <v/>
      </c>
      <c r="X379">
        <f>HYPERLINK("https://klasma.github.io/Logging_VASTERVIK/tillsyn/A 27203-2019.docx")</f>
        <v/>
      </c>
      <c r="Y379">
        <f>HYPERLINK("https://klasma.github.io/Logging_VASTERVIK/tillsynsmail/A 27203-2019.docx")</f>
        <v/>
      </c>
    </row>
    <row r="380" ht="15" customHeight="1">
      <c r="A380" t="inlineStr">
        <is>
          <t>A 27204-2019</t>
        </is>
      </c>
      <c r="B380" s="1" t="n">
        <v>43614</v>
      </c>
      <c r="C380" s="1" t="n">
        <v>45175</v>
      </c>
      <c r="D380" t="inlineStr">
        <is>
          <t>KALMAR LÄN</t>
        </is>
      </c>
      <c r="E380" t="inlineStr">
        <is>
          <t>VÄSTERVIK</t>
        </is>
      </c>
      <c r="F380" t="inlineStr">
        <is>
          <t>Sveaskog</t>
        </is>
      </c>
      <c r="G380" t="n">
        <v>12.9</v>
      </c>
      <c r="H380" t="n">
        <v>0</v>
      </c>
      <c r="I380" t="n">
        <v>1</v>
      </c>
      <c r="J380" t="n">
        <v>0</v>
      </c>
      <c r="K380" t="n">
        <v>0</v>
      </c>
      <c r="L380" t="n">
        <v>0</v>
      </c>
      <c r="M380" t="n">
        <v>0</v>
      </c>
      <c r="N380" t="n">
        <v>0</v>
      </c>
      <c r="O380" t="n">
        <v>0</v>
      </c>
      <c r="P380" t="n">
        <v>0</v>
      </c>
      <c r="Q380" t="n">
        <v>1</v>
      </c>
      <c r="R380" s="2" t="inlineStr">
        <is>
          <t>Platt fjädermossa</t>
        </is>
      </c>
      <c r="S380">
        <f>HYPERLINK("https://klasma.github.io/Logging_VASTERVIK/artfynd/A 27204-2019.xlsx")</f>
        <v/>
      </c>
      <c r="T380">
        <f>HYPERLINK("https://klasma.github.io/Logging_VASTERVIK/kartor/A 27204-2019.png")</f>
        <v/>
      </c>
      <c r="V380">
        <f>HYPERLINK("https://klasma.github.io/Logging_VASTERVIK/klagomål/A 27204-2019.docx")</f>
        <v/>
      </c>
      <c r="W380">
        <f>HYPERLINK("https://klasma.github.io/Logging_VASTERVIK/klagomålsmail/A 27204-2019.docx")</f>
        <v/>
      </c>
      <c r="X380">
        <f>HYPERLINK("https://klasma.github.io/Logging_VASTERVIK/tillsyn/A 27204-2019.docx")</f>
        <v/>
      </c>
      <c r="Y380">
        <f>HYPERLINK("https://klasma.github.io/Logging_VASTERVIK/tillsynsmail/A 27204-2019.docx")</f>
        <v/>
      </c>
    </row>
    <row r="381" ht="15" customHeight="1">
      <c r="A381" t="inlineStr">
        <is>
          <t>A 32602-2019</t>
        </is>
      </c>
      <c r="B381" s="1" t="n">
        <v>43647</v>
      </c>
      <c r="C381" s="1" t="n">
        <v>45175</v>
      </c>
      <c r="D381" t="inlineStr">
        <is>
          <t>KALMAR LÄN</t>
        </is>
      </c>
      <c r="E381" t="inlineStr">
        <is>
          <t>VIMMERBY</t>
        </is>
      </c>
      <c r="G381" t="n">
        <v>3.4</v>
      </c>
      <c r="H381" t="n">
        <v>0</v>
      </c>
      <c r="I381" t="n">
        <v>0</v>
      </c>
      <c r="J381" t="n">
        <v>1</v>
      </c>
      <c r="K381" t="n">
        <v>0</v>
      </c>
      <c r="L381" t="n">
        <v>0</v>
      </c>
      <c r="M381" t="n">
        <v>0</v>
      </c>
      <c r="N381" t="n">
        <v>0</v>
      </c>
      <c r="O381" t="n">
        <v>1</v>
      </c>
      <c r="P381" t="n">
        <v>0</v>
      </c>
      <c r="Q381" t="n">
        <v>1</v>
      </c>
      <c r="R381" s="2" t="inlineStr">
        <is>
          <t>Vedskivlav</t>
        </is>
      </c>
      <c r="S381">
        <f>HYPERLINK("https://klasma.github.io/Logging_VIMMERBY/artfynd/A 32602-2019.xlsx")</f>
        <v/>
      </c>
      <c r="T381">
        <f>HYPERLINK("https://klasma.github.io/Logging_VIMMERBY/kartor/A 32602-2019.png")</f>
        <v/>
      </c>
      <c r="V381">
        <f>HYPERLINK("https://klasma.github.io/Logging_VIMMERBY/klagomål/A 32602-2019.docx")</f>
        <v/>
      </c>
      <c r="W381">
        <f>HYPERLINK("https://klasma.github.io/Logging_VIMMERBY/klagomålsmail/A 32602-2019.docx")</f>
        <v/>
      </c>
      <c r="X381">
        <f>HYPERLINK("https://klasma.github.io/Logging_VIMMERBY/tillsyn/A 32602-2019.docx")</f>
        <v/>
      </c>
      <c r="Y381">
        <f>HYPERLINK("https://klasma.github.io/Logging_VIMMERBY/tillsynsmail/A 32602-2019.docx")</f>
        <v/>
      </c>
    </row>
    <row r="382" ht="15" customHeight="1">
      <c r="A382" t="inlineStr">
        <is>
          <t>A 34728-2019</t>
        </is>
      </c>
      <c r="B382" s="1" t="n">
        <v>43648</v>
      </c>
      <c r="C382" s="1" t="n">
        <v>45175</v>
      </c>
      <c r="D382" t="inlineStr">
        <is>
          <t>KALMAR LÄN</t>
        </is>
      </c>
      <c r="E382" t="inlineStr">
        <is>
          <t>MÖNSTERÅS</t>
        </is>
      </c>
      <c r="G382" t="n">
        <v>1</v>
      </c>
      <c r="H382" t="n">
        <v>0</v>
      </c>
      <c r="I382" t="n">
        <v>0</v>
      </c>
      <c r="J382" t="n">
        <v>1</v>
      </c>
      <c r="K382" t="n">
        <v>0</v>
      </c>
      <c r="L382" t="n">
        <v>0</v>
      </c>
      <c r="M382" t="n">
        <v>0</v>
      </c>
      <c r="N382" t="n">
        <v>0</v>
      </c>
      <c r="O382" t="n">
        <v>1</v>
      </c>
      <c r="P382" t="n">
        <v>0</v>
      </c>
      <c r="Q382" t="n">
        <v>1</v>
      </c>
      <c r="R382" s="2" t="inlineStr">
        <is>
          <t>Tallticka</t>
        </is>
      </c>
      <c r="S382">
        <f>HYPERLINK("https://klasma.github.io/Logging_MONSTERAS/artfynd/A 34728-2019.xlsx")</f>
        <v/>
      </c>
      <c r="T382">
        <f>HYPERLINK("https://klasma.github.io/Logging_MONSTERAS/kartor/A 34728-2019.png")</f>
        <v/>
      </c>
      <c r="V382">
        <f>HYPERLINK("https://klasma.github.io/Logging_MONSTERAS/klagomål/A 34728-2019.docx")</f>
        <v/>
      </c>
      <c r="W382">
        <f>HYPERLINK("https://klasma.github.io/Logging_MONSTERAS/klagomålsmail/A 34728-2019.docx")</f>
        <v/>
      </c>
      <c r="X382">
        <f>HYPERLINK("https://klasma.github.io/Logging_MONSTERAS/tillsyn/A 34728-2019.docx")</f>
        <v/>
      </c>
      <c r="Y382">
        <f>HYPERLINK("https://klasma.github.io/Logging_MONSTERAS/tillsynsmail/A 34728-2019.docx")</f>
        <v/>
      </c>
    </row>
    <row r="383" ht="15" customHeight="1">
      <c r="A383" t="inlineStr">
        <is>
          <t>A 36218-2019</t>
        </is>
      </c>
      <c r="B383" s="1" t="n">
        <v>43669</v>
      </c>
      <c r="C383" s="1" t="n">
        <v>45175</v>
      </c>
      <c r="D383" t="inlineStr">
        <is>
          <t>KALMAR LÄN</t>
        </is>
      </c>
      <c r="E383" t="inlineStr">
        <is>
          <t>TORSÅS</t>
        </is>
      </c>
      <c r="G383" t="n">
        <v>15.5</v>
      </c>
      <c r="H383" t="n">
        <v>0</v>
      </c>
      <c r="I383" t="n">
        <v>0</v>
      </c>
      <c r="J383" t="n">
        <v>1</v>
      </c>
      <c r="K383" t="n">
        <v>0</v>
      </c>
      <c r="L383" t="n">
        <v>0</v>
      </c>
      <c r="M383" t="n">
        <v>0</v>
      </c>
      <c r="N383" t="n">
        <v>0</v>
      </c>
      <c r="O383" t="n">
        <v>1</v>
      </c>
      <c r="P383" t="n">
        <v>0</v>
      </c>
      <c r="Q383" t="n">
        <v>1</v>
      </c>
      <c r="R383" s="2" t="inlineStr">
        <is>
          <t>Rödlånke</t>
        </is>
      </c>
      <c r="S383">
        <f>HYPERLINK("https://klasma.github.io/Logging_TORSAS/artfynd/A 36218-2019.xlsx")</f>
        <v/>
      </c>
      <c r="T383">
        <f>HYPERLINK("https://klasma.github.io/Logging_TORSAS/kartor/A 36218-2019.png")</f>
        <v/>
      </c>
      <c r="V383">
        <f>HYPERLINK("https://klasma.github.io/Logging_TORSAS/klagomål/A 36218-2019.docx")</f>
        <v/>
      </c>
      <c r="W383">
        <f>HYPERLINK("https://klasma.github.io/Logging_TORSAS/klagomålsmail/A 36218-2019.docx")</f>
        <v/>
      </c>
      <c r="X383">
        <f>HYPERLINK("https://klasma.github.io/Logging_TORSAS/tillsyn/A 36218-2019.docx")</f>
        <v/>
      </c>
      <c r="Y383">
        <f>HYPERLINK("https://klasma.github.io/Logging_TORSAS/tillsynsmail/A 36218-2019.docx")</f>
        <v/>
      </c>
    </row>
    <row r="384" ht="15" customHeight="1">
      <c r="A384" t="inlineStr">
        <is>
          <t>A 36542-2019</t>
        </is>
      </c>
      <c r="B384" s="1" t="n">
        <v>43671</v>
      </c>
      <c r="C384" s="1" t="n">
        <v>45175</v>
      </c>
      <c r="D384" t="inlineStr">
        <is>
          <t>KALMAR LÄN</t>
        </is>
      </c>
      <c r="E384" t="inlineStr">
        <is>
          <t>OSKARSHAMN</t>
        </is>
      </c>
      <c r="F384" t="inlineStr">
        <is>
          <t>Sveaskog</t>
        </is>
      </c>
      <c r="G384" t="n">
        <v>0.8</v>
      </c>
      <c r="H384" t="n">
        <v>1</v>
      </c>
      <c r="I384" t="n">
        <v>0</v>
      </c>
      <c r="J384" t="n">
        <v>0</v>
      </c>
      <c r="K384" t="n">
        <v>0</v>
      </c>
      <c r="L384" t="n">
        <v>0</v>
      </c>
      <c r="M384" t="n">
        <v>0</v>
      </c>
      <c r="N384" t="n">
        <v>0</v>
      </c>
      <c r="O384" t="n">
        <v>0</v>
      </c>
      <c r="P384" t="n">
        <v>0</v>
      </c>
      <c r="Q384" t="n">
        <v>1</v>
      </c>
      <c r="R384" s="2" t="inlineStr">
        <is>
          <t>Mattlummer</t>
        </is>
      </c>
      <c r="S384">
        <f>HYPERLINK("https://klasma.github.io/Logging_OSKARSHAMN/artfynd/A 36542-2019.xlsx")</f>
        <v/>
      </c>
      <c r="T384">
        <f>HYPERLINK("https://klasma.github.io/Logging_OSKARSHAMN/kartor/A 36542-2019.png")</f>
        <v/>
      </c>
      <c r="V384">
        <f>HYPERLINK("https://klasma.github.io/Logging_OSKARSHAMN/klagomål/A 36542-2019.docx")</f>
        <v/>
      </c>
      <c r="W384">
        <f>HYPERLINK("https://klasma.github.io/Logging_OSKARSHAMN/klagomålsmail/A 36542-2019.docx")</f>
        <v/>
      </c>
      <c r="X384">
        <f>HYPERLINK("https://klasma.github.io/Logging_OSKARSHAMN/tillsyn/A 36542-2019.docx")</f>
        <v/>
      </c>
      <c r="Y384">
        <f>HYPERLINK("https://klasma.github.io/Logging_OSKARSHAMN/tillsynsmail/A 36542-2019.docx")</f>
        <v/>
      </c>
    </row>
    <row r="385" ht="15" customHeight="1">
      <c r="A385" t="inlineStr">
        <is>
          <t>A 36540-2019</t>
        </is>
      </c>
      <c r="B385" s="1" t="n">
        <v>43671</v>
      </c>
      <c r="C385" s="1" t="n">
        <v>45175</v>
      </c>
      <c r="D385" t="inlineStr">
        <is>
          <t>KALMAR LÄN</t>
        </is>
      </c>
      <c r="E385" t="inlineStr">
        <is>
          <t>OSKARSHAMN</t>
        </is>
      </c>
      <c r="F385" t="inlineStr">
        <is>
          <t>Sveaskog</t>
        </is>
      </c>
      <c r="G385" t="n">
        <v>3.3</v>
      </c>
      <c r="H385" t="n">
        <v>1</v>
      </c>
      <c r="I385" t="n">
        <v>0</v>
      </c>
      <c r="J385" t="n">
        <v>0</v>
      </c>
      <c r="K385" t="n">
        <v>0</v>
      </c>
      <c r="L385" t="n">
        <v>0</v>
      </c>
      <c r="M385" t="n">
        <v>0</v>
      </c>
      <c r="N385" t="n">
        <v>0</v>
      </c>
      <c r="O385" t="n">
        <v>0</v>
      </c>
      <c r="P385" t="n">
        <v>0</v>
      </c>
      <c r="Q385" t="n">
        <v>1</v>
      </c>
      <c r="R385" s="2" t="inlineStr">
        <is>
          <t>Fläcknycklar</t>
        </is>
      </c>
      <c r="S385">
        <f>HYPERLINK("https://klasma.github.io/Logging_OSKARSHAMN/artfynd/A 36540-2019.xlsx")</f>
        <v/>
      </c>
      <c r="T385">
        <f>HYPERLINK("https://klasma.github.io/Logging_OSKARSHAMN/kartor/A 36540-2019.png")</f>
        <v/>
      </c>
      <c r="V385">
        <f>HYPERLINK("https://klasma.github.io/Logging_OSKARSHAMN/klagomål/A 36540-2019.docx")</f>
        <v/>
      </c>
      <c r="W385">
        <f>HYPERLINK("https://klasma.github.io/Logging_OSKARSHAMN/klagomålsmail/A 36540-2019.docx")</f>
        <v/>
      </c>
      <c r="X385">
        <f>HYPERLINK("https://klasma.github.io/Logging_OSKARSHAMN/tillsyn/A 36540-2019.docx")</f>
        <v/>
      </c>
      <c r="Y385">
        <f>HYPERLINK("https://klasma.github.io/Logging_OSKARSHAMN/tillsynsmail/A 36540-2019.docx")</f>
        <v/>
      </c>
    </row>
    <row r="386" ht="15" customHeight="1">
      <c r="A386" t="inlineStr">
        <is>
          <t>A 37605-2019</t>
        </is>
      </c>
      <c r="B386" s="1" t="n">
        <v>43680</v>
      </c>
      <c r="C386" s="1" t="n">
        <v>45175</v>
      </c>
      <c r="D386" t="inlineStr">
        <is>
          <t>KALMAR LÄN</t>
        </is>
      </c>
      <c r="E386" t="inlineStr">
        <is>
          <t>KALMAR</t>
        </is>
      </c>
      <c r="G386" t="n">
        <v>0.9</v>
      </c>
      <c r="H386" t="n">
        <v>0</v>
      </c>
      <c r="I386" t="n">
        <v>1</v>
      </c>
      <c r="J386" t="n">
        <v>0</v>
      </c>
      <c r="K386" t="n">
        <v>0</v>
      </c>
      <c r="L386" t="n">
        <v>0</v>
      </c>
      <c r="M386" t="n">
        <v>0</v>
      </c>
      <c r="N386" t="n">
        <v>0</v>
      </c>
      <c r="O386" t="n">
        <v>0</v>
      </c>
      <c r="P386" t="n">
        <v>0</v>
      </c>
      <c r="Q386" t="n">
        <v>1</v>
      </c>
      <c r="R386" s="2" t="inlineStr">
        <is>
          <t>Vedticka</t>
        </is>
      </c>
      <c r="S386">
        <f>HYPERLINK("https://klasma.github.io/Logging_KALMAR/artfynd/A 37605-2019.xlsx")</f>
        <v/>
      </c>
      <c r="T386">
        <f>HYPERLINK("https://klasma.github.io/Logging_KALMAR/kartor/A 37605-2019.png")</f>
        <v/>
      </c>
      <c r="V386">
        <f>HYPERLINK("https://klasma.github.io/Logging_KALMAR/klagomål/A 37605-2019.docx")</f>
        <v/>
      </c>
      <c r="W386">
        <f>HYPERLINK("https://klasma.github.io/Logging_KALMAR/klagomålsmail/A 37605-2019.docx")</f>
        <v/>
      </c>
      <c r="X386">
        <f>HYPERLINK("https://klasma.github.io/Logging_KALMAR/tillsyn/A 37605-2019.docx")</f>
        <v/>
      </c>
      <c r="Y386">
        <f>HYPERLINK("https://klasma.github.io/Logging_KALMAR/tillsynsmail/A 37605-2019.docx")</f>
        <v/>
      </c>
    </row>
    <row r="387" ht="15" customHeight="1">
      <c r="A387" t="inlineStr">
        <is>
          <t>A 37689-2019</t>
        </is>
      </c>
      <c r="B387" s="1" t="n">
        <v>43682</v>
      </c>
      <c r="C387" s="1" t="n">
        <v>45175</v>
      </c>
      <c r="D387" t="inlineStr">
        <is>
          <t>KALMAR LÄN</t>
        </is>
      </c>
      <c r="E387" t="inlineStr">
        <is>
          <t>TORSÅS</t>
        </is>
      </c>
      <c r="G387" t="n">
        <v>7</v>
      </c>
      <c r="H387" t="n">
        <v>0</v>
      </c>
      <c r="I387" t="n">
        <v>0</v>
      </c>
      <c r="J387" t="n">
        <v>1</v>
      </c>
      <c r="K387" t="n">
        <v>0</v>
      </c>
      <c r="L387" t="n">
        <v>0</v>
      </c>
      <c r="M387" t="n">
        <v>0</v>
      </c>
      <c r="N387" t="n">
        <v>0</v>
      </c>
      <c r="O387" t="n">
        <v>1</v>
      </c>
      <c r="P387" t="n">
        <v>0</v>
      </c>
      <c r="Q387" t="n">
        <v>1</v>
      </c>
      <c r="R387" s="2" t="inlineStr">
        <is>
          <t>Sumpviol</t>
        </is>
      </c>
      <c r="S387">
        <f>HYPERLINK("https://klasma.github.io/Logging_TORSAS/artfynd/A 37689-2019.xlsx")</f>
        <v/>
      </c>
      <c r="T387">
        <f>HYPERLINK("https://klasma.github.io/Logging_TORSAS/kartor/A 37689-2019.png")</f>
        <v/>
      </c>
      <c r="V387">
        <f>HYPERLINK("https://klasma.github.io/Logging_TORSAS/klagomål/A 37689-2019.docx")</f>
        <v/>
      </c>
      <c r="W387">
        <f>HYPERLINK("https://klasma.github.io/Logging_TORSAS/klagomålsmail/A 37689-2019.docx")</f>
        <v/>
      </c>
      <c r="X387">
        <f>HYPERLINK("https://klasma.github.io/Logging_TORSAS/tillsyn/A 37689-2019.docx")</f>
        <v/>
      </c>
      <c r="Y387">
        <f>HYPERLINK("https://klasma.github.io/Logging_TORSAS/tillsynsmail/A 37689-2019.docx")</f>
        <v/>
      </c>
    </row>
    <row r="388" ht="15" customHeight="1">
      <c r="A388" t="inlineStr">
        <is>
          <t>A 38893-2019</t>
        </is>
      </c>
      <c r="B388" s="1" t="n">
        <v>43686</v>
      </c>
      <c r="C388" s="1" t="n">
        <v>45175</v>
      </c>
      <c r="D388" t="inlineStr">
        <is>
          <t>KALMAR LÄN</t>
        </is>
      </c>
      <c r="E388" t="inlineStr">
        <is>
          <t>HÖGSBY</t>
        </is>
      </c>
      <c r="G388" t="n">
        <v>8.699999999999999</v>
      </c>
      <c r="H388" t="n">
        <v>0</v>
      </c>
      <c r="I388" t="n">
        <v>0</v>
      </c>
      <c r="J388" t="n">
        <v>1</v>
      </c>
      <c r="K388" t="n">
        <v>0</v>
      </c>
      <c r="L388" t="n">
        <v>0</v>
      </c>
      <c r="M388" t="n">
        <v>0</v>
      </c>
      <c r="N388" t="n">
        <v>0</v>
      </c>
      <c r="O388" t="n">
        <v>1</v>
      </c>
      <c r="P388" t="n">
        <v>0</v>
      </c>
      <c r="Q388" t="n">
        <v>1</v>
      </c>
      <c r="R388" s="2" t="inlineStr">
        <is>
          <t>Bergjohannesört</t>
        </is>
      </c>
      <c r="S388">
        <f>HYPERLINK("https://klasma.github.io/Logging_HOGSBY/artfynd/A 38893-2019.xlsx")</f>
        <v/>
      </c>
      <c r="T388">
        <f>HYPERLINK("https://klasma.github.io/Logging_HOGSBY/kartor/A 38893-2019.png")</f>
        <v/>
      </c>
      <c r="V388">
        <f>HYPERLINK("https://klasma.github.io/Logging_HOGSBY/klagomål/A 38893-2019.docx")</f>
        <v/>
      </c>
      <c r="W388">
        <f>HYPERLINK("https://klasma.github.io/Logging_HOGSBY/klagomålsmail/A 38893-2019.docx")</f>
        <v/>
      </c>
      <c r="X388">
        <f>HYPERLINK("https://klasma.github.io/Logging_HOGSBY/tillsyn/A 38893-2019.docx")</f>
        <v/>
      </c>
      <c r="Y388">
        <f>HYPERLINK("https://klasma.github.io/Logging_HOGSBY/tillsynsmail/A 38893-2019.docx")</f>
        <v/>
      </c>
    </row>
    <row r="389" ht="15" customHeight="1">
      <c r="A389" t="inlineStr">
        <is>
          <t>A 39367-2019</t>
        </is>
      </c>
      <c r="B389" s="1" t="n">
        <v>43690</v>
      </c>
      <c r="C389" s="1" t="n">
        <v>45175</v>
      </c>
      <c r="D389" t="inlineStr">
        <is>
          <t>KALMAR LÄN</t>
        </is>
      </c>
      <c r="E389" t="inlineStr">
        <is>
          <t>MÖRBYLÅNGA</t>
        </is>
      </c>
      <c r="G389" t="n">
        <v>1</v>
      </c>
      <c r="H389" t="n">
        <v>1</v>
      </c>
      <c r="I389" t="n">
        <v>0</v>
      </c>
      <c r="J389" t="n">
        <v>0</v>
      </c>
      <c r="K389" t="n">
        <v>0</v>
      </c>
      <c r="L389" t="n">
        <v>0</v>
      </c>
      <c r="M389" t="n">
        <v>0</v>
      </c>
      <c r="N389" t="n">
        <v>0</v>
      </c>
      <c r="O389" t="n">
        <v>0</v>
      </c>
      <c r="P389" t="n">
        <v>0</v>
      </c>
      <c r="Q389" t="n">
        <v>1</v>
      </c>
      <c r="R389" s="2" t="inlineStr">
        <is>
          <t>Blåsippa</t>
        </is>
      </c>
      <c r="S389">
        <f>HYPERLINK("https://klasma.github.io/Logging_MORBYLANGA/artfynd/A 39367-2019.xlsx")</f>
        <v/>
      </c>
      <c r="T389">
        <f>HYPERLINK("https://klasma.github.io/Logging_MORBYLANGA/kartor/A 39367-2019.png")</f>
        <v/>
      </c>
      <c r="V389">
        <f>HYPERLINK("https://klasma.github.io/Logging_MORBYLANGA/klagomål/A 39367-2019.docx")</f>
        <v/>
      </c>
      <c r="W389">
        <f>HYPERLINK("https://klasma.github.io/Logging_MORBYLANGA/klagomålsmail/A 39367-2019.docx")</f>
        <v/>
      </c>
      <c r="X389">
        <f>HYPERLINK("https://klasma.github.io/Logging_MORBYLANGA/tillsyn/A 39367-2019.docx")</f>
        <v/>
      </c>
      <c r="Y389">
        <f>HYPERLINK("https://klasma.github.io/Logging_MORBYLANGA/tillsynsmail/A 39367-2019.docx")</f>
        <v/>
      </c>
    </row>
    <row r="390" ht="15" customHeight="1">
      <c r="A390" t="inlineStr">
        <is>
          <t>A 39421-2019</t>
        </is>
      </c>
      <c r="B390" s="1" t="n">
        <v>43690</v>
      </c>
      <c r="C390" s="1" t="n">
        <v>45175</v>
      </c>
      <c r="D390" t="inlineStr">
        <is>
          <t>KALMAR LÄN</t>
        </is>
      </c>
      <c r="E390" t="inlineStr">
        <is>
          <t>HÖGSBY</t>
        </is>
      </c>
      <c r="G390" t="n">
        <v>10.7</v>
      </c>
      <c r="H390" t="n">
        <v>0</v>
      </c>
      <c r="I390" t="n">
        <v>0</v>
      </c>
      <c r="J390" t="n">
        <v>1</v>
      </c>
      <c r="K390" t="n">
        <v>0</v>
      </c>
      <c r="L390" t="n">
        <v>0</v>
      </c>
      <c r="M390" t="n">
        <v>0</v>
      </c>
      <c r="N390" t="n">
        <v>0</v>
      </c>
      <c r="O390" t="n">
        <v>1</v>
      </c>
      <c r="P390" t="n">
        <v>0</v>
      </c>
      <c r="Q390" t="n">
        <v>1</v>
      </c>
      <c r="R390" s="2" t="inlineStr">
        <is>
          <t>Sandviol</t>
        </is>
      </c>
      <c r="S390">
        <f>HYPERLINK("https://klasma.github.io/Logging_HOGSBY/artfynd/A 39421-2019.xlsx")</f>
        <v/>
      </c>
      <c r="T390">
        <f>HYPERLINK("https://klasma.github.io/Logging_HOGSBY/kartor/A 39421-2019.png")</f>
        <v/>
      </c>
      <c r="V390">
        <f>HYPERLINK("https://klasma.github.io/Logging_HOGSBY/klagomål/A 39421-2019.docx")</f>
        <v/>
      </c>
      <c r="W390">
        <f>HYPERLINK("https://klasma.github.io/Logging_HOGSBY/klagomålsmail/A 39421-2019.docx")</f>
        <v/>
      </c>
      <c r="X390">
        <f>HYPERLINK("https://klasma.github.io/Logging_HOGSBY/tillsyn/A 39421-2019.docx")</f>
        <v/>
      </c>
      <c r="Y390">
        <f>HYPERLINK("https://klasma.github.io/Logging_HOGSBY/tillsynsmail/A 39421-2019.docx")</f>
        <v/>
      </c>
    </row>
    <row r="391" ht="15" customHeight="1">
      <c r="A391" t="inlineStr">
        <is>
          <t>A 39360-2019</t>
        </is>
      </c>
      <c r="B391" s="1" t="n">
        <v>43690</v>
      </c>
      <c r="C391" s="1" t="n">
        <v>45175</v>
      </c>
      <c r="D391" t="inlineStr">
        <is>
          <t>KALMAR LÄN</t>
        </is>
      </c>
      <c r="E391" t="inlineStr">
        <is>
          <t>NYBRO</t>
        </is>
      </c>
      <c r="G391" t="n">
        <v>0.6</v>
      </c>
      <c r="H391" t="n">
        <v>1</v>
      </c>
      <c r="I391" t="n">
        <v>0</v>
      </c>
      <c r="J391" t="n">
        <v>0</v>
      </c>
      <c r="K391" t="n">
        <v>0</v>
      </c>
      <c r="L391" t="n">
        <v>0</v>
      </c>
      <c r="M391" t="n">
        <v>0</v>
      </c>
      <c r="N391" t="n">
        <v>0</v>
      </c>
      <c r="O391" t="n">
        <v>0</v>
      </c>
      <c r="P391" t="n">
        <v>0</v>
      </c>
      <c r="Q391" t="n">
        <v>1</v>
      </c>
      <c r="R391" s="2" t="inlineStr">
        <is>
          <t>Revlummer</t>
        </is>
      </c>
      <c r="S391">
        <f>HYPERLINK("https://klasma.github.io/Logging_NYBRO/artfynd/A 39360-2019.xlsx")</f>
        <v/>
      </c>
      <c r="T391">
        <f>HYPERLINK("https://klasma.github.io/Logging_NYBRO/kartor/A 39360-2019.png")</f>
        <v/>
      </c>
      <c r="U391">
        <f>HYPERLINK("https://klasma.github.io/Logging_NYBRO/knärot/A 39360-2019.png")</f>
        <v/>
      </c>
      <c r="V391">
        <f>HYPERLINK("https://klasma.github.io/Logging_NYBRO/klagomål/A 39360-2019.docx")</f>
        <v/>
      </c>
      <c r="W391">
        <f>HYPERLINK("https://klasma.github.io/Logging_NYBRO/klagomålsmail/A 39360-2019.docx")</f>
        <v/>
      </c>
      <c r="X391">
        <f>HYPERLINK("https://klasma.github.io/Logging_NYBRO/tillsyn/A 39360-2019.docx")</f>
        <v/>
      </c>
      <c r="Y391">
        <f>HYPERLINK("https://klasma.github.io/Logging_NYBRO/tillsynsmail/A 39360-2019.docx")</f>
        <v/>
      </c>
    </row>
    <row r="392" ht="15" customHeight="1">
      <c r="A392" t="inlineStr">
        <is>
          <t>A 40786-2019</t>
        </is>
      </c>
      <c r="B392" s="1" t="n">
        <v>43692</v>
      </c>
      <c r="C392" s="1" t="n">
        <v>45175</v>
      </c>
      <c r="D392" t="inlineStr">
        <is>
          <t>KALMAR LÄN</t>
        </is>
      </c>
      <c r="E392" t="inlineStr">
        <is>
          <t>EMMABODA</t>
        </is>
      </c>
      <c r="F392" t="inlineStr">
        <is>
          <t>Kyrkan</t>
        </is>
      </c>
      <c r="G392" t="n">
        <v>6.6</v>
      </c>
      <c r="H392" t="n">
        <v>0</v>
      </c>
      <c r="I392" t="n">
        <v>0</v>
      </c>
      <c r="J392" t="n">
        <v>1</v>
      </c>
      <c r="K392" t="n">
        <v>0</v>
      </c>
      <c r="L392" t="n">
        <v>0</v>
      </c>
      <c r="M392" t="n">
        <v>0</v>
      </c>
      <c r="N392" t="n">
        <v>0</v>
      </c>
      <c r="O392" t="n">
        <v>1</v>
      </c>
      <c r="P392" t="n">
        <v>0</v>
      </c>
      <c r="Q392" t="n">
        <v>1</v>
      </c>
      <c r="R392" s="2" t="inlineStr">
        <is>
          <t>Gullklöver</t>
        </is>
      </c>
      <c r="S392">
        <f>HYPERLINK("https://klasma.github.io/Logging_EMMABODA/artfynd/A 40786-2019.xlsx")</f>
        <v/>
      </c>
      <c r="T392">
        <f>HYPERLINK("https://klasma.github.io/Logging_EMMABODA/kartor/A 40786-2019.png")</f>
        <v/>
      </c>
      <c r="V392">
        <f>HYPERLINK("https://klasma.github.io/Logging_EMMABODA/klagomål/A 40786-2019.docx")</f>
        <v/>
      </c>
      <c r="W392">
        <f>HYPERLINK("https://klasma.github.io/Logging_EMMABODA/klagomålsmail/A 40786-2019.docx")</f>
        <v/>
      </c>
      <c r="X392">
        <f>HYPERLINK("https://klasma.github.io/Logging_EMMABODA/tillsyn/A 40786-2019.docx")</f>
        <v/>
      </c>
      <c r="Y392">
        <f>HYPERLINK("https://klasma.github.io/Logging_EMMABODA/tillsynsmail/A 40786-2019.docx")</f>
        <v/>
      </c>
    </row>
    <row r="393" ht="15" customHeight="1">
      <c r="A393" t="inlineStr">
        <is>
          <t>A 41664-2019</t>
        </is>
      </c>
      <c r="B393" s="1" t="n">
        <v>43699</v>
      </c>
      <c r="C393" s="1" t="n">
        <v>45175</v>
      </c>
      <c r="D393" t="inlineStr">
        <is>
          <t>KALMAR LÄN</t>
        </is>
      </c>
      <c r="E393" t="inlineStr">
        <is>
          <t>MÖNSTERÅS</t>
        </is>
      </c>
      <c r="G393" t="n">
        <v>10.2</v>
      </c>
      <c r="H393" t="n">
        <v>0</v>
      </c>
      <c r="I393" t="n">
        <v>1</v>
      </c>
      <c r="J393" t="n">
        <v>0</v>
      </c>
      <c r="K393" t="n">
        <v>0</v>
      </c>
      <c r="L393" t="n">
        <v>0</v>
      </c>
      <c r="M393" t="n">
        <v>0</v>
      </c>
      <c r="N393" t="n">
        <v>0</v>
      </c>
      <c r="O393" t="n">
        <v>0</v>
      </c>
      <c r="P393" t="n">
        <v>0</v>
      </c>
      <c r="Q393" t="n">
        <v>1</v>
      </c>
      <c r="R393" s="2" t="inlineStr">
        <is>
          <t>Underviol</t>
        </is>
      </c>
      <c r="S393">
        <f>HYPERLINK("https://klasma.github.io/Logging_MONSTERAS/artfynd/A 41664-2019.xlsx")</f>
        <v/>
      </c>
      <c r="T393">
        <f>HYPERLINK("https://klasma.github.io/Logging_MONSTERAS/kartor/A 41664-2019.png")</f>
        <v/>
      </c>
      <c r="V393">
        <f>HYPERLINK("https://klasma.github.io/Logging_MONSTERAS/klagomål/A 41664-2019.docx")</f>
        <v/>
      </c>
      <c r="W393">
        <f>HYPERLINK("https://klasma.github.io/Logging_MONSTERAS/klagomålsmail/A 41664-2019.docx")</f>
        <v/>
      </c>
      <c r="X393">
        <f>HYPERLINK("https://klasma.github.io/Logging_MONSTERAS/tillsyn/A 41664-2019.docx")</f>
        <v/>
      </c>
      <c r="Y393">
        <f>HYPERLINK("https://klasma.github.io/Logging_MONSTERAS/tillsynsmail/A 41664-2019.docx")</f>
        <v/>
      </c>
    </row>
    <row r="394" ht="15" customHeight="1">
      <c r="A394" t="inlineStr">
        <is>
          <t>A 42104-2019</t>
        </is>
      </c>
      <c r="B394" s="1" t="n">
        <v>43702</v>
      </c>
      <c r="C394" s="1" t="n">
        <v>45175</v>
      </c>
      <c r="D394" t="inlineStr">
        <is>
          <t>KALMAR LÄN</t>
        </is>
      </c>
      <c r="E394" t="inlineStr">
        <is>
          <t>HULTSFRED</t>
        </is>
      </c>
      <c r="G394" t="n">
        <v>29.4</v>
      </c>
      <c r="H394" t="n">
        <v>0</v>
      </c>
      <c r="I394" t="n">
        <v>1</v>
      </c>
      <c r="J394" t="n">
        <v>0</v>
      </c>
      <c r="K394" t="n">
        <v>0</v>
      </c>
      <c r="L394" t="n">
        <v>0</v>
      </c>
      <c r="M394" t="n">
        <v>0</v>
      </c>
      <c r="N394" t="n">
        <v>0</v>
      </c>
      <c r="O394" t="n">
        <v>0</v>
      </c>
      <c r="P394" t="n">
        <v>0</v>
      </c>
      <c r="Q394" t="n">
        <v>1</v>
      </c>
      <c r="R394" s="2" t="inlineStr">
        <is>
          <t>Murgröna</t>
        </is>
      </c>
      <c r="S394">
        <f>HYPERLINK("https://klasma.github.io/Logging_HULTSFRED/artfynd/A 42104-2019.xlsx")</f>
        <v/>
      </c>
      <c r="T394">
        <f>HYPERLINK("https://klasma.github.io/Logging_HULTSFRED/kartor/A 42104-2019.png")</f>
        <v/>
      </c>
      <c r="V394">
        <f>HYPERLINK("https://klasma.github.io/Logging_HULTSFRED/klagomål/A 42104-2019.docx")</f>
        <v/>
      </c>
      <c r="W394">
        <f>HYPERLINK("https://klasma.github.io/Logging_HULTSFRED/klagomålsmail/A 42104-2019.docx")</f>
        <v/>
      </c>
      <c r="X394">
        <f>HYPERLINK("https://klasma.github.io/Logging_HULTSFRED/tillsyn/A 42104-2019.docx")</f>
        <v/>
      </c>
      <c r="Y394">
        <f>HYPERLINK("https://klasma.github.io/Logging_HULTSFRED/tillsynsmail/A 42104-2019.docx")</f>
        <v/>
      </c>
    </row>
    <row r="395" ht="15" customHeight="1">
      <c r="A395" t="inlineStr">
        <is>
          <t>A 42211-2019</t>
        </is>
      </c>
      <c r="B395" s="1" t="n">
        <v>43703</v>
      </c>
      <c r="C395" s="1" t="n">
        <v>45175</v>
      </c>
      <c r="D395" t="inlineStr">
        <is>
          <t>KALMAR LÄN</t>
        </is>
      </c>
      <c r="E395" t="inlineStr">
        <is>
          <t>TORSÅS</t>
        </is>
      </c>
      <c r="G395" t="n">
        <v>2.3</v>
      </c>
      <c r="H395" t="n">
        <v>0</v>
      </c>
      <c r="I395" t="n">
        <v>0</v>
      </c>
      <c r="J395" t="n">
        <v>0</v>
      </c>
      <c r="K395" t="n">
        <v>0</v>
      </c>
      <c r="L395" t="n">
        <v>0</v>
      </c>
      <c r="M395" t="n">
        <v>0</v>
      </c>
      <c r="N395" t="n">
        <v>1</v>
      </c>
      <c r="O395" t="n">
        <v>1</v>
      </c>
      <c r="P395" t="n">
        <v>0</v>
      </c>
      <c r="Q395" t="n">
        <v>1</v>
      </c>
      <c r="R395" s="2" t="inlineStr">
        <is>
          <t>Pimpinellros</t>
        </is>
      </c>
      <c r="S395">
        <f>HYPERLINK("https://klasma.github.io/Logging_TORSAS/artfynd/A 42211-2019.xlsx")</f>
        <v/>
      </c>
      <c r="T395">
        <f>HYPERLINK("https://klasma.github.io/Logging_TORSAS/kartor/A 42211-2019.png")</f>
        <v/>
      </c>
      <c r="V395">
        <f>HYPERLINK("https://klasma.github.io/Logging_TORSAS/klagomål/A 42211-2019.docx")</f>
        <v/>
      </c>
      <c r="W395">
        <f>HYPERLINK("https://klasma.github.io/Logging_TORSAS/klagomålsmail/A 42211-2019.docx")</f>
        <v/>
      </c>
      <c r="X395">
        <f>HYPERLINK("https://klasma.github.io/Logging_TORSAS/tillsyn/A 42211-2019.docx")</f>
        <v/>
      </c>
      <c r="Y395">
        <f>HYPERLINK("https://klasma.github.io/Logging_TORSAS/tillsynsmail/A 42211-2019.docx")</f>
        <v/>
      </c>
    </row>
    <row r="396" ht="15" customHeight="1">
      <c r="A396" t="inlineStr">
        <is>
          <t>A 43503-2019</t>
        </is>
      </c>
      <c r="B396" s="1" t="n">
        <v>43706</v>
      </c>
      <c r="C396" s="1" t="n">
        <v>45175</v>
      </c>
      <c r="D396" t="inlineStr">
        <is>
          <t>KALMAR LÄN</t>
        </is>
      </c>
      <c r="E396" t="inlineStr">
        <is>
          <t>MÖNSTERÅS</t>
        </is>
      </c>
      <c r="G396" t="n">
        <v>7.5</v>
      </c>
      <c r="H396" t="n">
        <v>0</v>
      </c>
      <c r="I396" t="n">
        <v>0</v>
      </c>
      <c r="J396" t="n">
        <v>1</v>
      </c>
      <c r="K396" t="n">
        <v>0</v>
      </c>
      <c r="L396" t="n">
        <v>0</v>
      </c>
      <c r="M396" t="n">
        <v>0</v>
      </c>
      <c r="N396" t="n">
        <v>0</v>
      </c>
      <c r="O396" t="n">
        <v>1</v>
      </c>
      <c r="P396" t="n">
        <v>0</v>
      </c>
      <c r="Q396" t="n">
        <v>1</v>
      </c>
      <c r="R396" s="2" t="inlineStr">
        <is>
          <t>Ekgetingbock</t>
        </is>
      </c>
      <c r="S396">
        <f>HYPERLINK("https://klasma.github.io/Logging_MONSTERAS/artfynd/A 43503-2019.xlsx")</f>
        <v/>
      </c>
      <c r="T396">
        <f>HYPERLINK("https://klasma.github.io/Logging_MONSTERAS/kartor/A 43503-2019.png")</f>
        <v/>
      </c>
      <c r="V396">
        <f>HYPERLINK("https://klasma.github.io/Logging_MONSTERAS/klagomål/A 43503-2019.docx")</f>
        <v/>
      </c>
      <c r="W396">
        <f>HYPERLINK("https://klasma.github.io/Logging_MONSTERAS/klagomålsmail/A 43503-2019.docx")</f>
        <v/>
      </c>
      <c r="X396">
        <f>HYPERLINK("https://klasma.github.io/Logging_MONSTERAS/tillsyn/A 43503-2019.docx")</f>
        <v/>
      </c>
      <c r="Y396">
        <f>HYPERLINK("https://klasma.github.io/Logging_MONSTERAS/tillsynsmail/A 43503-2019.docx")</f>
        <v/>
      </c>
    </row>
    <row r="397" ht="15" customHeight="1">
      <c r="A397" t="inlineStr">
        <is>
          <t>A 46011-2019</t>
        </is>
      </c>
      <c r="B397" s="1" t="n">
        <v>43718</v>
      </c>
      <c r="C397" s="1" t="n">
        <v>45175</v>
      </c>
      <c r="D397" t="inlineStr">
        <is>
          <t>KALMAR LÄN</t>
        </is>
      </c>
      <c r="E397" t="inlineStr">
        <is>
          <t>HÖGSBY</t>
        </is>
      </c>
      <c r="F397" t="inlineStr">
        <is>
          <t>Sveaskog</t>
        </is>
      </c>
      <c r="G397" t="n">
        <v>5.3</v>
      </c>
      <c r="H397" t="n">
        <v>1</v>
      </c>
      <c r="I397" t="n">
        <v>0</v>
      </c>
      <c r="J397" t="n">
        <v>0</v>
      </c>
      <c r="K397" t="n">
        <v>1</v>
      </c>
      <c r="L397" t="n">
        <v>0</v>
      </c>
      <c r="M397" t="n">
        <v>0</v>
      </c>
      <c r="N397" t="n">
        <v>0</v>
      </c>
      <c r="O397" t="n">
        <v>1</v>
      </c>
      <c r="P397" t="n">
        <v>1</v>
      </c>
      <c r="Q397" t="n">
        <v>1</v>
      </c>
      <c r="R397" s="2" t="inlineStr">
        <is>
          <t>Läderbagge</t>
        </is>
      </c>
      <c r="S397">
        <f>HYPERLINK("https://klasma.github.io/Logging_HOGSBY/artfynd/A 46011-2019.xlsx")</f>
        <v/>
      </c>
      <c r="T397">
        <f>HYPERLINK("https://klasma.github.io/Logging_HOGSBY/kartor/A 46011-2019.png")</f>
        <v/>
      </c>
      <c r="V397">
        <f>HYPERLINK("https://klasma.github.io/Logging_HOGSBY/klagomål/A 46011-2019.docx")</f>
        <v/>
      </c>
      <c r="W397">
        <f>HYPERLINK("https://klasma.github.io/Logging_HOGSBY/klagomålsmail/A 46011-2019.docx")</f>
        <v/>
      </c>
      <c r="X397">
        <f>HYPERLINK("https://klasma.github.io/Logging_HOGSBY/tillsyn/A 46011-2019.docx")</f>
        <v/>
      </c>
      <c r="Y397">
        <f>HYPERLINK("https://klasma.github.io/Logging_HOGSBY/tillsynsmail/A 46011-2019.docx")</f>
        <v/>
      </c>
    </row>
    <row r="398" ht="15" customHeight="1">
      <c r="A398" t="inlineStr">
        <is>
          <t>A 48001-2019</t>
        </is>
      </c>
      <c r="B398" s="1" t="n">
        <v>43725</v>
      </c>
      <c r="C398" s="1" t="n">
        <v>45175</v>
      </c>
      <c r="D398" t="inlineStr">
        <is>
          <t>KALMAR LÄN</t>
        </is>
      </c>
      <c r="E398" t="inlineStr">
        <is>
          <t>MÖRBYLÅNGA</t>
        </is>
      </c>
      <c r="G398" t="n">
        <v>2.6</v>
      </c>
      <c r="H398" t="n">
        <v>0</v>
      </c>
      <c r="I398" t="n">
        <v>1</v>
      </c>
      <c r="J398" t="n">
        <v>0</v>
      </c>
      <c r="K398" t="n">
        <v>0</v>
      </c>
      <c r="L398" t="n">
        <v>0</v>
      </c>
      <c r="M398" t="n">
        <v>0</v>
      </c>
      <c r="N398" t="n">
        <v>0</v>
      </c>
      <c r="O398" t="n">
        <v>0</v>
      </c>
      <c r="P398" t="n">
        <v>0</v>
      </c>
      <c r="Q398" t="n">
        <v>1</v>
      </c>
      <c r="R398" s="2" t="inlineStr">
        <is>
          <t>Murgröna</t>
        </is>
      </c>
      <c r="S398">
        <f>HYPERLINK("https://klasma.github.io/Logging_MORBYLANGA/artfynd/A 48001-2019.xlsx")</f>
        <v/>
      </c>
      <c r="T398">
        <f>HYPERLINK("https://klasma.github.io/Logging_MORBYLANGA/kartor/A 48001-2019.png")</f>
        <v/>
      </c>
      <c r="V398">
        <f>HYPERLINK("https://klasma.github.io/Logging_MORBYLANGA/klagomål/A 48001-2019.docx")</f>
        <v/>
      </c>
      <c r="W398">
        <f>HYPERLINK("https://klasma.github.io/Logging_MORBYLANGA/klagomålsmail/A 48001-2019.docx")</f>
        <v/>
      </c>
      <c r="X398">
        <f>HYPERLINK("https://klasma.github.io/Logging_MORBYLANGA/tillsyn/A 48001-2019.docx")</f>
        <v/>
      </c>
      <c r="Y398">
        <f>HYPERLINK("https://klasma.github.io/Logging_MORBYLANGA/tillsynsmail/A 48001-2019.docx")</f>
        <v/>
      </c>
    </row>
    <row r="399" ht="15" customHeight="1">
      <c r="A399" t="inlineStr">
        <is>
          <t>A 49015-2019</t>
        </is>
      </c>
      <c r="B399" s="1" t="n">
        <v>43731</v>
      </c>
      <c r="C399" s="1" t="n">
        <v>45175</v>
      </c>
      <c r="D399" t="inlineStr">
        <is>
          <t>KALMAR LÄN</t>
        </is>
      </c>
      <c r="E399" t="inlineStr">
        <is>
          <t>KALMAR</t>
        </is>
      </c>
      <c r="G399" t="n">
        <v>0.5</v>
      </c>
      <c r="H399" t="n">
        <v>1</v>
      </c>
      <c r="I399" t="n">
        <v>0</v>
      </c>
      <c r="J399" t="n">
        <v>0</v>
      </c>
      <c r="K399" t="n">
        <v>1</v>
      </c>
      <c r="L399" t="n">
        <v>0</v>
      </c>
      <c r="M399" t="n">
        <v>0</v>
      </c>
      <c r="N399" t="n">
        <v>0</v>
      </c>
      <c r="O399" t="n">
        <v>1</v>
      </c>
      <c r="P399" t="n">
        <v>1</v>
      </c>
      <c r="Q399" t="n">
        <v>1</v>
      </c>
      <c r="R399" s="2" t="inlineStr">
        <is>
          <t>Knärot</t>
        </is>
      </c>
      <c r="S399">
        <f>HYPERLINK("https://klasma.github.io/Logging_KALMAR/artfynd/A 49015-2019.xlsx")</f>
        <v/>
      </c>
      <c r="T399">
        <f>HYPERLINK("https://klasma.github.io/Logging_KALMAR/kartor/A 49015-2019.png")</f>
        <v/>
      </c>
      <c r="U399">
        <f>HYPERLINK("https://klasma.github.io/Logging_KALMAR/knärot/A 49015-2019.png")</f>
        <v/>
      </c>
      <c r="V399">
        <f>HYPERLINK("https://klasma.github.io/Logging_KALMAR/klagomål/A 49015-2019.docx")</f>
        <v/>
      </c>
      <c r="W399">
        <f>HYPERLINK("https://klasma.github.io/Logging_KALMAR/klagomålsmail/A 49015-2019.docx")</f>
        <v/>
      </c>
      <c r="X399">
        <f>HYPERLINK("https://klasma.github.io/Logging_KALMAR/tillsyn/A 49015-2019.docx")</f>
        <v/>
      </c>
      <c r="Y399">
        <f>HYPERLINK("https://klasma.github.io/Logging_KALMAR/tillsynsmail/A 49015-2019.docx")</f>
        <v/>
      </c>
    </row>
    <row r="400" ht="15" customHeight="1">
      <c r="A400" t="inlineStr">
        <is>
          <t>A 50067-2019</t>
        </is>
      </c>
      <c r="B400" s="1" t="n">
        <v>43734</v>
      </c>
      <c r="C400" s="1" t="n">
        <v>45175</v>
      </c>
      <c r="D400" t="inlineStr">
        <is>
          <t>KALMAR LÄN</t>
        </is>
      </c>
      <c r="E400" t="inlineStr">
        <is>
          <t>KALMAR</t>
        </is>
      </c>
      <c r="G400" t="n">
        <v>4</v>
      </c>
      <c r="H400" t="n">
        <v>0</v>
      </c>
      <c r="I400" t="n">
        <v>1</v>
      </c>
      <c r="J400" t="n">
        <v>0</v>
      </c>
      <c r="K400" t="n">
        <v>0</v>
      </c>
      <c r="L400" t="n">
        <v>0</v>
      </c>
      <c r="M400" t="n">
        <v>0</v>
      </c>
      <c r="N400" t="n">
        <v>0</v>
      </c>
      <c r="O400" t="n">
        <v>0</v>
      </c>
      <c r="P400" t="n">
        <v>0</v>
      </c>
      <c r="Q400" t="n">
        <v>1</v>
      </c>
      <c r="R400" s="2" t="inlineStr">
        <is>
          <t>Murgröna</t>
        </is>
      </c>
      <c r="S400">
        <f>HYPERLINK("https://klasma.github.io/Logging_KALMAR/artfynd/A 50067-2019.xlsx")</f>
        <v/>
      </c>
      <c r="T400">
        <f>HYPERLINK("https://klasma.github.io/Logging_KALMAR/kartor/A 50067-2019.png")</f>
        <v/>
      </c>
      <c r="V400">
        <f>HYPERLINK("https://klasma.github.io/Logging_KALMAR/klagomål/A 50067-2019.docx")</f>
        <v/>
      </c>
      <c r="W400">
        <f>HYPERLINK("https://klasma.github.io/Logging_KALMAR/klagomålsmail/A 50067-2019.docx")</f>
        <v/>
      </c>
      <c r="X400">
        <f>HYPERLINK("https://klasma.github.io/Logging_KALMAR/tillsyn/A 50067-2019.docx")</f>
        <v/>
      </c>
      <c r="Y400">
        <f>HYPERLINK("https://klasma.github.io/Logging_KALMAR/tillsynsmail/A 50067-2019.docx")</f>
        <v/>
      </c>
    </row>
    <row r="401" ht="15" customHeight="1">
      <c r="A401" t="inlineStr">
        <is>
          <t>A 50161-2019</t>
        </is>
      </c>
      <c r="B401" s="1" t="n">
        <v>43734</v>
      </c>
      <c r="C401" s="1" t="n">
        <v>45175</v>
      </c>
      <c r="D401" t="inlineStr">
        <is>
          <t>KALMAR LÄN</t>
        </is>
      </c>
      <c r="E401" t="inlineStr">
        <is>
          <t>NYBRO</t>
        </is>
      </c>
      <c r="G401" t="n">
        <v>1.6</v>
      </c>
      <c r="H401" t="n">
        <v>1</v>
      </c>
      <c r="I401" t="n">
        <v>1</v>
      </c>
      <c r="J401" t="n">
        <v>0</v>
      </c>
      <c r="K401" t="n">
        <v>0</v>
      </c>
      <c r="L401" t="n">
        <v>0</v>
      </c>
      <c r="M401" t="n">
        <v>0</v>
      </c>
      <c r="N401" t="n">
        <v>0</v>
      </c>
      <c r="O401" t="n">
        <v>0</v>
      </c>
      <c r="P401" t="n">
        <v>0</v>
      </c>
      <c r="Q401" t="n">
        <v>1</v>
      </c>
      <c r="R401" s="2" t="inlineStr">
        <is>
          <t>Korallrot</t>
        </is>
      </c>
      <c r="S401">
        <f>HYPERLINK("https://klasma.github.io/Logging_NYBRO/artfynd/A 50161-2019.xlsx")</f>
        <v/>
      </c>
      <c r="T401">
        <f>HYPERLINK("https://klasma.github.io/Logging_NYBRO/kartor/A 50161-2019.png")</f>
        <v/>
      </c>
      <c r="V401">
        <f>HYPERLINK("https://klasma.github.io/Logging_NYBRO/klagomål/A 50161-2019.docx")</f>
        <v/>
      </c>
      <c r="W401">
        <f>HYPERLINK("https://klasma.github.io/Logging_NYBRO/klagomålsmail/A 50161-2019.docx")</f>
        <v/>
      </c>
      <c r="X401">
        <f>HYPERLINK("https://klasma.github.io/Logging_NYBRO/tillsyn/A 50161-2019.docx")</f>
        <v/>
      </c>
      <c r="Y401">
        <f>HYPERLINK("https://klasma.github.io/Logging_NYBRO/tillsynsmail/A 50161-2019.docx")</f>
        <v/>
      </c>
    </row>
    <row r="402" ht="15" customHeight="1">
      <c r="A402" t="inlineStr">
        <is>
          <t>A 50457-2019</t>
        </is>
      </c>
      <c r="B402" s="1" t="n">
        <v>43735</v>
      </c>
      <c r="C402" s="1" t="n">
        <v>45175</v>
      </c>
      <c r="D402" t="inlineStr">
        <is>
          <t>KALMAR LÄN</t>
        </is>
      </c>
      <c r="E402" t="inlineStr">
        <is>
          <t>HÖGSBY</t>
        </is>
      </c>
      <c r="G402" t="n">
        <v>11.9</v>
      </c>
      <c r="H402" t="n">
        <v>1</v>
      </c>
      <c r="I402" t="n">
        <v>0</v>
      </c>
      <c r="J402" t="n">
        <v>0</v>
      </c>
      <c r="K402" t="n">
        <v>0</v>
      </c>
      <c r="L402" t="n">
        <v>0</v>
      </c>
      <c r="M402" t="n">
        <v>0</v>
      </c>
      <c r="N402" t="n">
        <v>0</v>
      </c>
      <c r="O402" t="n">
        <v>0</v>
      </c>
      <c r="P402" t="n">
        <v>0</v>
      </c>
      <c r="Q402" t="n">
        <v>1</v>
      </c>
      <c r="R402" s="2" t="inlineStr">
        <is>
          <t>Blåsippa</t>
        </is>
      </c>
      <c r="S402">
        <f>HYPERLINK("https://klasma.github.io/Logging_HOGSBY/artfynd/A 50457-2019.xlsx")</f>
        <v/>
      </c>
      <c r="T402">
        <f>HYPERLINK("https://klasma.github.io/Logging_HOGSBY/kartor/A 50457-2019.png")</f>
        <v/>
      </c>
      <c r="U402">
        <f>HYPERLINK("https://klasma.github.io/Logging_HOGSBY/knärot/A 50457-2019.png")</f>
        <v/>
      </c>
      <c r="V402">
        <f>HYPERLINK("https://klasma.github.io/Logging_HOGSBY/klagomål/A 50457-2019.docx")</f>
        <v/>
      </c>
      <c r="W402">
        <f>HYPERLINK("https://klasma.github.io/Logging_HOGSBY/klagomålsmail/A 50457-2019.docx")</f>
        <v/>
      </c>
      <c r="X402">
        <f>HYPERLINK("https://klasma.github.io/Logging_HOGSBY/tillsyn/A 50457-2019.docx")</f>
        <v/>
      </c>
      <c r="Y402">
        <f>HYPERLINK("https://klasma.github.io/Logging_HOGSBY/tillsynsmail/A 50457-2019.docx")</f>
        <v/>
      </c>
    </row>
    <row r="403" ht="15" customHeight="1">
      <c r="A403" t="inlineStr">
        <is>
          <t>A 51735-2019</t>
        </is>
      </c>
      <c r="B403" s="1" t="n">
        <v>43740</v>
      </c>
      <c r="C403" s="1" t="n">
        <v>45175</v>
      </c>
      <c r="D403" t="inlineStr">
        <is>
          <t>KALMAR LÄN</t>
        </is>
      </c>
      <c r="E403" t="inlineStr">
        <is>
          <t>NYBRO</t>
        </is>
      </c>
      <c r="F403" t="inlineStr">
        <is>
          <t>Kyrkan</t>
        </is>
      </c>
      <c r="G403" t="n">
        <v>2.9</v>
      </c>
      <c r="H403" t="n">
        <v>1</v>
      </c>
      <c r="I403" t="n">
        <v>0</v>
      </c>
      <c r="J403" t="n">
        <v>1</v>
      </c>
      <c r="K403" t="n">
        <v>0</v>
      </c>
      <c r="L403" t="n">
        <v>0</v>
      </c>
      <c r="M403" t="n">
        <v>0</v>
      </c>
      <c r="N403" t="n">
        <v>0</v>
      </c>
      <c r="O403" t="n">
        <v>1</v>
      </c>
      <c r="P403" t="n">
        <v>0</v>
      </c>
      <c r="Q403" t="n">
        <v>1</v>
      </c>
      <c r="R403" s="2" t="inlineStr">
        <is>
          <t>Havsörn</t>
        </is>
      </c>
      <c r="S403">
        <f>HYPERLINK("https://klasma.github.io/Logging_NYBRO/artfynd/A 51735-2019.xlsx")</f>
        <v/>
      </c>
      <c r="T403">
        <f>HYPERLINK("https://klasma.github.io/Logging_NYBRO/kartor/A 51735-2019.png")</f>
        <v/>
      </c>
      <c r="V403">
        <f>HYPERLINK("https://klasma.github.io/Logging_NYBRO/klagomål/A 51735-2019.docx")</f>
        <v/>
      </c>
      <c r="W403">
        <f>HYPERLINK("https://klasma.github.io/Logging_NYBRO/klagomålsmail/A 51735-2019.docx")</f>
        <v/>
      </c>
      <c r="X403">
        <f>HYPERLINK("https://klasma.github.io/Logging_NYBRO/tillsyn/A 51735-2019.docx")</f>
        <v/>
      </c>
      <c r="Y403">
        <f>HYPERLINK("https://klasma.github.io/Logging_NYBRO/tillsynsmail/A 51735-2019.docx")</f>
        <v/>
      </c>
    </row>
    <row r="404" ht="15" customHeight="1">
      <c r="A404" t="inlineStr">
        <is>
          <t>A 52156-2019</t>
        </is>
      </c>
      <c r="B404" s="1" t="n">
        <v>43742</v>
      </c>
      <c r="C404" s="1" t="n">
        <v>45175</v>
      </c>
      <c r="D404" t="inlineStr">
        <is>
          <t>KALMAR LÄN</t>
        </is>
      </c>
      <c r="E404" t="inlineStr">
        <is>
          <t>VIMMERBY</t>
        </is>
      </c>
      <c r="G404" t="n">
        <v>3.7</v>
      </c>
      <c r="H404" t="n">
        <v>1</v>
      </c>
      <c r="I404" t="n">
        <v>0</v>
      </c>
      <c r="J404" t="n">
        <v>0</v>
      </c>
      <c r="K404" t="n">
        <v>0</v>
      </c>
      <c r="L404" t="n">
        <v>0</v>
      </c>
      <c r="M404" t="n">
        <v>0</v>
      </c>
      <c r="N404" t="n">
        <v>0</v>
      </c>
      <c r="O404" t="n">
        <v>0</v>
      </c>
      <c r="P404" t="n">
        <v>0</v>
      </c>
      <c r="Q404" t="n">
        <v>1</v>
      </c>
      <c r="R404" s="2" t="inlineStr">
        <is>
          <t>Blåsippa</t>
        </is>
      </c>
      <c r="S404">
        <f>HYPERLINK("https://klasma.github.io/Logging_VIMMERBY/artfynd/A 52156-2019.xlsx")</f>
        <v/>
      </c>
      <c r="T404">
        <f>HYPERLINK("https://klasma.github.io/Logging_VIMMERBY/kartor/A 52156-2019.png")</f>
        <v/>
      </c>
      <c r="U404">
        <f>HYPERLINK("https://klasma.github.io/Logging_VIMMERBY/knärot/A 52156-2019.png")</f>
        <v/>
      </c>
      <c r="V404">
        <f>HYPERLINK("https://klasma.github.io/Logging_VIMMERBY/klagomål/A 52156-2019.docx")</f>
        <v/>
      </c>
      <c r="W404">
        <f>HYPERLINK("https://klasma.github.io/Logging_VIMMERBY/klagomålsmail/A 52156-2019.docx")</f>
        <v/>
      </c>
      <c r="X404">
        <f>HYPERLINK("https://klasma.github.io/Logging_VIMMERBY/tillsyn/A 52156-2019.docx")</f>
        <v/>
      </c>
      <c r="Y404">
        <f>HYPERLINK("https://klasma.github.io/Logging_VIMMERBY/tillsynsmail/A 52156-2019.docx")</f>
        <v/>
      </c>
    </row>
    <row r="405" ht="15" customHeight="1">
      <c r="A405" t="inlineStr">
        <is>
          <t>A 57302-2019</t>
        </is>
      </c>
      <c r="B405" s="1" t="n">
        <v>43760</v>
      </c>
      <c r="C405" s="1" t="n">
        <v>45175</v>
      </c>
      <c r="D405" t="inlineStr">
        <is>
          <t>KALMAR LÄN</t>
        </is>
      </c>
      <c r="E405" t="inlineStr">
        <is>
          <t>MÖNSTERÅS</t>
        </is>
      </c>
      <c r="G405" t="n">
        <v>11.3</v>
      </c>
      <c r="H405" t="n">
        <v>0</v>
      </c>
      <c r="I405" t="n">
        <v>0</v>
      </c>
      <c r="J405" t="n">
        <v>1</v>
      </c>
      <c r="K405" t="n">
        <v>0</v>
      </c>
      <c r="L405" t="n">
        <v>0</v>
      </c>
      <c r="M405" t="n">
        <v>0</v>
      </c>
      <c r="N405" t="n">
        <v>0</v>
      </c>
      <c r="O405" t="n">
        <v>1</v>
      </c>
      <c r="P405" t="n">
        <v>0</v>
      </c>
      <c r="Q405" t="n">
        <v>1</v>
      </c>
      <c r="R405" s="2" t="inlineStr">
        <is>
          <t>Spetspraktbagge</t>
        </is>
      </c>
      <c r="S405">
        <f>HYPERLINK("https://klasma.github.io/Logging_MONSTERAS/artfynd/A 57302-2019.xlsx")</f>
        <v/>
      </c>
      <c r="T405">
        <f>HYPERLINK("https://klasma.github.io/Logging_MONSTERAS/kartor/A 57302-2019.png")</f>
        <v/>
      </c>
      <c r="V405">
        <f>HYPERLINK("https://klasma.github.io/Logging_MONSTERAS/klagomål/A 57302-2019.docx")</f>
        <v/>
      </c>
      <c r="W405">
        <f>HYPERLINK("https://klasma.github.io/Logging_MONSTERAS/klagomålsmail/A 57302-2019.docx")</f>
        <v/>
      </c>
      <c r="X405">
        <f>HYPERLINK("https://klasma.github.io/Logging_MONSTERAS/tillsyn/A 57302-2019.docx")</f>
        <v/>
      </c>
      <c r="Y405">
        <f>HYPERLINK("https://klasma.github.io/Logging_MONSTERAS/tillsynsmail/A 57302-2019.docx")</f>
        <v/>
      </c>
    </row>
    <row r="406" ht="15" customHeight="1">
      <c r="A406" t="inlineStr">
        <is>
          <t>A 57756-2019</t>
        </is>
      </c>
      <c r="B406" s="1" t="n">
        <v>43762</v>
      </c>
      <c r="C406" s="1" t="n">
        <v>45175</v>
      </c>
      <c r="D406" t="inlineStr">
        <is>
          <t>KALMAR LÄN</t>
        </is>
      </c>
      <c r="E406" t="inlineStr">
        <is>
          <t>BORGHOLM</t>
        </is>
      </c>
      <c r="G406" t="n">
        <v>3.3</v>
      </c>
      <c r="H406" t="n">
        <v>0</v>
      </c>
      <c r="I406" t="n">
        <v>0</v>
      </c>
      <c r="J406" t="n">
        <v>0</v>
      </c>
      <c r="K406" t="n">
        <v>0</v>
      </c>
      <c r="L406" t="n">
        <v>1</v>
      </c>
      <c r="M406" t="n">
        <v>0</v>
      </c>
      <c r="N406" t="n">
        <v>0</v>
      </c>
      <c r="O406" t="n">
        <v>1</v>
      </c>
      <c r="P406" t="n">
        <v>1</v>
      </c>
      <c r="Q406" t="n">
        <v>1</v>
      </c>
      <c r="R406" s="2" t="inlineStr">
        <is>
          <t>Ask</t>
        </is>
      </c>
      <c r="S406">
        <f>HYPERLINK("https://klasma.github.io/Logging_BORGHOLM/artfynd/A 57756-2019.xlsx")</f>
        <v/>
      </c>
      <c r="T406">
        <f>HYPERLINK("https://klasma.github.io/Logging_BORGHOLM/kartor/A 57756-2019.png")</f>
        <v/>
      </c>
      <c r="V406">
        <f>HYPERLINK("https://klasma.github.io/Logging_BORGHOLM/klagomål/A 57756-2019.docx")</f>
        <v/>
      </c>
      <c r="W406">
        <f>HYPERLINK("https://klasma.github.io/Logging_BORGHOLM/klagomålsmail/A 57756-2019.docx")</f>
        <v/>
      </c>
      <c r="X406">
        <f>HYPERLINK("https://klasma.github.io/Logging_BORGHOLM/tillsyn/A 57756-2019.docx")</f>
        <v/>
      </c>
      <c r="Y406">
        <f>HYPERLINK("https://klasma.github.io/Logging_BORGHOLM/tillsynsmail/A 57756-2019.docx")</f>
        <v/>
      </c>
    </row>
    <row r="407" ht="15" customHeight="1">
      <c r="A407" t="inlineStr">
        <is>
          <t>A 57390-2019</t>
        </is>
      </c>
      <c r="B407" s="1" t="n">
        <v>43767</v>
      </c>
      <c r="C407" s="1" t="n">
        <v>45175</v>
      </c>
      <c r="D407" t="inlineStr">
        <is>
          <t>KALMAR LÄN</t>
        </is>
      </c>
      <c r="E407" t="inlineStr">
        <is>
          <t>HÖGSBY</t>
        </is>
      </c>
      <c r="G407" t="n">
        <v>4.9</v>
      </c>
      <c r="H407" t="n">
        <v>1</v>
      </c>
      <c r="I407" t="n">
        <v>0</v>
      </c>
      <c r="J407" t="n">
        <v>0</v>
      </c>
      <c r="K407" t="n">
        <v>0</v>
      </c>
      <c r="L407" t="n">
        <v>0</v>
      </c>
      <c r="M407" t="n">
        <v>0</v>
      </c>
      <c r="N407" t="n">
        <v>0</v>
      </c>
      <c r="O407" t="n">
        <v>0</v>
      </c>
      <c r="P407" t="n">
        <v>0</v>
      </c>
      <c r="Q407" t="n">
        <v>1</v>
      </c>
      <c r="R407" s="2" t="inlineStr">
        <is>
          <t>Gullviva</t>
        </is>
      </c>
      <c r="S407">
        <f>HYPERLINK("https://klasma.github.io/Logging_HOGSBY/artfynd/A 57390-2019.xlsx")</f>
        <v/>
      </c>
      <c r="T407">
        <f>HYPERLINK("https://klasma.github.io/Logging_HOGSBY/kartor/A 57390-2019.png")</f>
        <v/>
      </c>
      <c r="V407">
        <f>HYPERLINK("https://klasma.github.io/Logging_HOGSBY/klagomål/A 57390-2019.docx")</f>
        <v/>
      </c>
      <c r="W407">
        <f>HYPERLINK("https://klasma.github.io/Logging_HOGSBY/klagomålsmail/A 57390-2019.docx")</f>
        <v/>
      </c>
      <c r="X407">
        <f>HYPERLINK("https://klasma.github.io/Logging_HOGSBY/tillsyn/A 57390-2019.docx")</f>
        <v/>
      </c>
      <c r="Y407">
        <f>HYPERLINK("https://klasma.github.io/Logging_HOGSBY/tillsynsmail/A 57390-2019.docx")</f>
        <v/>
      </c>
    </row>
    <row r="408" ht="15" customHeight="1">
      <c r="A408" t="inlineStr">
        <is>
          <t>A 58275-2019</t>
        </is>
      </c>
      <c r="B408" s="1" t="n">
        <v>43770</v>
      </c>
      <c r="C408" s="1" t="n">
        <v>45175</v>
      </c>
      <c r="D408" t="inlineStr">
        <is>
          <t>KALMAR LÄN</t>
        </is>
      </c>
      <c r="E408" t="inlineStr">
        <is>
          <t>BORGHOLM</t>
        </is>
      </c>
      <c r="G408" t="n">
        <v>3.8</v>
      </c>
      <c r="H408" t="n">
        <v>0</v>
      </c>
      <c r="I408" t="n">
        <v>0</v>
      </c>
      <c r="J408" t="n">
        <v>1</v>
      </c>
      <c r="K408" t="n">
        <v>0</v>
      </c>
      <c r="L408" t="n">
        <v>0</v>
      </c>
      <c r="M408" t="n">
        <v>0</v>
      </c>
      <c r="N408" t="n">
        <v>0</v>
      </c>
      <c r="O408" t="n">
        <v>1</v>
      </c>
      <c r="P408" t="n">
        <v>0</v>
      </c>
      <c r="Q408" t="n">
        <v>1</v>
      </c>
      <c r="R408" s="2" t="inlineStr">
        <is>
          <t>Stor sotdyna</t>
        </is>
      </c>
      <c r="S408">
        <f>HYPERLINK("https://klasma.github.io/Logging_BORGHOLM/artfynd/A 58275-2019.xlsx")</f>
        <v/>
      </c>
      <c r="T408">
        <f>HYPERLINK("https://klasma.github.io/Logging_BORGHOLM/kartor/A 58275-2019.png")</f>
        <v/>
      </c>
      <c r="V408">
        <f>HYPERLINK("https://klasma.github.io/Logging_BORGHOLM/klagomål/A 58275-2019.docx")</f>
        <v/>
      </c>
      <c r="W408">
        <f>HYPERLINK("https://klasma.github.io/Logging_BORGHOLM/klagomålsmail/A 58275-2019.docx")</f>
        <v/>
      </c>
      <c r="X408">
        <f>HYPERLINK("https://klasma.github.io/Logging_BORGHOLM/tillsyn/A 58275-2019.docx")</f>
        <v/>
      </c>
      <c r="Y408">
        <f>HYPERLINK("https://klasma.github.io/Logging_BORGHOLM/tillsynsmail/A 58275-2019.docx")</f>
        <v/>
      </c>
    </row>
    <row r="409" ht="15" customHeight="1">
      <c r="A409" t="inlineStr">
        <is>
          <t>A 59193-2019</t>
        </is>
      </c>
      <c r="B409" s="1" t="n">
        <v>43775</v>
      </c>
      <c r="C409" s="1" t="n">
        <v>45175</v>
      </c>
      <c r="D409" t="inlineStr">
        <is>
          <t>KALMAR LÄN</t>
        </is>
      </c>
      <c r="E409" t="inlineStr">
        <is>
          <t>VÄSTERVIK</t>
        </is>
      </c>
      <c r="G409" t="n">
        <v>3.8</v>
      </c>
      <c r="H409" t="n">
        <v>0</v>
      </c>
      <c r="I409" t="n">
        <v>0</v>
      </c>
      <c r="J409" t="n">
        <v>1</v>
      </c>
      <c r="K409" t="n">
        <v>0</v>
      </c>
      <c r="L409" t="n">
        <v>0</v>
      </c>
      <c r="M409" t="n">
        <v>0</v>
      </c>
      <c r="N409" t="n">
        <v>0</v>
      </c>
      <c r="O409" t="n">
        <v>1</v>
      </c>
      <c r="P409" t="n">
        <v>0</v>
      </c>
      <c r="Q409" t="n">
        <v>1</v>
      </c>
      <c r="R409" s="2" t="inlineStr">
        <is>
          <t>Åkerkulla</t>
        </is>
      </c>
      <c r="S409">
        <f>HYPERLINK("https://klasma.github.io/Logging_VASTERVIK/artfynd/A 59193-2019.xlsx")</f>
        <v/>
      </c>
      <c r="T409">
        <f>HYPERLINK("https://klasma.github.io/Logging_VASTERVIK/kartor/A 59193-2019.png")</f>
        <v/>
      </c>
      <c r="V409">
        <f>HYPERLINK("https://klasma.github.io/Logging_VASTERVIK/klagomål/A 59193-2019.docx")</f>
        <v/>
      </c>
      <c r="W409">
        <f>HYPERLINK("https://klasma.github.io/Logging_VASTERVIK/klagomålsmail/A 59193-2019.docx")</f>
        <v/>
      </c>
      <c r="X409">
        <f>HYPERLINK("https://klasma.github.io/Logging_VASTERVIK/tillsyn/A 59193-2019.docx")</f>
        <v/>
      </c>
      <c r="Y409">
        <f>HYPERLINK("https://klasma.github.io/Logging_VASTERVIK/tillsynsmail/A 59193-2019.docx")</f>
        <v/>
      </c>
    </row>
    <row r="410" ht="15" customHeight="1">
      <c r="A410" t="inlineStr">
        <is>
          <t>A 63075-2019</t>
        </is>
      </c>
      <c r="B410" s="1" t="n">
        <v>43790</v>
      </c>
      <c r="C410" s="1" t="n">
        <v>45175</v>
      </c>
      <c r="D410" t="inlineStr">
        <is>
          <t>KALMAR LÄN</t>
        </is>
      </c>
      <c r="E410" t="inlineStr">
        <is>
          <t>HÖGSBY</t>
        </is>
      </c>
      <c r="G410" t="n">
        <v>11.8</v>
      </c>
      <c r="H410" t="n">
        <v>0</v>
      </c>
      <c r="I410" t="n">
        <v>1</v>
      </c>
      <c r="J410" t="n">
        <v>0</v>
      </c>
      <c r="K410" t="n">
        <v>0</v>
      </c>
      <c r="L410" t="n">
        <v>0</v>
      </c>
      <c r="M410" t="n">
        <v>0</v>
      </c>
      <c r="N410" t="n">
        <v>0</v>
      </c>
      <c r="O410" t="n">
        <v>0</v>
      </c>
      <c r="P410" t="n">
        <v>0</v>
      </c>
      <c r="Q410" t="n">
        <v>1</v>
      </c>
      <c r="R410" s="2" t="inlineStr">
        <is>
          <t>Fällmossa</t>
        </is>
      </c>
      <c r="S410">
        <f>HYPERLINK("https://klasma.github.io/Logging_HOGSBY/artfynd/A 63075-2019.xlsx")</f>
        <v/>
      </c>
      <c r="T410">
        <f>HYPERLINK("https://klasma.github.io/Logging_HOGSBY/kartor/A 63075-2019.png")</f>
        <v/>
      </c>
      <c r="V410">
        <f>HYPERLINK("https://klasma.github.io/Logging_HOGSBY/klagomål/A 63075-2019.docx")</f>
        <v/>
      </c>
      <c r="W410">
        <f>HYPERLINK("https://klasma.github.io/Logging_HOGSBY/klagomålsmail/A 63075-2019.docx")</f>
        <v/>
      </c>
      <c r="X410">
        <f>HYPERLINK("https://klasma.github.io/Logging_HOGSBY/tillsyn/A 63075-2019.docx")</f>
        <v/>
      </c>
      <c r="Y410">
        <f>HYPERLINK("https://klasma.github.io/Logging_HOGSBY/tillsynsmail/A 63075-2019.docx")</f>
        <v/>
      </c>
    </row>
    <row r="411" ht="15" customHeight="1">
      <c r="A411" t="inlineStr">
        <is>
          <t>A 64121-2019</t>
        </is>
      </c>
      <c r="B411" s="1" t="n">
        <v>43796</v>
      </c>
      <c r="C411" s="1" t="n">
        <v>45175</v>
      </c>
      <c r="D411" t="inlineStr">
        <is>
          <t>KALMAR LÄN</t>
        </is>
      </c>
      <c r="E411" t="inlineStr">
        <is>
          <t>BORGHOLM</t>
        </is>
      </c>
      <c r="G411" t="n">
        <v>4</v>
      </c>
      <c r="H411" t="n">
        <v>0</v>
      </c>
      <c r="I411" t="n">
        <v>0</v>
      </c>
      <c r="J411" t="n">
        <v>0</v>
      </c>
      <c r="K411" t="n">
        <v>1</v>
      </c>
      <c r="L411" t="n">
        <v>0</v>
      </c>
      <c r="M411" t="n">
        <v>0</v>
      </c>
      <c r="N411" t="n">
        <v>0</v>
      </c>
      <c r="O411" t="n">
        <v>1</v>
      </c>
      <c r="P411" t="n">
        <v>1</v>
      </c>
      <c r="Q411" t="n">
        <v>1</v>
      </c>
      <c r="R411" s="2" t="inlineStr">
        <is>
          <t>Klosterlav</t>
        </is>
      </c>
      <c r="S411">
        <f>HYPERLINK("https://klasma.github.io/Logging_BORGHOLM/artfynd/A 64121-2019.xlsx")</f>
        <v/>
      </c>
      <c r="T411">
        <f>HYPERLINK("https://klasma.github.io/Logging_BORGHOLM/kartor/A 64121-2019.png")</f>
        <v/>
      </c>
      <c r="V411">
        <f>HYPERLINK("https://klasma.github.io/Logging_BORGHOLM/klagomål/A 64121-2019.docx")</f>
        <v/>
      </c>
      <c r="W411">
        <f>HYPERLINK("https://klasma.github.io/Logging_BORGHOLM/klagomålsmail/A 64121-2019.docx")</f>
        <v/>
      </c>
      <c r="X411">
        <f>HYPERLINK("https://klasma.github.io/Logging_BORGHOLM/tillsyn/A 64121-2019.docx")</f>
        <v/>
      </c>
      <c r="Y411">
        <f>HYPERLINK("https://klasma.github.io/Logging_BORGHOLM/tillsynsmail/A 64121-2019.docx")</f>
        <v/>
      </c>
    </row>
    <row r="412" ht="15" customHeight="1">
      <c r="A412" t="inlineStr">
        <is>
          <t>A 64120-2019</t>
        </is>
      </c>
      <c r="B412" s="1" t="n">
        <v>43796</v>
      </c>
      <c r="C412" s="1" t="n">
        <v>45175</v>
      </c>
      <c r="D412" t="inlineStr">
        <is>
          <t>KALMAR LÄN</t>
        </is>
      </c>
      <c r="E412" t="inlineStr">
        <is>
          <t>BORGHOLM</t>
        </is>
      </c>
      <c r="G412" t="n">
        <v>1</v>
      </c>
      <c r="H412" t="n">
        <v>0</v>
      </c>
      <c r="I412" t="n">
        <v>0</v>
      </c>
      <c r="J412" t="n">
        <v>1</v>
      </c>
      <c r="K412" t="n">
        <v>0</v>
      </c>
      <c r="L412" t="n">
        <v>0</v>
      </c>
      <c r="M412" t="n">
        <v>0</v>
      </c>
      <c r="N412" t="n">
        <v>0</v>
      </c>
      <c r="O412" t="n">
        <v>1</v>
      </c>
      <c r="P412" t="n">
        <v>0</v>
      </c>
      <c r="Q412" t="n">
        <v>1</v>
      </c>
      <c r="R412" s="2" t="inlineStr">
        <is>
          <t>Skogsklocka</t>
        </is>
      </c>
      <c r="S412">
        <f>HYPERLINK("https://klasma.github.io/Logging_BORGHOLM/artfynd/A 64120-2019.xlsx")</f>
        <v/>
      </c>
      <c r="T412">
        <f>HYPERLINK("https://klasma.github.io/Logging_BORGHOLM/kartor/A 64120-2019.png")</f>
        <v/>
      </c>
      <c r="V412">
        <f>HYPERLINK("https://klasma.github.io/Logging_BORGHOLM/klagomål/A 64120-2019.docx")</f>
        <v/>
      </c>
      <c r="W412">
        <f>HYPERLINK("https://klasma.github.io/Logging_BORGHOLM/klagomålsmail/A 64120-2019.docx")</f>
        <v/>
      </c>
      <c r="X412">
        <f>HYPERLINK("https://klasma.github.io/Logging_BORGHOLM/tillsyn/A 64120-2019.docx")</f>
        <v/>
      </c>
      <c r="Y412">
        <f>HYPERLINK("https://klasma.github.io/Logging_BORGHOLM/tillsynsmail/A 64120-2019.docx")</f>
        <v/>
      </c>
    </row>
    <row r="413" ht="15" customHeight="1">
      <c r="A413" t="inlineStr">
        <is>
          <t>A 64356-2019</t>
        </is>
      </c>
      <c r="B413" s="1" t="n">
        <v>43797</v>
      </c>
      <c r="C413" s="1" t="n">
        <v>45175</v>
      </c>
      <c r="D413" t="inlineStr">
        <is>
          <t>KALMAR LÄN</t>
        </is>
      </c>
      <c r="E413" t="inlineStr">
        <is>
          <t>VIMMERBY</t>
        </is>
      </c>
      <c r="G413" t="n">
        <v>1.4</v>
      </c>
      <c r="H413" t="n">
        <v>0</v>
      </c>
      <c r="I413" t="n">
        <v>1</v>
      </c>
      <c r="J413" t="n">
        <v>0</v>
      </c>
      <c r="K413" t="n">
        <v>0</v>
      </c>
      <c r="L413" t="n">
        <v>0</v>
      </c>
      <c r="M413" t="n">
        <v>0</v>
      </c>
      <c r="N413" t="n">
        <v>0</v>
      </c>
      <c r="O413" t="n">
        <v>0</v>
      </c>
      <c r="P413" t="n">
        <v>0</v>
      </c>
      <c r="Q413" t="n">
        <v>1</v>
      </c>
      <c r="R413" s="2" t="inlineStr">
        <is>
          <t>Fällmossa</t>
        </is>
      </c>
      <c r="S413">
        <f>HYPERLINK("https://klasma.github.io/Logging_VIMMERBY/artfynd/A 64356-2019.xlsx")</f>
        <v/>
      </c>
      <c r="T413">
        <f>HYPERLINK("https://klasma.github.io/Logging_VIMMERBY/kartor/A 64356-2019.png")</f>
        <v/>
      </c>
      <c r="V413">
        <f>HYPERLINK("https://klasma.github.io/Logging_VIMMERBY/klagomål/A 64356-2019.docx")</f>
        <v/>
      </c>
      <c r="W413">
        <f>HYPERLINK("https://klasma.github.io/Logging_VIMMERBY/klagomålsmail/A 64356-2019.docx")</f>
        <v/>
      </c>
      <c r="X413">
        <f>HYPERLINK("https://klasma.github.io/Logging_VIMMERBY/tillsyn/A 64356-2019.docx")</f>
        <v/>
      </c>
      <c r="Y413">
        <f>HYPERLINK("https://klasma.github.io/Logging_VIMMERBY/tillsynsmail/A 64356-2019.docx")</f>
        <v/>
      </c>
    </row>
    <row r="414" ht="15" customHeight="1">
      <c r="A414" t="inlineStr">
        <is>
          <t>A 64844-2019</t>
        </is>
      </c>
      <c r="B414" s="1" t="n">
        <v>43801</v>
      </c>
      <c r="C414" s="1" t="n">
        <v>45175</v>
      </c>
      <c r="D414" t="inlineStr">
        <is>
          <t>KALMAR LÄN</t>
        </is>
      </c>
      <c r="E414" t="inlineStr">
        <is>
          <t>NYBRO</t>
        </is>
      </c>
      <c r="G414" t="n">
        <v>11.9</v>
      </c>
      <c r="H414" t="n">
        <v>1</v>
      </c>
      <c r="I414" t="n">
        <v>0</v>
      </c>
      <c r="J414" t="n">
        <v>1</v>
      </c>
      <c r="K414" t="n">
        <v>0</v>
      </c>
      <c r="L414" t="n">
        <v>0</v>
      </c>
      <c r="M414" t="n">
        <v>0</v>
      </c>
      <c r="N414" t="n">
        <v>0</v>
      </c>
      <c r="O414" t="n">
        <v>1</v>
      </c>
      <c r="P414" t="n">
        <v>0</v>
      </c>
      <c r="Q414" t="n">
        <v>1</v>
      </c>
      <c r="R414" s="2" t="inlineStr">
        <is>
          <t>Mindre hackspett</t>
        </is>
      </c>
      <c r="S414">
        <f>HYPERLINK("https://klasma.github.io/Logging_NYBRO/artfynd/A 64844-2019.xlsx")</f>
        <v/>
      </c>
      <c r="T414">
        <f>HYPERLINK("https://klasma.github.io/Logging_NYBRO/kartor/A 64844-2019.png")</f>
        <v/>
      </c>
      <c r="V414">
        <f>HYPERLINK("https://klasma.github.io/Logging_NYBRO/klagomål/A 64844-2019.docx")</f>
        <v/>
      </c>
      <c r="W414">
        <f>HYPERLINK("https://klasma.github.io/Logging_NYBRO/klagomålsmail/A 64844-2019.docx")</f>
        <v/>
      </c>
      <c r="X414">
        <f>HYPERLINK("https://klasma.github.io/Logging_NYBRO/tillsyn/A 64844-2019.docx")</f>
        <v/>
      </c>
      <c r="Y414">
        <f>HYPERLINK("https://klasma.github.io/Logging_NYBRO/tillsynsmail/A 64844-2019.docx")</f>
        <v/>
      </c>
    </row>
    <row r="415" ht="15" customHeight="1">
      <c r="A415" t="inlineStr">
        <is>
          <t>A 65105-2019</t>
        </is>
      </c>
      <c r="B415" s="1" t="n">
        <v>43802</v>
      </c>
      <c r="C415" s="1" t="n">
        <v>45175</v>
      </c>
      <c r="D415" t="inlineStr">
        <is>
          <t>KALMAR LÄN</t>
        </is>
      </c>
      <c r="E415" t="inlineStr">
        <is>
          <t>MÖNSTERÅS</t>
        </is>
      </c>
      <c r="G415" t="n">
        <v>11.6</v>
      </c>
      <c r="H415" t="n">
        <v>0</v>
      </c>
      <c r="I415" t="n">
        <v>1</v>
      </c>
      <c r="J415" t="n">
        <v>0</v>
      </c>
      <c r="K415" t="n">
        <v>0</v>
      </c>
      <c r="L415" t="n">
        <v>0</v>
      </c>
      <c r="M415" t="n">
        <v>0</v>
      </c>
      <c r="N415" t="n">
        <v>0</v>
      </c>
      <c r="O415" t="n">
        <v>0</v>
      </c>
      <c r="P415" t="n">
        <v>0</v>
      </c>
      <c r="Q415" t="n">
        <v>1</v>
      </c>
      <c r="R415" s="2" t="inlineStr">
        <is>
          <t>Grönpyrola</t>
        </is>
      </c>
      <c r="S415">
        <f>HYPERLINK("https://klasma.github.io/Logging_MONSTERAS/artfynd/A 65105-2019.xlsx")</f>
        <v/>
      </c>
      <c r="T415">
        <f>HYPERLINK("https://klasma.github.io/Logging_MONSTERAS/kartor/A 65105-2019.png")</f>
        <v/>
      </c>
      <c r="V415">
        <f>HYPERLINK("https://klasma.github.io/Logging_MONSTERAS/klagomål/A 65105-2019.docx")</f>
        <v/>
      </c>
      <c r="W415">
        <f>HYPERLINK("https://klasma.github.io/Logging_MONSTERAS/klagomålsmail/A 65105-2019.docx")</f>
        <v/>
      </c>
      <c r="X415">
        <f>HYPERLINK("https://klasma.github.io/Logging_MONSTERAS/tillsyn/A 65105-2019.docx")</f>
        <v/>
      </c>
      <c r="Y415">
        <f>HYPERLINK("https://klasma.github.io/Logging_MONSTERAS/tillsynsmail/A 65105-2019.docx")</f>
        <v/>
      </c>
    </row>
    <row r="416" ht="15" customHeight="1">
      <c r="A416" t="inlineStr">
        <is>
          <t>A 67520-2019</t>
        </is>
      </c>
      <c r="B416" s="1" t="n">
        <v>43815</v>
      </c>
      <c r="C416" s="1" t="n">
        <v>45175</v>
      </c>
      <c r="D416" t="inlineStr">
        <is>
          <t>KALMAR LÄN</t>
        </is>
      </c>
      <c r="E416" t="inlineStr">
        <is>
          <t>NYBRO</t>
        </is>
      </c>
      <c r="F416" t="inlineStr">
        <is>
          <t>Kommuner</t>
        </is>
      </c>
      <c r="G416" t="n">
        <v>1.3</v>
      </c>
      <c r="H416" t="n">
        <v>0</v>
      </c>
      <c r="I416" t="n">
        <v>0</v>
      </c>
      <c r="J416" t="n">
        <v>1</v>
      </c>
      <c r="K416" t="n">
        <v>0</v>
      </c>
      <c r="L416" t="n">
        <v>0</v>
      </c>
      <c r="M416" t="n">
        <v>0</v>
      </c>
      <c r="N416" t="n">
        <v>0</v>
      </c>
      <c r="O416" t="n">
        <v>1</v>
      </c>
      <c r="P416" t="n">
        <v>0</v>
      </c>
      <c r="Q416" t="n">
        <v>1</v>
      </c>
      <c r="R416" s="2" t="inlineStr">
        <is>
          <t>Mjukdån</t>
        </is>
      </c>
      <c r="S416">
        <f>HYPERLINK("https://klasma.github.io/Logging_NYBRO/artfynd/A 67520-2019.xlsx")</f>
        <v/>
      </c>
      <c r="T416">
        <f>HYPERLINK("https://klasma.github.io/Logging_NYBRO/kartor/A 67520-2019.png")</f>
        <v/>
      </c>
      <c r="V416">
        <f>HYPERLINK("https://klasma.github.io/Logging_NYBRO/klagomål/A 67520-2019.docx")</f>
        <v/>
      </c>
      <c r="W416">
        <f>HYPERLINK("https://klasma.github.io/Logging_NYBRO/klagomålsmail/A 67520-2019.docx")</f>
        <v/>
      </c>
      <c r="X416">
        <f>HYPERLINK("https://klasma.github.io/Logging_NYBRO/tillsyn/A 67520-2019.docx")</f>
        <v/>
      </c>
      <c r="Y416">
        <f>HYPERLINK("https://klasma.github.io/Logging_NYBRO/tillsynsmail/A 67520-2019.docx")</f>
        <v/>
      </c>
    </row>
    <row r="417" ht="15" customHeight="1">
      <c r="A417" t="inlineStr">
        <is>
          <t>A 69121-2019</t>
        </is>
      </c>
      <c r="B417" s="1" t="n">
        <v>43815</v>
      </c>
      <c r="C417" s="1" t="n">
        <v>45175</v>
      </c>
      <c r="D417" t="inlineStr">
        <is>
          <t>KALMAR LÄN</t>
        </is>
      </c>
      <c r="E417" t="inlineStr">
        <is>
          <t>MÖNSTERÅS</t>
        </is>
      </c>
      <c r="F417" t="inlineStr">
        <is>
          <t>Övriga Aktiebolag</t>
        </is>
      </c>
      <c r="G417" t="n">
        <v>0.9</v>
      </c>
      <c r="H417" t="n">
        <v>0</v>
      </c>
      <c r="I417" t="n">
        <v>0</v>
      </c>
      <c r="J417" t="n">
        <v>1</v>
      </c>
      <c r="K417" t="n">
        <v>0</v>
      </c>
      <c r="L417" t="n">
        <v>0</v>
      </c>
      <c r="M417" t="n">
        <v>0</v>
      </c>
      <c r="N417" t="n">
        <v>0</v>
      </c>
      <c r="O417" t="n">
        <v>1</v>
      </c>
      <c r="P417" t="n">
        <v>0</v>
      </c>
      <c r="Q417" t="n">
        <v>1</v>
      </c>
      <c r="R417" s="2" t="inlineStr">
        <is>
          <t>Skogslysing</t>
        </is>
      </c>
      <c r="S417">
        <f>HYPERLINK("https://klasma.github.io/Logging_MONSTERAS/artfynd/A 69121-2019.xlsx")</f>
        <v/>
      </c>
      <c r="T417">
        <f>HYPERLINK("https://klasma.github.io/Logging_MONSTERAS/kartor/A 69121-2019.png")</f>
        <v/>
      </c>
      <c r="V417">
        <f>HYPERLINK("https://klasma.github.io/Logging_MONSTERAS/klagomål/A 69121-2019.docx")</f>
        <v/>
      </c>
      <c r="W417">
        <f>HYPERLINK("https://klasma.github.io/Logging_MONSTERAS/klagomålsmail/A 69121-2019.docx")</f>
        <v/>
      </c>
      <c r="X417">
        <f>HYPERLINK("https://klasma.github.io/Logging_MONSTERAS/tillsyn/A 69121-2019.docx")</f>
        <v/>
      </c>
      <c r="Y417">
        <f>HYPERLINK("https://klasma.github.io/Logging_MONSTERAS/tillsynsmail/A 69121-2019.docx")</f>
        <v/>
      </c>
    </row>
    <row r="418" ht="15" customHeight="1">
      <c r="A418" t="inlineStr">
        <is>
          <t>A 764-2020</t>
        </is>
      </c>
      <c r="B418" s="1" t="n">
        <v>43817</v>
      </c>
      <c r="C418" s="1" t="n">
        <v>45175</v>
      </c>
      <c r="D418" t="inlineStr">
        <is>
          <t>KALMAR LÄN</t>
        </is>
      </c>
      <c r="E418" t="inlineStr">
        <is>
          <t>NYBRO</t>
        </is>
      </c>
      <c r="G418" t="n">
        <v>2</v>
      </c>
      <c r="H418" t="n">
        <v>1</v>
      </c>
      <c r="I418" t="n">
        <v>1</v>
      </c>
      <c r="J418" t="n">
        <v>0</v>
      </c>
      <c r="K418" t="n">
        <v>0</v>
      </c>
      <c r="L418" t="n">
        <v>0</v>
      </c>
      <c r="M418" t="n">
        <v>0</v>
      </c>
      <c r="N418" t="n">
        <v>0</v>
      </c>
      <c r="O418" t="n">
        <v>0</v>
      </c>
      <c r="P418" t="n">
        <v>0</v>
      </c>
      <c r="Q418" t="n">
        <v>1</v>
      </c>
      <c r="R418" s="2" t="inlineStr">
        <is>
          <t>Purpurknipprot</t>
        </is>
      </c>
      <c r="S418">
        <f>HYPERLINK("https://klasma.github.io/Logging_NYBRO/artfynd/A 764-2020.xlsx")</f>
        <v/>
      </c>
      <c r="T418">
        <f>HYPERLINK("https://klasma.github.io/Logging_NYBRO/kartor/A 764-2020.png")</f>
        <v/>
      </c>
      <c r="V418">
        <f>HYPERLINK("https://klasma.github.io/Logging_NYBRO/klagomål/A 764-2020.docx")</f>
        <v/>
      </c>
      <c r="W418">
        <f>HYPERLINK("https://klasma.github.io/Logging_NYBRO/klagomålsmail/A 764-2020.docx")</f>
        <v/>
      </c>
      <c r="X418">
        <f>HYPERLINK("https://klasma.github.io/Logging_NYBRO/tillsyn/A 764-2020.docx")</f>
        <v/>
      </c>
      <c r="Y418">
        <f>HYPERLINK("https://klasma.github.io/Logging_NYBRO/tillsynsmail/A 764-2020.docx")</f>
        <v/>
      </c>
    </row>
    <row r="419" ht="15" customHeight="1">
      <c r="A419" t="inlineStr">
        <is>
          <t>A 3928-2020</t>
        </is>
      </c>
      <c r="B419" s="1" t="n">
        <v>43854</v>
      </c>
      <c r="C419" s="1" t="n">
        <v>45175</v>
      </c>
      <c r="D419" t="inlineStr">
        <is>
          <t>KALMAR LÄN</t>
        </is>
      </c>
      <c r="E419" t="inlineStr">
        <is>
          <t>KALMAR</t>
        </is>
      </c>
      <c r="G419" t="n">
        <v>2.3</v>
      </c>
      <c r="H419" t="n">
        <v>0</v>
      </c>
      <c r="I419" t="n">
        <v>0</v>
      </c>
      <c r="J419" t="n">
        <v>0</v>
      </c>
      <c r="K419" t="n">
        <v>0</v>
      </c>
      <c r="L419" t="n">
        <v>1</v>
      </c>
      <c r="M419" t="n">
        <v>0</v>
      </c>
      <c r="N419" t="n">
        <v>0</v>
      </c>
      <c r="O419" t="n">
        <v>1</v>
      </c>
      <c r="P419" t="n">
        <v>1</v>
      </c>
      <c r="Q419" t="n">
        <v>1</v>
      </c>
      <c r="R419" s="2" t="inlineStr">
        <is>
          <t>Ask</t>
        </is>
      </c>
      <c r="S419">
        <f>HYPERLINK("https://klasma.github.io/Logging_KALMAR/artfynd/A 3928-2020.xlsx")</f>
        <v/>
      </c>
      <c r="T419">
        <f>HYPERLINK("https://klasma.github.io/Logging_KALMAR/kartor/A 3928-2020.png")</f>
        <v/>
      </c>
      <c r="V419">
        <f>HYPERLINK("https://klasma.github.io/Logging_KALMAR/klagomål/A 3928-2020.docx")</f>
        <v/>
      </c>
      <c r="W419">
        <f>HYPERLINK("https://klasma.github.io/Logging_KALMAR/klagomålsmail/A 3928-2020.docx")</f>
        <v/>
      </c>
      <c r="X419">
        <f>HYPERLINK("https://klasma.github.io/Logging_KALMAR/tillsyn/A 3928-2020.docx")</f>
        <v/>
      </c>
      <c r="Y419">
        <f>HYPERLINK("https://klasma.github.io/Logging_KALMAR/tillsynsmail/A 3928-2020.docx")</f>
        <v/>
      </c>
    </row>
    <row r="420" ht="15" customHeight="1">
      <c r="A420" t="inlineStr">
        <is>
          <t>A 5038-2020</t>
        </is>
      </c>
      <c r="B420" s="1" t="n">
        <v>43859</v>
      </c>
      <c r="C420" s="1" t="n">
        <v>45175</v>
      </c>
      <c r="D420" t="inlineStr">
        <is>
          <t>KALMAR LÄN</t>
        </is>
      </c>
      <c r="E420" t="inlineStr">
        <is>
          <t>MÖNSTERÅS</t>
        </is>
      </c>
      <c r="G420" t="n">
        <v>13.6</v>
      </c>
      <c r="H420" t="n">
        <v>1</v>
      </c>
      <c r="I420" t="n">
        <v>0</v>
      </c>
      <c r="J420" t="n">
        <v>0</v>
      </c>
      <c r="K420" t="n">
        <v>1</v>
      </c>
      <c r="L420" t="n">
        <v>0</v>
      </c>
      <c r="M420" t="n">
        <v>0</v>
      </c>
      <c r="N420" t="n">
        <v>0</v>
      </c>
      <c r="O420" t="n">
        <v>1</v>
      </c>
      <c r="P420" t="n">
        <v>1</v>
      </c>
      <c r="Q420" t="n">
        <v>1</v>
      </c>
      <c r="R420" s="2" t="inlineStr">
        <is>
          <t>Knärot</t>
        </is>
      </c>
      <c r="S420">
        <f>HYPERLINK("https://klasma.github.io/Logging_MONSTERAS/artfynd/A 5038-2020.xlsx")</f>
        <v/>
      </c>
      <c r="T420">
        <f>HYPERLINK("https://klasma.github.io/Logging_MONSTERAS/kartor/A 5038-2020.png")</f>
        <v/>
      </c>
      <c r="U420">
        <f>HYPERLINK("https://klasma.github.io/Logging_MONSTERAS/knärot/A 5038-2020.png")</f>
        <v/>
      </c>
      <c r="V420">
        <f>HYPERLINK("https://klasma.github.io/Logging_MONSTERAS/klagomål/A 5038-2020.docx")</f>
        <v/>
      </c>
      <c r="W420">
        <f>HYPERLINK("https://klasma.github.io/Logging_MONSTERAS/klagomålsmail/A 5038-2020.docx")</f>
        <v/>
      </c>
      <c r="X420">
        <f>HYPERLINK("https://klasma.github.io/Logging_MONSTERAS/tillsyn/A 5038-2020.docx")</f>
        <v/>
      </c>
      <c r="Y420">
        <f>HYPERLINK("https://klasma.github.io/Logging_MONSTERAS/tillsynsmail/A 5038-2020.docx")</f>
        <v/>
      </c>
    </row>
    <row r="421" ht="15" customHeight="1">
      <c r="A421" t="inlineStr">
        <is>
          <t>A 7371-2020</t>
        </is>
      </c>
      <c r="B421" s="1" t="n">
        <v>43871</v>
      </c>
      <c r="C421" s="1" t="n">
        <v>45175</v>
      </c>
      <c r="D421" t="inlineStr">
        <is>
          <t>KALMAR LÄN</t>
        </is>
      </c>
      <c r="E421" t="inlineStr">
        <is>
          <t>MÖNSTERÅS</t>
        </is>
      </c>
      <c r="G421" t="n">
        <v>7.1</v>
      </c>
      <c r="H421" t="n">
        <v>0</v>
      </c>
      <c r="I421" t="n">
        <v>0</v>
      </c>
      <c r="J421" t="n">
        <v>1</v>
      </c>
      <c r="K421" t="n">
        <v>0</v>
      </c>
      <c r="L421" t="n">
        <v>0</v>
      </c>
      <c r="M421" t="n">
        <v>0</v>
      </c>
      <c r="N421" t="n">
        <v>0</v>
      </c>
      <c r="O421" t="n">
        <v>1</v>
      </c>
      <c r="P421" t="n">
        <v>0</v>
      </c>
      <c r="Q421" t="n">
        <v>1</v>
      </c>
      <c r="R421" s="2" t="inlineStr">
        <is>
          <t>Rödbrun blankbock</t>
        </is>
      </c>
      <c r="S421">
        <f>HYPERLINK("https://klasma.github.io/Logging_MONSTERAS/artfynd/A 7371-2020.xlsx")</f>
        <v/>
      </c>
      <c r="T421">
        <f>HYPERLINK("https://klasma.github.io/Logging_MONSTERAS/kartor/A 7371-2020.png")</f>
        <v/>
      </c>
      <c r="V421">
        <f>HYPERLINK("https://klasma.github.io/Logging_MONSTERAS/klagomål/A 7371-2020.docx")</f>
        <v/>
      </c>
      <c r="W421">
        <f>HYPERLINK("https://klasma.github.io/Logging_MONSTERAS/klagomålsmail/A 7371-2020.docx")</f>
        <v/>
      </c>
      <c r="X421">
        <f>HYPERLINK("https://klasma.github.io/Logging_MONSTERAS/tillsyn/A 7371-2020.docx")</f>
        <v/>
      </c>
      <c r="Y421">
        <f>HYPERLINK("https://klasma.github.io/Logging_MONSTERAS/tillsynsmail/A 7371-2020.docx")</f>
        <v/>
      </c>
    </row>
    <row r="422" ht="15" customHeight="1">
      <c r="A422" t="inlineStr">
        <is>
          <t>A 10900-2020</t>
        </is>
      </c>
      <c r="B422" s="1" t="n">
        <v>43885</v>
      </c>
      <c r="C422" s="1" t="n">
        <v>45175</v>
      </c>
      <c r="D422" t="inlineStr">
        <is>
          <t>KALMAR LÄN</t>
        </is>
      </c>
      <c r="E422" t="inlineStr">
        <is>
          <t>NYBRO</t>
        </is>
      </c>
      <c r="G422" t="n">
        <v>1.1</v>
      </c>
      <c r="H422" t="n">
        <v>1</v>
      </c>
      <c r="I422" t="n">
        <v>0</v>
      </c>
      <c r="J422" t="n">
        <v>0</v>
      </c>
      <c r="K422" t="n">
        <v>1</v>
      </c>
      <c r="L422" t="n">
        <v>0</v>
      </c>
      <c r="M422" t="n">
        <v>0</v>
      </c>
      <c r="N422" t="n">
        <v>0</v>
      </c>
      <c r="O422" t="n">
        <v>1</v>
      </c>
      <c r="P422" t="n">
        <v>1</v>
      </c>
      <c r="Q422" t="n">
        <v>1</v>
      </c>
      <c r="R422" s="2" t="inlineStr">
        <is>
          <t>Knärot</t>
        </is>
      </c>
      <c r="S422">
        <f>HYPERLINK("https://klasma.github.io/Logging_NYBRO/artfynd/A 10900-2020.xlsx")</f>
        <v/>
      </c>
      <c r="T422">
        <f>HYPERLINK("https://klasma.github.io/Logging_NYBRO/kartor/A 10900-2020.png")</f>
        <v/>
      </c>
      <c r="U422">
        <f>HYPERLINK("https://klasma.github.io/Logging_NYBRO/knärot/A 10900-2020.png")</f>
        <v/>
      </c>
      <c r="V422">
        <f>HYPERLINK("https://klasma.github.io/Logging_NYBRO/klagomål/A 10900-2020.docx")</f>
        <v/>
      </c>
      <c r="W422">
        <f>HYPERLINK("https://klasma.github.io/Logging_NYBRO/klagomålsmail/A 10900-2020.docx")</f>
        <v/>
      </c>
      <c r="X422">
        <f>HYPERLINK("https://klasma.github.io/Logging_NYBRO/tillsyn/A 10900-2020.docx")</f>
        <v/>
      </c>
      <c r="Y422">
        <f>HYPERLINK("https://klasma.github.io/Logging_NYBRO/tillsynsmail/A 10900-2020.docx")</f>
        <v/>
      </c>
    </row>
    <row r="423" ht="15" customHeight="1">
      <c r="A423" t="inlineStr">
        <is>
          <t>A 10864-2020</t>
        </is>
      </c>
      <c r="B423" s="1" t="n">
        <v>43889</v>
      </c>
      <c r="C423" s="1" t="n">
        <v>45175</v>
      </c>
      <c r="D423" t="inlineStr">
        <is>
          <t>KALMAR LÄN</t>
        </is>
      </c>
      <c r="E423" t="inlineStr">
        <is>
          <t>HULTSFRED</t>
        </is>
      </c>
      <c r="F423" t="inlineStr">
        <is>
          <t>Sveaskog</t>
        </is>
      </c>
      <c r="G423" t="n">
        <v>1</v>
      </c>
      <c r="H423" t="n">
        <v>0</v>
      </c>
      <c r="I423" t="n">
        <v>0</v>
      </c>
      <c r="J423" t="n">
        <v>0</v>
      </c>
      <c r="K423" t="n">
        <v>0</v>
      </c>
      <c r="L423" t="n">
        <v>0</v>
      </c>
      <c r="M423" t="n">
        <v>1</v>
      </c>
      <c r="N423" t="n">
        <v>0</v>
      </c>
      <c r="O423" t="n">
        <v>1</v>
      </c>
      <c r="P423" t="n">
        <v>1</v>
      </c>
      <c r="Q423" t="n">
        <v>1</v>
      </c>
      <c r="R423" s="2" t="inlineStr">
        <is>
          <t>Skogsalm</t>
        </is>
      </c>
      <c r="S423">
        <f>HYPERLINK("https://klasma.github.io/Logging_HULTSFRED/artfynd/A 10864-2020.xlsx")</f>
        <v/>
      </c>
      <c r="T423">
        <f>HYPERLINK("https://klasma.github.io/Logging_HULTSFRED/kartor/A 10864-2020.png")</f>
        <v/>
      </c>
      <c r="V423">
        <f>HYPERLINK("https://klasma.github.io/Logging_HULTSFRED/klagomål/A 10864-2020.docx")</f>
        <v/>
      </c>
      <c r="W423">
        <f>HYPERLINK("https://klasma.github.io/Logging_HULTSFRED/klagomålsmail/A 10864-2020.docx")</f>
        <v/>
      </c>
      <c r="X423">
        <f>HYPERLINK("https://klasma.github.io/Logging_HULTSFRED/tillsyn/A 10864-2020.docx")</f>
        <v/>
      </c>
      <c r="Y423">
        <f>HYPERLINK("https://klasma.github.io/Logging_HULTSFRED/tillsynsmail/A 10864-2020.docx")</f>
        <v/>
      </c>
    </row>
    <row r="424" ht="15" customHeight="1">
      <c r="A424" t="inlineStr">
        <is>
          <t>A 13471-2020</t>
        </is>
      </c>
      <c r="B424" s="1" t="n">
        <v>43902</v>
      </c>
      <c r="C424" s="1" t="n">
        <v>45175</v>
      </c>
      <c r="D424" t="inlineStr">
        <is>
          <t>KALMAR LÄN</t>
        </is>
      </c>
      <c r="E424" t="inlineStr">
        <is>
          <t>HULTSFRED</t>
        </is>
      </c>
      <c r="G424" t="n">
        <v>1.2</v>
      </c>
      <c r="H424" t="n">
        <v>1</v>
      </c>
      <c r="I424" t="n">
        <v>0</v>
      </c>
      <c r="J424" t="n">
        <v>0</v>
      </c>
      <c r="K424" t="n">
        <v>1</v>
      </c>
      <c r="L424" t="n">
        <v>0</v>
      </c>
      <c r="M424" t="n">
        <v>0</v>
      </c>
      <c r="N424" t="n">
        <v>0</v>
      </c>
      <c r="O424" t="n">
        <v>1</v>
      </c>
      <c r="P424" t="n">
        <v>1</v>
      </c>
      <c r="Q424" t="n">
        <v>1</v>
      </c>
      <c r="R424" s="2" t="inlineStr">
        <is>
          <t>Knärot</t>
        </is>
      </c>
      <c r="S424">
        <f>HYPERLINK("https://klasma.github.io/Logging_HULTSFRED/artfynd/A 13471-2020.xlsx")</f>
        <v/>
      </c>
      <c r="T424">
        <f>HYPERLINK("https://klasma.github.io/Logging_HULTSFRED/kartor/A 13471-2020.png")</f>
        <v/>
      </c>
      <c r="U424">
        <f>HYPERLINK("https://klasma.github.io/Logging_HULTSFRED/knärot/A 13471-2020.png")</f>
        <v/>
      </c>
      <c r="V424">
        <f>HYPERLINK("https://klasma.github.io/Logging_HULTSFRED/klagomål/A 13471-2020.docx")</f>
        <v/>
      </c>
      <c r="W424">
        <f>HYPERLINK("https://klasma.github.io/Logging_HULTSFRED/klagomålsmail/A 13471-2020.docx")</f>
        <v/>
      </c>
      <c r="X424">
        <f>HYPERLINK("https://klasma.github.io/Logging_HULTSFRED/tillsyn/A 13471-2020.docx")</f>
        <v/>
      </c>
      <c r="Y424">
        <f>HYPERLINK("https://klasma.github.io/Logging_HULTSFRED/tillsynsmail/A 13471-2020.docx")</f>
        <v/>
      </c>
    </row>
    <row r="425" ht="15" customHeight="1">
      <c r="A425" t="inlineStr">
        <is>
          <t>A 16608-2020</t>
        </is>
      </c>
      <c r="B425" s="1" t="n">
        <v>43908</v>
      </c>
      <c r="C425" s="1" t="n">
        <v>45175</v>
      </c>
      <c r="D425" t="inlineStr">
        <is>
          <t>KALMAR LÄN</t>
        </is>
      </c>
      <c r="E425" t="inlineStr">
        <is>
          <t>VÄSTERVIK</t>
        </is>
      </c>
      <c r="F425" t="inlineStr">
        <is>
          <t>Övriga Aktiebolag</t>
        </is>
      </c>
      <c r="G425" t="n">
        <v>1.7</v>
      </c>
      <c r="H425" t="n">
        <v>0</v>
      </c>
      <c r="I425" t="n">
        <v>0</v>
      </c>
      <c r="J425" t="n">
        <v>1</v>
      </c>
      <c r="K425" t="n">
        <v>0</v>
      </c>
      <c r="L425" t="n">
        <v>0</v>
      </c>
      <c r="M425" t="n">
        <v>0</v>
      </c>
      <c r="N425" t="n">
        <v>0</v>
      </c>
      <c r="O425" t="n">
        <v>1</v>
      </c>
      <c r="P425" t="n">
        <v>0</v>
      </c>
      <c r="Q425" t="n">
        <v>1</v>
      </c>
      <c r="R425" s="2" t="inlineStr">
        <is>
          <t>Skogsklocka</t>
        </is>
      </c>
      <c r="S425">
        <f>HYPERLINK("https://klasma.github.io/Logging_VASTERVIK/artfynd/A 16608-2020.xlsx")</f>
        <v/>
      </c>
      <c r="T425">
        <f>HYPERLINK("https://klasma.github.io/Logging_VASTERVIK/kartor/A 16608-2020.png")</f>
        <v/>
      </c>
      <c r="V425">
        <f>HYPERLINK("https://klasma.github.io/Logging_VASTERVIK/klagomål/A 16608-2020.docx")</f>
        <v/>
      </c>
      <c r="W425">
        <f>HYPERLINK("https://klasma.github.io/Logging_VASTERVIK/klagomålsmail/A 16608-2020.docx")</f>
        <v/>
      </c>
      <c r="X425">
        <f>HYPERLINK("https://klasma.github.io/Logging_VASTERVIK/tillsyn/A 16608-2020.docx")</f>
        <v/>
      </c>
      <c r="Y425">
        <f>HYPERLINK("https://klasma.github.io/Logging_VASTERVIK/tillsynsmail/A 16608-2020.docx")</f>
        <v/>
      </c>
    </row>
    <row r="426" ht="15" customHeight="1">
      <c r="A426" t="inlineStr">
        <is>
          <t>A 15357-2020</t>
        </is>
      </c>
      <c r="B426" s="1" t="n">
        <v>43913</v>
      </c>
      <c r="C426" s="1" t="n">
        <v>45175</v>
      </c>
      <c r="D426" t="inlineStr">
        <is>
          <t>KALMAR LÄN</t>
        </is>
      </c>
      <c r="E426" t="inlineStr">
        <is>
          <t>VÄSTERVIK</t>
        </is>
      </c>
      <c r="G426" t="n">
        <v>2.9</v>
      </c>
      <c r="H426" t="n">
        <v>0</v>
      </c>
      <c r="I426" t="n">
        <v>1</v>
      </c>
      <c r="J426" t="n">
        <v>0</v>
      </c>
      <c r="K426" t="n">
        <v>0</v>
      </c>
      <c r="L426" t="n">
        <v>0</v>
      </c>
      <c r="M426" t="n">
        <v>0</v>
      </c>
      <c r="N426" t="n">
        <v>0</v>
      </c>
      <c r="O426" t="n">
        <v>0</v>
      </c>
      <c r="P426" t="n">
        <v>0</v>
      </c>
      <c r="Q426" t="n">
        <v>1</v>
      </c>
      <c r="R426" s="2" t="inlineStr">
        <is>
          <t>Grönpyrola</t>
        </is>
      </c>
      <c r="S426">
        <f>HYPERLINK("https://klasma.github.io/Logging_VASTERVIK/artfynd/A 15357-2020.xlsx")</f>
        <v/>
      </c>
      <c r="T426">
        <f>HYPERLINK("https://klasma.github.io/Logging_VASTERVIK/kartor/A 15357-2020.png")</f>
        <v/>
      </c>
      <c r="U426">
        <f>HYPERLINK("https://klasma.github.io/Logging_VASTERVIK/knärot/A 15357-2020.png")</f>
        <v/>
      </c>
      <c r="V426">
        <f>HYPERLINK("https://klasma.github.io/Logging_VASTERVIK/klagomål/A 15357-2020.docx")</f>
        <v/>
      </c>
      <c r="W426">
        <f>HYPERLINK("https://klasma.github.io/Logging_VASTERVIK/klagomålsmail/A 15357-2020.docx")</f>
        <v/>
      </c>
      <c r="X426">
        <f>HYPERLINK("https://klasma.github.io/Logging_VASTERVIK/tillsyn/A 15357-2020.docx")</f>
        <v/>
      </c>
      <c r="Y426">
        <f>HYPERLINK("https://klasma.github.io/Logging_VASTERVIK/tillsynsmail/A 15357-2020.docx")</f>
        <v/>
      </c>
    </row>
    <row r="427" ht="15" customHeight="1">
      <c r="A427" t="inlineStr">
        <is>
          <t>A 17491-2020</t>
        </is>
      </c>
      <c r="B427" s="1" t="n">
        <v>43920</v>
      </c>
      <c r="C427" s="1" t="n">
        <v>45175</v>
      </c>
      <c r="D427" t="inlineStr">
        <is>
          <t>KALMAR LÄN</t>
        </is>
      </c>
      <c r="E427" t="inlineStr">
        <is>
          <t>HULTSFRED</t>
        </is>
      </c>
      <c r="G427" t="n">
        <v>5.4</v>
      </c>
      <c r="H427" t="n">
        <v>1</v>
      </c>
      <c r="I427" t="n">
        <v>0</v>
      </c>
      <c r="J427" t="n">
        <v>0</v>
      </c>
      <c r="K427" t="n">
        <v>0</v>
      </c>
      <c r="L427" t="n">
        <v>0</v>
      </c>
      <c r="M427" t="n">
        <v>0</v>
      </c>
      <c r="N427" t="n">
        <v>0</v>
      </c>
      <c r="O427" t="n">
        <v>0</v>
      </c>
      <c r="P427" t="n">
        <v>0</v>
      </c>
      <c r="Q427" t="n">
        <v>1</v>
      </c>
      <c r="R427" s="2" t="inlineStr">
        <is>
          <t>Lopplummer</t>
        </is>
      </c>
      <c r="S427">
        <f>HYPERLINK("https://klasma.github.io/Logging_HULTSFRED/artfynd/A 17491-2020.xlsx")</f>
        <v/>
      </c>
      <c r="T427">
        <f>HYPERLINK("https://klasma.github.io/Logging_HULTSFRED/kartor/A 17491-2020.png")</f>
        <v/>
      </c>
      <c r="V427">
        <f>HYPERLINK("https://klasma.github.io/Logging_HULTSFRED/klagomål/A 17491-2020.docx")</f>
        <v/>
      </c>
      <c r="W427">
        <f>HYPERLINK("https://klasma.github.io/Logging_HULTSFRED/klagomålsmail/A 17491-2020.docx")</f>
        <v/>
      </c>
      <c r="X427">
        <f>HYPERLINK("https://klasma.github.io/Logging_HULTSFRED/tillsyn/A 17491-2020.docx")</f>
        <v/>
      </c>
      <c r="Y427">
        <f>HYPERLINK("https://klasma.github.io/Logging_HULTSFRED/tillsynsmail/A 17491-2020.docx")</f>
        <v/>
      </c>
    </row>
    <row r="428" ht="15" customHeight="1">
      <c r="A428" t="inlineStr">
        <is>
          <t>A 18186-2020</t>
        </is>
      </c>
      <c r="B428" s="1" t="n">
        <v>43927</v>
      </c>
      <c r="C428" s="1" t="n">
        <v>45175</v>
      </c>
      <c r="D428" t="inlineStr">
        <is>
          <t>KALMAR LÄN</t>
        </is>
      </c>
      <c r="E428" t="inlineStr">
        <is>
          <t>KALMAR</t>
        </is>
      </c>
      <c r="G428" t="n">
        <v>4.1</v>
      </c>
      <c r="H428" t="n">
        <v>0</v>
      </c>
      <c r="I428" t="n">
        <v>0</v>
      </c>
      <c r="J428" t="n">
        <v>1</v>
      </c>
      <c r="K428" t="n">
        <v>0</v>
      </c>
      <c r="L428" t="n">
        <v>0</v>
      </c>
      <c r="M428" t="n">
        <v>0</v>
      </c>
      <c r="N428" t="n">
        <v>0</v>
      </c>
      <c r="O428" t="n">
        <v>1</v>
      </c>
      <c r="P428" t="n">
        <v>0</v>
      </c>
      <c r="Q428" t="n">
        <v>1</v>
      </c>
      <c r="R428" s="2" t="inlineStr">
        <is>
          <t>Linmåra/småsnärjmåra</t>
        </is>
      </c>
      <c r="S428">
        <f>HYPERLINK("https://klasma.github.io/Logging_KALMAR/artfynd/A 18186-2020.xlsx")</f>
        <v/>
      </c>
      <c r="T428">
        <f>HYPERLINK("https://klasma.github.io/Logging_KALMAR/kartor/A 18186-2020.png")</f>
        <v/>
      </c>
      <c r="V428">
        <f>HYPERLINK("https://klasma.github.io/Logging_KALMAR/klagomål/A 18186-2020.docx")</f>
        <v/>
      </c>
      <c r="W428">
        <f>HYPERLINK("https://klasma.github.io/Logging_KALMAR/klagomålsmail/A 18186-2020.docx")</f>
        <v/>
      </c>
      <c r="X428">
        <f>HYPERLINK("https://klasma.github.io/Logging_KALMAR/tillsyn/A 18186-2020.docx")</f>
        <v/>
      </c>
      <c r="Y428">
        <f>HYPERLINK("https://klasma.github.io/Logging_KALMAR/tillsynsmail/A 18186-2020.docx")</f>
        <v/>
      </c>
    </row>
    <row r="429" ht="15" customHeight="1">
      <c r="A429" t="inlineStr">
        <is>
          <t>A 18351-2020</t>
        </is>
      </c>
      <c r="B429" s="1" t="n">
        <v>43928</v>
      </c>
      <c r="C429" s="1" t="n">
        <v>45175</v>
      </c>
      <c r="D429" t="inlineStr">
        <is>
          <t>KALMAR LÄN</t>
        </is>
      </c>
      <c r="E429" t="inlineStr">
        <is>
          <t>KALMAR</t>
        </is>
      </c>
      <c r="G429" t="n">
        <v>1.8</v>
      </c>
      <c r="H429" t="n">
        <v>0</v>
      </c>
      <c r="I429" t="n">
        <v>0</v>
      </c>
      <c r="J429" t="n">
        <v>1</v>
      </c>
      <c r="K429" t="n">
        <v>0</v>
      </c>
      <c r="L429" t="n">
        <v>0</v>
      </c>
      <c r="M429" t="n">
        <v>0</v>
      </c>
      <c r="N429" t="n">
        <v>0</v>
      </c>
      <c r="O429" t="n">
        <v>1</v>
      </c>
      <c r="P429" t="n">
        <v>0</v>
      </c>
      <c r="Q429" t="n">
        <v>1</v>
      </c>
      <c r="R429" s="2" t="inlineStr">
        <is>
          <t>Korskovall</t>
        </is>
      </c>
      <c r="S429">
        <f>HYPERLINK("https://klasma.github.io/Logging_KALMAR/artfynd/A 18351-2020.xlsx")</f>
        <v/>
      </c>
      <c r="T429">
        <f>HYPERLINK("https://klasma.github.io/Logging_KALMAR/kartor/A 18351-2020.png")</f>
        <v/>
      </c>
      <c r="V429">
        <f>HYPERLINK("https://klasma.github.io/Logging_KALMAR/klagomål/A 18351-2020.docx")</f>
        <v/>
      </c>
      <c r="W429">
        <f>HYPERLINK("https://klasma.github.io/Logging_KALMAR/klagomålsmail/A 18351-2020.docx")</f>
        <v/>
      </c>
      <c r="X429">
        <f>HYPERLINK("https://klasma.github.io/Logging_KALMAR/tillsyn/A 18351-2020.docx")</f>
        <v/>
      </c>
      <c r="Y429">
        <f>HYPERLINK("https://klasma.github.io/Logging_KALMAR/tillsynsmail/A 18351-2020.docx")</f>
        <v/>
      </c>
    </row>
    <row r="430" ht="15" customHeight="1">
      <c r="A430" t="inlineStr">
        <is>
          <t>A 22170-2020</t>
        </is>
      </c>
      <c r="B430" s="1" t="n">
        <v>43956</v>
      </c>
      <c r="C430" s="1" t="n">
        <v>45175</v>
      </c>
      <c r="D430" t="inlineStr">
        <is>
          <t>KALMAR LÄN</t>
        </is>
      </c>
      <c r="E430" t="inlineStr">
        <is>
          <t>MÖRBYLÅNGA</t>
        </is>
      </c>
      <c r="G430" t="n">
        <v>1.4</v>
      </c>
      <c r="H430" t="n">
        <v>0</v>
      </c>
      <c r="I430" t="n">
        <v>1</v>
      </c>
      <c r="J430" t="n">
        <v>0</v>
      </c>
      <c r="K430" t="n">
        <v>0</v>
      </c>
      <c r="L430" t="n">
        <v>0</v>
      </c>
      <c r="M430" t="n">
        <v>0</v>
      </c>
      <c r="N430" t="n">
        <v>0</v>
      </c>
      <c r="O430" t="n">
        <v>0</v>
      </c>
      <c r="P430" t="n">
        <v>0</v>
      </c>
      <c r="Q430" t="n">
        <v>1</v>
      </c>
      <c r="R430" s="2" t="inlineStr">
        <is>
          <t>Hässleklocka</t>
        </is>
      </c>
      <c r="S430">
        <f>HYPERLINK("https://klasma.github.io/Logging_MORBYLANGA/artfynd/A 22170-2020.xlsx")</f>
        <v/>
      </c>
      <c r="T430">
        <f>HYPERLINK("https://klasma.github.io/Logging_MORBYLANGA/kartor/A 22170-2020.png")</f>
        <v/>
      </c>
      <c r="V430">
        <f>HYPERLINK("https://klasma.github.io/Logging_MORBYLANGA/klagomål/A 22170-2020.docx")</f>
        <v/>
      </c>
      <c r="W430">
        <f>HYPERLINK("https://klasma.github.io/Logging_MORBYLANGA/klagomålsmail/A 22170-2020.docx")</f>
        <v/>
      </c>
      <c r="X430">
        <f>HYPERLINK("https://klasma.github.io/Logging_MORBYLANGA/tillsyn/A 22170-2020.docx")</f>
        <v/>
      </c>
      <c r="Y430">
        <f>HYPERLINK("https://klasma.github.io/Logging_MORBYLANGA/tillsynsmail/A 22170-2020.docx")</f>
        <v/>
      </c>
    </row>
    <row r="431" ht="15" customHeight="1">
      <c r="A431" t="inlineStr">
        <is>
          <t>A 22149-2020</t>
        </is>
      </c>
      <c r="B431" s="1" t="n">
        <v>43961</v>
      </c>
      <c r="C431" s="1" t="n">
        <v>45175</v>
      </c>
      <c r="D431" t="inlineStr">
        <is>
          <t>KALMAR LÄN</t>
        </is>
      </c>
      <c r="E431" t="inlineStr">
        <is>
          <t>NYBRO</t>
        </is>
      </c>
      <c r="G431" t="n">
        <v>11.4</v>
      </c>
      <c r="H431" t="n">
        <v>0</v>
      </c>
      <c r="I431" t="n">
        <v>0</v>
      </c>
      <c r="J431" t="n">
        <v>1</v>
      </c>
      <c r="K431" t="n">
        <v>0</v>
      </c>
      <c r="L431" t="n">
        <v>0</v>
      </c>
      <c r="M431" t="n">
        <v>0</v>
      </c>
      <c r="N431" t="n">
        <v>0</v>
      </c>
      <c r="O431" t="n">
        <v>1</v>
      </c>
      <c r="P431" t="n">
        <v>0</v>
      </c>
      <c r="Q431" t="n">
        <v>1</v>
      </c>
      <c r="R431" s="2" t="inlineStr">
        <is>
          <t>Småjungfrukam</t>
        </is>
      </c>
      <c r="S431">
        <f>HYPERLINK("https://klasma.github.io/Logging_NYBRO/artfynd/A 22149-2020.xlsx")</f>
        <v/>
      </c>
      <c r="T431">
        <f>HYPERLINK("https://klasma.github.io/Logging_NYBRO/kartor/A 22149-2020.png")</f>
        <v/>
      </c>
      <c r="V431">
        <f>HYPERLINK("https://klasma.github.io/Logging_NYBRO/klagomål/A 22149-2020.docx")</f>
        <v/>
      </c>
      <c r="W431">
        <f>HYPERLINK("https://klasma.github.io/Logging_NYBRO/klagomålsmail/A 22149-2020.docx")</f>
        <v/>
      </c>
      <c r="X431">
        <f>HYPERLINK("https://klasma.github.io/Logging_NYBRO/tillsyn/A 22149-2020.docx")</f>
        <v/>
      </c>
      <c r="Y431">
        <f>HYPERLINK("https://klasma.github.io/Logging_NYBRO/tillsynsmail/A 22149-2020.docx")</f>
        <v/>
      </c>
    </row>
    <row r="432" ht="15" customHeight="1">
      <c r="A432" t="inlineStr">
        <is>
          <t>A 22391-2020</t>
        </is>
      </c>
      <c r="B432" s="1" t="n">
        <v>43962</v>
      </c>
      <c r="C432" s="1" t="n">
        <v>45175</v>
      </c>
      <c r="D432" t="inlineStr">
        <is>
          <t>KALMAR LÄN</t>
        </is>
      </c>
      <c r="E432" t="inlineStr">
        <is>
          <t>HULTSFRED</t>
        </is>
      </c>
      <c r="G432" t="n">
        <v>1.8</v>
      </c>
      <c r="H432" t="n">
        <v>0</v>
      </c>
      <c r="I432" t="n">
        <v>0</v>
      </c>
      <c r="J432" t="n">
        <v>0</v>
      </c>
      <c r="K432" t="n">
        <v>0</v>
      </c>
      <c r="L432" t="n">
        <v>1</v>
      </c>
      <c r="M432" t="n">
        <v>0</v>
      </c>
      <c r="N432" t="n">
        <v>0</v>
      </c>
      <c r="O432" t="n">
        <v>1</v>
      </c>
      <c r="P432" t="n">
        <v>1</v>
      </c>
      <c r="Q432" t="n">
        <v>1</v>
      </c>
      <c r="R432" s="2" t="inlineStr">
        <is>
          <t>Ryl</t>
        </is>
      </c>
      <c r="S432">
        <f>HYPERLINK("https://klasma.github.io/Logging_HULTSFRED/artfynd/A 22391-2020.xlsx")</f>
        <v/>
      </c>
      <c r="T432">
        <f>HYPERLINK("https://klasma.github.io/Logging_HULTSFRED/kartor/A 22391-2020.png")</f>
        <v/>
      </c>
      <c r="V432">
        <f>HYPERLINK("https://klasma.github.io/Logging_HULTSFRED/klagomål/A 22391-2020.docx")</f>
        <v/>
      </c>
      <c r="W432">
        <f>HYPERLINK("https://klasma.github.io/Logging_HULTSFRED/klagomålsmail/A 22391-2020.docx")</f>
        <v/>
      </c>
      <c r="X432">
        <f>HYPERLINK("https://klasma.github.io/Logging_HULTSFRED/tillsyn/A 22391-2020.docx")</f>
        <v/>
      </c>
      <c r="Y432">
        <f>HYPERLINK("https://klasma.github.io/Logging_HULTSFRED/tillsynsmail/A 22391-2020.docx")</f>
        <v/>
      </c>
    </row>
    <row r="433" ht="15" customHeight="1">
      <c r="A433" t="inlineStr">
        <is>
          <t>A 22629-2020</t>
        </is>
      </c>
      <c r="B433" s="1" t="n">
        <v>43963</v>
      </c>
      <c r="C433" s="1" t="n">
        <v>45175</v>
      </c>
      <c r="D433" t="inlineStr">
        <is>
          <t>KALMAR LÄN</t>
        </is>
      </c>
      <c r="E433" t="inlineStr">
        <is>
          <t>NYBRO</t>
        </is>
      </c>
      <c r="G433" t="n">
        <v>9.4</v>
      </c>
      <c r="H433" t="n">
        <v>1</v>
      </c>
      <c r="I433" t="n">
        <v>1</v>
      </c>
      <c r="J433" t="n">
        <v>0</v>
      </c>
      <c r="K433" t="n">
        <v>0</v>
      </c>
      <c r="L433" t="n">
        <v>0</v>
      </c>
      <c r="M433" t="n">
        <v>0</v>
      </c>
      <c r="N433" t="n">
        <v>0</v>
      </c>
      <c r="O433" t="n">
        <v>0</v>
      </c>
      <c r="P433" t="n">
        <v>0</v>
      </c>
      <c r="Q433" t="n">
        <v>1</v>
      </c>
      <c r="R433" s="2" t="inlineStr">
        <is>
          <t>Skogsknipprot</t>
        </is>
      </c>
      <c r="S433">
        <f>HYPERLINK("https://klasma.github.io/Logging_NYBRO/artfynd/A 22629-2020.xlsx")</f>
        <v/>
      </c>
      <c r="T433">
        <f>HYPERLINK("https://klasma.github.io/Logging_NYBRO/kartor/A 22629-2020.png")</f>
        <v/>
      </c>
      <c r="V433">
        <f>HYPERLINK("https://klasma.github.io/Logging_NYBRO/klagomål/A 22629-2020.docx")</f>
        <v/>
      </c>
      <c r="W433">
        <f>HYPERLINK("https://klasma.github.io/Logging_NYBRO/klagomålsmail/A 22629-2020.docx")</f>
        <v/>
      </c>
      <c r="X433">
        <f>HYPERLINK("https://klasma.github.io/Logging_NYBRO/tillsyn/A 22629-2020.docx")</f>
        <v/>
      </c>
      <c r="Y433">
        <f>HYPERLINK("https://klasma.github.io/Logging_NYBRO/tillsynsmail/A 22629-2020.docx")</f>
        <v/>
      </c>
    </row>
    <row r="434" ht="15" customHeight="1">
      <c r="A434" t="inlineStr">
        <is>
          <t>A 25736-2020</t>
        </is>
      </c>
      <c r="B434" s="1" t="n">
        <v>43984</v>
      </c>
      <c r="C434" s="1" t="n">
        <v>45175</v>
      </c>
      <c r="D434" t="inlineStr">
        <is>
          <t>KALMAR LÄN</t>
        </is>
      </c>
      <c r="E434" t="inlineStr">
        <is>
          <t>NYBRO</t>
        </is>
      </c>
      <c r="G434" t="n">
        <v>1.2</v>
      </c>
      <c r="H434" t="n">
        <v>0</v>
      </c>
      <c r="I434" t="n">
        <v>1</v>
      </c>
      <c r="J434" t="n">
        <v>0</v>
      </c>
      <c r="K434" t="n">
        <v>0</v>
      </c>
      <c r="L434" t="n">
        <v>0</v>
      </c>
      <c r="M434" t="n">
        <v>0</v>
      </c>
      <c r="N434" t="n">
        <v>0</v>
      </c>
      <c r="O434" t="n">
        <v>0</v>
      </c>
      <c r="P434" t="n">
        <v>0</v>
      </c>
      <c r="Q434" t="n">
        <v>1</v>
      </c>
      <c r="R434" s="2" t="inlineStr">
        <is>
          <t>Blåmossa</t>
        </is>
      </c>
      <c r="S434">
        <f>HYPERLINK("https://klasma.github.io/Logging_NYBRO/artfynd/A 25736-2020.xlsx")</f>
        <v/>
      </c>
      <c r="T434">
        <f>HYPERLINK("https://klasma.github.io/Logging_NYBRO/kartor/A 25736-2020.png")</f>
        <v/>
      </c>
      <c r="V434">
        <f>HYPERLINK("https://klasma.github.io/Logging_NYBRO/klagomål/A 25736-2020.docx")</f>
        <v/>
      </c>
      <c r="W434">
        <f>HYPERLINK("https://klasma.github.io/Logging_NYBRO/klagomålsmail/A 25736-2020.docx")</f>
        <v/>
      </c>
      <c r="X434">
        <f>HYPERLINK("https://klasma.github.io/Logging_NYBRO/tillsyn/A 25736-2020.docx")</f>
        <v/>
      </c>
      <c r="Y434">
        <f>HYPERLINK("https://klasma.github.io/Logging_NYBRO/tillsynsmail/A 25736-2020.docx")</f>
        <v/>
      </c>
    </row>
    <row r="435" ht="15" customHeight="1">
      <c r="A435" t="inlineStr">
        <is>
          <t>A 29616-2020</t>
        </is>
      </c>
      <c r="B435" s="1" t="n">
        <v>44004</v>
      </c>
      <c r="C435" s="1" t="n">
        <v>45175</v>
      </c>
      <c r="D435" t="inlineStr">
        <is>
          <t>KALMAR LÄN</t>
        </is>
      </c>
      <c r="E435" t="inlineStr">
        <is>
          <t>MÖNSTERÅS</t>
        </is>
      </c>
      <c r="G435" t="n">
        <v>2.9</v>
      </c>
      <c r="H435" t="n">
        <v>0</v>
      </c>
      <c r="I435" t="n">
        <v>1</v>
      </c>
      <c r="J435" t="n">
        <v>0</v>
      </c>
      <c r="K435" t="n">
        <v>0</v>
      </c>
      <c r="L435" t="n">
        <v>0</v>
      </c>
      <c r="M435" t="n">
        <v>0</v>
      </c>
      <c r="N435" t="n">
        <v>0</v>
      </c>
      <c r="O435" t="n">
        <v>0</v>
      </c>
      <c r="P435" t="n">
        <v>0</v>
      </c>
      <c r="Q435" t="n">
        <v>1</v>
      </c>
      <c r="R435" s="2" t="inlineStr">
        <is>
          <t>Granbarkgnagare</t>
        </is>
      </c>
      <c r="S435">
        <f>HYPERLINK("https://klasma.github.io/Logging_MONSTERAS/artfynd/A 29616-2020.xlsx")</f>
        <v/>
      </c>
      <c r="T435">
        <f>HYPERLINK("https://klasma.github.io/Logging_MONSTERAS/kartor/A 29616-2020.png")</f>
        <v/>
      </c>
      <c r="V435">
        <f>HYPERLINK("https://klasma.github.io/Logging_MONSTERAS/klagomål/A 29616-2020.docx")</f>
        <v/>
      </c>
      <c r="W435">
        <f>HYPERLINK("https://klasma.github.io/Logging_MONSTERAS/klagomålsmail/A 29616-2020.docx")</f>
        <v/>
      </c>
      <c r="X435">
        <f>HYPERLINK("https://klasma.github.io/Logging_MONSTERAS/tillsyn/A 29616-2020.docx")</f>
        <v/>
      </c>
      <c r="Y435">
        <f>HYPERLINK("https://klasma.github.io/Logging_MONSTERAS/tillsynsmail/A 29616-2020.docx")</f>
        <v/>
      </c>
    </row>
    <row r="436" ht="15" customHeight="1">
      <c r="A436" t="inlineStr">
        <is>
          <t>A 30772-2020</t>
        </is>
      </c>
      <c r="B436" s="1" t="n">
        <v>44009</v>
      </c>
      <c r="C436" s="1" t="n">
        <v>45175</v>
      </c>
      <c r="D436" t="inlineStr">
        <is>
          <t>KALMAR LÄN</t>
        </is>
      </c>
      <c r="E436" t="inlineStr">
        <is>
          <t>NYBRO</t>
        </is>
      </c>
      <c r="G436" t="n">
        <v>21.1</v>
      </c>
      <c r="H436" t="n">
        <v>1</v>
      </c>
      <c r="I436" t="n">
        <v>0</v>
      </c>
      <c r="J436" t="n">
        <v>0</v>
      </c>
      <c r="K436" t="n">
        <v>0</v>
      </c>
      <c r="L436" t="n">
        <v>0</v>
      </c>
      <c r="M436" t="n">
        <v>0</v>
      </c>
      <c r="N436" t="n">
        <v>0</v>
      </c>
      <c r="O436" t="n">
        <v>0</v>
      </c>
      <c r="P436" t="n">
        <v>0</v>
      </c>
      <c r="Q436" t="n">
        <v>1</v>
      </c>
      <c r="R436" s="2" t="inlineStr">
        <is>
          <t>Fläcknycklar</t>
        </is>
      </c>
      <c r="S436">
        <f>HYPERLINK("https://klasma.github.io/Logging_NYBRO/artfynd/A 30772-2020.xlsx")</f>
        <v/>
      </c>
      <c r="T436">
        <f>HYPERLINK("https://klasma.github.io/Logging_NYBRO/kartor/A 30772-2020.png")</f>
        <v/>
      </c>
      <c r="V436">
        <f>HYPERLINK("https://klasma.github.io/Logging_NYBRO/klagomål/A 30772-2020.docx")</f>
        <v/>
      </c>
      <c r="W436">
        <f>HYPERLINK("https://klasma.github.io/Logging_NYBRO/klagomålsmail/A 30772-2020.docx")</f>
        <v/>
      </c>
      <c r="X436">
        <f>HYPERLINK("https://klasma.github.io/Logging_NYBRO/tillsyn/A 30772-2020.docx")</f>
        <v/>
      </c>
      <c r="Y436">
        <f>HYPERLINK("https://klasma.github.io/Logging_NYBRO/tillsynsmail/A 30772-2020.docx")</f>
        <v/>
      </c>
    </row>
    <row r="437" ht="15" customHeight="1">
      <c r="A437" t="inlineStr">
        <is>
          <t>A 32143-2020</t>
        </is>
      </c>
      <c r="B437" s="1" t="n">
        <v>44015</v>
      </c>
      <c r="C437" s="1" t="n">
        <v>45175</v>
      </c>
      <c r="D437" t="inlineStr">
        <is>
          <t>KALMAR LÄN</t>
        </is>
      </c>
      <c r="E437" t="inlineStr">
        <is>
          <t>MÖNSTERÅS</t>
        </is>
      </c>
      <c r="G437" t="n">
        <v>12.1</v>
      </c>
      <c r="H437" t="n">
        <v>0</v>
      </c>
      <c r="I437" t="n">
        <v>0</v>
      </c>
      <c r="J437" t="n">
        <v>1</v>
      </c>
      <c r="K437" t="n">
        <v>0</v>
      </c>
      <c r="L437" t="n">
        <v>0</v>
      </c>
      <c r="M437" t="n">
        <v>0</v>
      </c>
      <c r="N437" t="n">
        <v>0</v>
      </c>
      <c r="O437" t="n">
        <v>1</v>
      </c>
      <c r="P437" t="n">
        <v>0</v>
      </c>
      <c r="Q437" t="n">
        <v>1</v>
      </c>
      <c r="R437" s="2" t="inlineStr">
        <is>
          <t>Tallticka</t>
        </is>
      </c>
      <c r="S437">
        <f>HYPERLINK("https://klasma.github.io/Logging_MONSTERAS/artfynd/A 32143-2020.xlsx")</f>
        <v/>
      </c>
      <c r="T437">
        <f>HYPERLINK("https://klasma.github.io/Logging_MONSTERAS/kartor/A 32143-2020.png")</f>
        <v/>
      </c>
      <c r="V437">
        <f>HYPERLINK("https://klasma.github.io/Logging_MONSTERAS/klagomål/A 32143-2020.docx")</f>
        <v/>
      </c>
      <c r="W437">
        <f>HYPERLINK("https://klasma.github.io/Logging_MONSTERAS/klagomålsmail/A 32143-2020.docx")</f>
        <v/>
      </c>
      <c r="X437">
        <f>HYPERLINK("https://klasma.github.io/Logging_MONSTERAS/tillsyn/A 32143-2020.docx")</f>
        <v/>
      </c>
      <c r="Y437">
        <f>HYPERLINK("https://klasma.github.io/Logging_MONSTERAS/tillsynsmail/A 32143-2020.docx")</f>
        <v/>
      </c>
    </row>
    <row r="438" ht="15" customHeight="1">
      <c r="A438" t="inlineStr">
        <is>
          <t>A 35462-2020</t>
        </is>
      </c>
      <c r="B438" s="1" t="n">
        <v>44042</v>
      </c>
      <c r="C438" s="1" t="n">
        <v>45175</v>
      </c>
      <c r="D438" t="inlineStr">
        <is>
          <t>KALMAR LÄN</t>
        </is>
      </c>
      <c r="E438" t="inlineStr">
        <is>
          <t>VIMMERBY</t>
        </is>
      </c>
      <c r="G438" t="n">
        <v>4.3</v>
      </c>
      <c r="H438" t="n">
        <v>1</v>
      </c>
      <c r="I438" t="n">
        <v>0</v>
      </c>
      <c r="J438" t="n">
        <v>0</v>
      </c>
      <c r="K438" t="n">
        <v>0</v>
      </c>
      <c r="L438" t="n">
        <v>0</v>
      </c>
      <c r="M438" t="n">
        <v>0</v>
      </c>
      <c r="N438" t="n">
        <v>0</v>
      </c>
      <c r="O438" t="n">
        <v>0</v>
      </c>
      <c r="P438" t="n">
        <v>0</v>
      </c>
      <c r="Q438" t="n">
        <v>1</v>
      </c>
      <c r="R438" s="2" t="inlineStr">
        <is>
          <t>Lopplummer</t>
        </is>
      </c>
      <c r="S438">
        <f>HYPERLINK("https://klasma.github.io/Logging_VIMMERBY/artfynd/A 35462-2020.xlsx")</f>
        <v/>
      </c>
      <c r="T438">
        <f>HYPERLINK("https://klasma.github.io/Logging_VIMMERBY/kartor/A 35462-2020.png")</f>
        <v/>
      </c>
      <c r="V438">
        <f>HYPERLINK("https://klasma.github.io/Logging_VIMMERBY/klagomål/A 35462-2020.docx")</f>
        <v/>
      </c>
      <c r="W438">
        <f>HYPERLINK("https://klasma.github.io/Logging_VIMMERBY/klagomålsmail/A 35462-2020.docx")</f>
        <v/>
      </c>
      <c r="X438">
        <f>HYPERLINK("https://klasma.github.io/Logging_VIMMERBY/tillsyn/A 35462-2020.docx")</f>
        <v/>
      </c>
      <c r="Y438">
        <f>HYPERLINK("https://klasma.github.io/Logging_VIMMERBY/tillsynsmail/A 35462-2020.docx")</f>
        <v/>
      </c>
    </row>
    <row r="439" ht="15" customHeight="1">
      <c r="A439" t="inlineStr">
        <is>
          <t>A 36717-2020</t>
        </is>
      </c>
      <c r="B439" s="1" t="n">
        <v>44053</v>
      </c>
      <c r="C439" s="1" t="n">
        <v>45175</v>
      </c>
      <c r="D439" t="inlineStr">
        <is>
          <t>KALMAR LÄN</t>
        </is>
      </c>
      <c r="E439" t="inlineStr">
        <is>
          <t>HULTSFRED</t>
        </is>
      </c>
      <c r="F439" t="inlineStr">
        <is>
          <t>Kyrkan</t>
        </is>
      </c>
      <c r="G439" t="n">
        <v>4.2</v>
      </c>
      <c r="H439" t="n">
        <v>0</v>
      </c>
      <c r="I439" t="n">
        <v>1</v>
      </c>
      <c r="J439" t="n">
        <v>0</v>
      </c>
      <c r="K439" t="n">
        <v>0</v>
      </c>
      <c r="L439" t="n">
        <v>0</v>
      </c>
      <c r="M439" t="n">
        <v>0</v>
      </c>
      <c r="N439" t="n">
        <v>0</v>
      </c>
      <c r="O439" t="n">
        <v>0</v>
      </c>
      <c r="P439" t="n">
        <v>0</v>
      </c>
      <c r="Q439" t="n">
        <v>1</v>
      </c>
      <c r="R439" s="2" t="inlineStr">
        <is>
          <t>Västlig hakmossa</t>
        </is>
      </c>
      <c r="S439">
        <f>HYPERLINK("https://klasma.github.io/Logging_HULTSFRED/artfynd/A 36717-2020.xlsx")</f>
        <v/>
      </c>
      <c r="T439">
        <f>HYPERLINK("https://klasma.github.io/Logging_HULTSFRED/kartor/A 36717-2020.png")</f>
        <v/>
      </c>
      <c r="V439">
        <f>HYPERLINK("https://klasma.github.io/Logging_HULTSFRED/klagomål/A 36717-2020.docx")</f>
        <v/>
      </c>
      <c r="W439">
        <f>HYPERLINK("https://klasma.github.io/Logging_HULTSFRED/klagomålsmail/A 36717-2020.docx")</f>
        <v/>
      </c>
      <c r="X439">
        <f>HYPERLINK("https://klasma.github.io/Logging_HULTSFRED/tillsyn/A 36717-2020.docx")</f>
        <v/>
      </c>
      <c r="Y439">
        <f>HYPERLINK("https://klasma.github.io/Logging_HULTSFRED/tillsynsmail/A 36717-2020.docx")</f>
        <v/>
      </c>
    </row>
    <row r="440" ht="15" customHeight="1">
      <c r="A440" t="inlineStr">
        <is>
          <t>A 37170-2020</t>
        </is>
      </c>
      <c r="B440" s="1" t="n">
        <v>44054</v>
      </c>
      <c r="C440" s="1" t="n">
        <v>45175</v>
      </c>
      <c r="D440" t="inlineStr">
        <is>
          <t>KALMAR LÄN</t>
        </is>
      </c>
      <c r="E440" t="inlineStr">
        <is>
          <t>EMMABODA</t>
        </is>
      </c>
      <c r="G440" t="n">
        <v>1.4</v>
      </c>
      <c r="H440" t="n">
        <v>0</v>
      </c>
      <c r="I440" t="n">
        <v>1</v>
      </c>
      <c r="J440" t="n">
        <v>0</v>
      </c>
      <c r="K440" t="n">
        <v>0</v>
      </c>
      <c r="L440" t="n">
        <v>0</v>
      </c>
      <c r="M440" t="n">
        <v>0</v>
      </c>
      <c r="N440" t="n">
        <v>0</v>
      </c>
      <c r="O440" t="n">
        <v>0</v>
      </c>
      <c r="P440" t="n">
        <v>0</v>
      </c>
      <c r="Q440" t="n">
        <v>1</v>
      </c>
      <c r="R440" s="2" t="inlineStr">
        <is>
          <t>Grönpyrola</t>
        </is>
      </c>
      <c r="S440">
        <f>HYPERLINK("https://klasma.github.io/Logging_EMMABODA/artfynd/A 37170-2020.xlsx")</f>
        <v/>
      </c>
      <c r="T440">
        <f>HYPERLINK("https://klasma.github.io/Logging_EMMABODA/kartor/A 37170-2020.png")</f>
        <v/>
      </c>
      <c r="V440">
        <f>HYPERLINK("https://klasma.github.io/Logging_EMMABODA/klagomål/A 37170-2020.docx")</f>
        <v/>
      </c>
      <c r="W440">
        <f>HYPERLINK("https://klasma.github.io/Logging_EMMABODA/klagomålsmail/A 37170-2020.docx")</f>
        <v/>
      </c>
      <c r="X440">
        <f>HYPERLINK("https://klasma.github.io/Logging_EMMABODA/tillsyn/A 37170-2020.docx")</f>
        <v/>
      </c>
      <c r="Y440">
        <f>HYPERLINK("https://klasma.github.io/Logging_EMMABODA/tillsynsmail/A 37170-2020.docx")</f>
        <v/>
      </c>
    </row>
    <row r="441" ht="15" customHeight="1">
      <c r="A441" t="inlineStr">
        <is>
          <t>A 37939-2020</t>
        </is>
      </c>
      <c r="B441" s="1" t="n">
        <v>44057</v>
      </c>
      <c r="C441" s="1" t="n">
        <v>45175</v>
      </c>
      <c r="D441" t="inlineStr">
        <is>
          <t>KALMAR LÄN</t>
        </is>
      </c>
      <c r="E441" t="inlineStr">
        <is>
          <t>NYBRO</t>
        </is>
      </c>
      <c r="G441" t="n">
        <v>3.5</v>
      </c>
      <c r="H441" t="n">
        <v>1</v>
      </c>
      <c r="I441" t="n">
        <v>0</v>
      </c>
      <c r="J441" t="n">
        <v>0</v>
      </c>
      <c r="K441" t="n">
        <v>0</v>
      </c>
      <c r="L441" t="n">
        <v>0</v>
      </c>
      <c r="M441" t="n">
        <v>0</v>
      </c>
      <c r="N441" t="n">
        <v>0</v>
      </c>
      <c r="O441" t="n">
        <v>0</v>
      </c>
      <c r="P441" t="n">
        <v>0</v>
      </c>
      <c r="Q441" t="n">
        <v>1</v>
      </c>
      <c r="R441" s="2" t="inlineStr">
        <is>
          <t>Lopplummer</t>
        </is>
      </c>
      <c r="S441">
        <f>HYPERLINK("https://klasma.github.io/Logging_NYBRO/artfynd/A 37939-2020.xlsx")</f>
        <v/>
      </c>
      <c r="T441">
        <f>HYPERLINK("https://klasma.github.io/Logging_NYBRO/kartor/A 37939-2020.png")</f>
        <v/>
      </c>
      <c r="V441">
        <f>HYPERLINK("https://klasma.github.io/Logging_NYBRO/klagomål/A 37939-2020.docx")</f>
        <v/>
      </c>
      <c r="W441">
        <f>HYPERLINK("https://klasma.github.io/Logging_NYBRO/klagomålsmail/A 37939-2020.docx")</f>
        <v/>
      </c>
      <c r="X441">
        <f>HYPERLINK("https://klasma.github.io/Logging_NYBRO/tillsyn/A 37939-2020.docx")</f>
        <v/>
      </c>
      <c r="Y441">
        <f>HYPERLINK("https://klasma.github.io/Logging_NYBRO/tillsynsmail/A 37939-2020.docx")</f>
        <v/>
      </c>
    </row>
    <row r="442" ht="15" customHeight="1">
      <c r="A442" t="inlineStr">
        <is>
          <t>A 38830-2020</t>
        </is>
      </c>
      <c r="B442" s="1" t="n">
        <v>44062</v>
      </c>
      <c r="C442" s="1" t="n">
        <v>45175</v>
      </c>
      <c r="D442" t="inlineStr">
        <is>
          <t>KALMAR LÄN</t>
        </is>
      </c>
      <c r="E442" t="inlineStr">
        <is>
          <t>OSKARSHAMN</t>
        </is>
      </c>
      <c r="G442" t="n">
        <v>1.4</v>
      </c>
      <c r="H442" t="n">
        <v>0</v>
      </c>
      <c r="I442" t="n">
        <v>0</v>
      </c>
      <c r="J442" t="n">
        <v>0</v>
      </c>
      <c r="K442" t="n">
        <v>1</v>
      </c>
      <c r="L442" t="n">
        <v>0</v>
      </c>
      <c r="M442" t="n">
        <v>0</v>
      </c>
      <c r="N442" t="n">
        <v>0</v>
      </c>
      <c r="O442" t="n">
        <v>1</v>
      </c>
      <c r="P442" t="n">
        <v>1</v>
      </c>
      <c r="Q442" t="n">
        <v>1</v>
      </c>
      <c r="R442" s="2" t="inlineStr">
        <is>
          <t>Blek kraterlav</t>
        </is>
      </c>
      <c r="S442">
        <f>HYPERLINK("https://klasma.github.io/Logging_OSKARSHAMN/artfynd/A 38830-2020.xlsx")</f>
        <v/>
      </c>
      <c r="T442">
        <f>HYPERLINK("https://klasma.github.io/Logging_OSKARSHAMN/kartor/A 38830-2020.png")</f>
        <v/>
      </c>
      <c r="V442">
        <f>HYPERLINK("https://klasma.github.io/Logging_OSKARSHAMN/klagomål/A 38830-2020.docx")</f>
        <v/>
      </c>
      <c r="W442">
        <f>HYPERLINK("https://klasma.github.io/Logging_OSKARSHAMN/klagomålsmail/A 38830-2020.docx")</f>
        <v/>
      </c>
      <c r="X442">
        <f>HYPERLINK("https://klasma.github.io/Logging_OSKARSHAMN/tillsyn/A 38830-2020.docx")</f>
        <v/>
      </c>
      <c r="Y442">
        <f>HYPERLINK("https://klasma.github.io/Logging_OSKARSHAMN/tillsynsmail/A 38830-2020.docx")</f>
        <v/>
      </c>
    </row>
    <row r="443" ht="15" customHeight="1">
      <c r="A443" t="inlineStr">
        <is>
          <t>A 39836-2020</t>
        </is>
      </c>
      <c r="B443" s="1" t="n">
        <v>44064</v>
      </c>
      <c r="C443" s="1" t="n">
        <v>45175</v>
      </c>
      <c r="D443" t="inlineStr">
        <is>
          <t>KALMAR LÄN</t>
        </is>
      </c>
      <c r="E443" t="inlineStr">
        <is>
          <t>VÄSTERVIK</t>
        </is>
      </c>
      <c r="G443" t="n">
        <v>13.4</v>
      </c>
      <c r="H443" t="n">
        <v>1</v>
      </c>
      <c r="I443" t="n">
        <v>0</v>
      </c>
      <c r="J443" t="n">
        <v>1</v>
      </c>
      <c r="K443" t="n">
        <v>0</v>
      </c>
      <c r="L443" t="n">
        <v>0</v>
      </c>
      <c r="M443" t="n">
        <v>0</v>
      </c>
      <c r="N443" t="n">
        <v>0</v>
      </c>
      <c r="O443" t="n">
        <v>1</v>
      </c>
      <c r="P443" t="n">
        <v>0</v>
      </c>
      <c r="Q443" t="n">
        <v>1</v>
      </c>
      <c r="R443" s="2" t="inlineStr">
        <is>
          <t>Havsörn</t>
        </is>
      </c>
      <c r="S443">
        <f>HYPERLINK("https://klasma.github.io/Logging_VASTERVIK/artfynd/A 39836-2020.xlsx")</f>
        <v/>
      </c>
      <c r="T443">
        <f>HYPERLINK("https://klasma.github.io/Logging_VASTERVIK/kartor/A 39836-2020.png")</f>
        <v/>
      </c>
      <c r="V443">
        <f>HYPERLINK("https://klasma.github.io/Logging_VASTERVIK/klagomål/A 39836-2020.docx")</f>
        <v/>
      </c>
      <c r="W443">
        <f>HYPERLINK("https://klasma.github.io/Logging_VASTERVIK/klagomålsmail/A 39836-2020.docx")</f>
        <v/>
      </c>
      <c r="X443">
        <f>HYPERLINK("https://klasma.github.io/Logging_VASTERVIK/tillsyn/A 39836-2020.docx")</f>
        <v/>
      </c>
      <c r="Y443">
        <f>HYPERLINK("https://klasma.github.io/Logging_VASTERVIK/tillsynsmail/A 39836-2020.docx")</f>
        <v/>
      </c>
    </row>
    <row r="444" ht="15" customHeight="1">
      <c r="A444" t="inlineStr">
        <is>
          <t>A 40734-2020</t>
        </is>
      </c>
      <c r="B444" s="1" t="n">
        <v>44069</v>
      </c>
      <c r="C444" s="1" t="n">
        <v>45175</v>
      </c>
      <c r="D444" t="inlineStr">
        <is>
          <t>KALMAR LÄN</t>
        </is>
      </c>
      <c r="E444" t="inlineStr">
        <is>
          <t>KALMAR</t>
        </is>
      </c>
      <c r="G444" t="n">
        <v>1.6</v>
      </c>
      <c r="H444" t="n">
        <v>1</v>
      </c>
      <c r="I444" t="n">
        <v>1</v>
      </c>
      <c r="J444" t="n">
        <v>0</v>
      </c>
      <c r="K444" t="n">
        <v>0</v>
      </c>
      <c r="L444" t="n">
        <v>0</v>
      </c>
      <c r="M444" t="n">
        <v>0</v>
      </c>
      <c r="N444" t="n">
        <v>0</v>
      </c>
      <c r="O444" t="n">
        <v>0</v>
      </c>
      <c r="P444" t="n">
        <v>0</v>
      </c>
      <c r="Q444" t="n">
        <v>1</v>
      </c>
      <c r="R444" s="2" t="inlineStr">
        <is>
          <t>Ekoxe</t>
        </is>
      </c>
      <c r="S444">
        <f>HYPERLINK("https://klasma.github.io/Logging_KALMAR/artfynd/A 40734-2020.xlsx")</f>
        <v/>
      </c>
      <c r="T444">
        <f>HYPERLINK("https://klasma.github.io/Logging_KALMAR/kartor/A 40734-2020.png")</f>
        <v/>
      </c>
      <c r="V444">
        <f>HYPERLINK("https://klasma.github.io/Logging_KALMAR/klagomål/A 40734-2020.docx")</f>
        <v/>
      </c>
      <c r="W444">
        <f>HYPERLINK("https://klasma.github.io/Logging_KALMAR/klagomålsmail/A 40734-2020.docx")</f>
        <v/>
      </c>
      <c r="X444">
        <f>HYPERLINK("https://klasma.github.io/Logging_KALMAR/tillsyn/A 40734-2020.docx")</f>
        <v/>
      </c>
      <c r="Y444">
        <f>HYPERLINK("https://klasma.github.io/Logging_KALMAR/tillsynsmail/A 40734-2020.docx")</f>
        <v/>
      </c>
    </row>
    <row r="445" ht="15" customHeight="1">
      <c r="A445" t="inlineStr">
        <is>
          <t>A 42097-2020</t>
        </is>
      </c>
      <c r="B445" s="1" t="n">
        <v>44075</v>
      </c>
      <c r="C445" s="1" t="n">
        <v>45175</v>
      </c>
      <c r="D445" t="inlineStr">
        <is>
          <t>KALMAR LÄN</t>
        </is>
      </c>
      <c r="E445" t="inlineStr">
        <is>
          <t>VIMMERBY</t>
        </is>
      </c>
      <c r="G445" t="n">
        <v>5.5</v>
      </c>
      <c r="H445" t="n">
        <v>0</v>
      </c>
      <c r="I445" t="n">
        <v>0</v>
      </c>
      <c r="J445" t="n">
        <v>1</v>
      </c>
      <c r="K445" t="n">
        <v>0</v>
      </c>
      <c r="L445" t="n">
        <v>0</v>
      </c>
      <c r="M445" t="n">
        <v>0</v>
      </c>
      <c r="N445" t="n">
        <v>0</v>
      </c>
      <c r="O445" t="n">
        <v>1</v>
      </c>
      <c r="P445" t="n">
        <v>0</v>
      </c>
      <c r="Q445" t="n">
        <v>1</v>
      </c>
      <c r="R445" s="2" t="inlineStr">
        <is>
          <t>Mjukdån</t>
        </is>
      </c>
      <c r="S445">
        <f>HYPERLINK("https://klasma.github.io/Logging_VIMMERBY/artfynd/A 42097-2020.xlsx")</f>
        <v/>
      </c>
      <c r="T445">
        <f>HYPERLINK("https://klasma.github.io/Logging_VIMMERBY/kartor/A 42097-2020.png")</f>
        <v/>
      </c>
      <c r="V445">
        <f>HYPERLINK("https://klasma.github.io/Logging_VIMMERBY/klagomål/A 42097-2020.docx")</f>
        <v/>
      </c>
      <c r="W445">
        <f>HYPERLINK("https://klasma.github.io/Logging_VIMMERBY/klagomålsmail/A 42097-2020.docx")</f>
        <v/>
      </c>
      <c r="X445">
        <f>HYPERLINK("https://klasma.github.io/Logging_VIMMERBY/tillsyn/A 42097-2020.docx")</f>
        <v/>
      </c>
      <c r="Y445">
        <f>HYPERLINK("https://klasma.github.io/Logging_VIMMERBY/tillsynsmail/A 42097-2020.docx")</f>
        <v/>
      </c>
    </row>
    <row r="446" ht="15" customHeight="1">
      <c r="A446" t="inlineStr">
        <is>
          <t>A 42248-2020</t>
        </is>
      </c>
      <c r="B446" s="1" t="n">
        <v>44076</v>
      </c>
      <c r="C446" s="1" t="n">
        <v>45175</v>
      </c>
      <c r="D446" t="inlineStr">
        <is>
          <t>KALMAR LÄN</t>
        </is>
      </c>
      <c r="E446" t="inlineStr">
        <is>
          <t>OSKARSHAMN</t>
        </is>
      </c>
      <c r="G446" t="n">
        <v>2.5</v>
      </c>
      <c r="H446" t="n">
        <v>0</v>
      </c>
      <c r="I446" t="n">
        <v>1</v>
      </c>
      <c r="J446" t="n">
        <v>0</v>
      </c>
      <c r="K446" t="n">
        <v>0</v>
      </c>
      <c r="L446" t="n">
        <v>0</v>
      </c>
      <c r="M446" t="n">
        <v>0</v>
      </c>
      <c r="N446" t="n">
        <v>0</v>
      </c>
      <c r="O446" t="n">
        <v>0</v>
      </c>
      <c r="P446" t="n">
        <v>0</v>
      </c>
      <c r="Q446" t="n">
        <v>1</v>
      </c>
      <c r="R446" s="2" t="inlineStr">
        <is>
          <t>Fällmossa</t>
        </is>
      </c>
      <c r="S446">
        <f>HYPERLINK("https://klasma.github.io/Logging_OSKARSHAMN/artfynd/A 42248-2020.xlsx")</f>
        <v/>
      </c>
      <c r="T446">
        <f>HYPERLINK("https://klasma.github.io/Logging_OSKARSHAMN/kartor/A 42248-2020.png")</f>
        <v/>
      </c>
      <c r="V446">
        <f>HYPERLINK("https://klasma.github.io/Logging_OSKARSHAMN/klagomål/A 42248-2020.docx")</f>
        <v/>
      </c>
      <c r="W446">
        <f>HYPERLINK("https://klasma.github.io/Logging_OSKARSHAMN/klagomålsmail/A 42248-2020.docx")</f>
        <v/>
      </c>
      <c r="X446">
        <f>HYPERLINK("https://klasma.github.io/Logging_OSKARSHAMN/tillsyn/A 42248-2020.docx")</f>
        <v/>
      </c>
      <c r="Y446">
        <f>HYPERLINK("https://klasma.github.io/Logging_OSKARSHAMN/tillsynsmail/A 42248-2020.docx")</f>
        <v/>
      </c>
    </row>
    <row r="447" ht="15" customHeight="1">
      <c r="A447" t="inlineStr">
        <is>
          <t>A 42694-2020</t>
        </is>
      </c>
      <c r="B447" s="1" t="n">
        <v>44077</v>
      </c>
      <c r="C447" s="1" t="n">
        <v>45175</v>
      </c>
      <c r="D447" t="inlineStr">
        <is>
          <t>KALMAR LÄN</t>
        </is>
      </c>
      <c r="E447" t="inlineStr">
        <is>
          <t>MÖRBYLÅNGA</t>
        </is>
      </c>
      <c r="G447" t="n">
        <v>0.9</v>
      </c>
      <c r="H447" t="n">
        <v>0</v>
      </c>
      <c r="I447" t="n">
        <v>0</v>
      </c>
      <c r="J447" t="n">
        <v>0</v>
      </c>
      <c r="K447" t="n">
        <v>1</v>
      </c>
      <c r="L447" t="n">
        <v>0</v>
      </c>
      <c r="M447" t="n">
        <v>0</v>
      </c>
      <c r="N447" t="n">
        <v>0</v>
      </c>
      <c r="O447" t="n">
        <v>1</v>
      </c>
      <c r="P447" t="n">
        <v>1</v>
      </c>
      <c r="Q447" t="n">
        <v>1</v>
      </c>
      <c r="R447" s="2" t="inlineStr">
        <is>
          <t>Gaffelfibbla</t>
        </is>
      </c>
      <c r="S447">
        <f>HYPERLINK("https://klasma.github.io/Logging_MORBYLANGA/artfynd/A 42694-2020.xlsx")</f>
        <v/>
      </c>
      <c r="T447">
        <f>HYPERLINK("https://klasma.github.io/Logging_MORBYLANGA/kartor/A 42694-2020.png")</f>
        <v/>
      </c>
      <c r="V447">
        <f>HYPERLINK("https://klasma.github.io/Logging_MORBYLANGA/klagomål/A 42694-2020.docx")</f>
        <v/>
      </c>
      <c r="W447">
        <f>HYPERLINK("https://klasma.github.io/Logging_MORBYLANGA/klagomålsmail/A 42694-2020.docx")</f>
        <v/>
      </c>
      <c r="X447">
        <f>HYPERLINK("https://klasma.github.io/Logging_MORBYLANGA/tillsyn/A 42694-2020.docx")</f>
        <v/>
      </c>
      <c r="Y447">
        <f>HYPERLINK("https://klasma.github.io/Logging_MORBYLANGA/tillsynsmail/A 42694-2020.docx")</f>
        <v/>
      </c>
    </row>
    <row r="448" ht="15" customHeight="1">
      <c r="A448" t="inlineStr">
        <is>
          <t>A 44306-2020</t>
        </is>
      </c>
      <c r="B448" s="1" t="n">
        <v>44082</v>
      </c>
      <c r="C448" s="1" t="n">
        <v>45175</v>
      </c>
      <c r="D448" t="inlineStr">
        <is>
          <t>KALMAR LÄN</t>
        </is>
      </c>
      <c r="E448" t="inlineStr">
        <is>
          <t>VIMMERBY</t>
        </is>
      </c>
      <c r="G448" t="n">
        <v>16.4</v>
      </c>
      <c r="H448" t="n">
        <v>1</v>
      </c>
      <c r="I448" t="n">
        <v>1</v>
      </c>
      <c r="J448" t="n">
        <v>0</v>
      </c>
      <c r="K448" t="n">
        <v>0</v>
      </c>
      <c r="L448" t="n">
        <v>0</v>
      </c>
      <c r="M448" t="n">
        <v>0</v>
      </c>
      <c r="N448" t="n">
        <v>0</v>
      </c>
      <c r="O448" t="n">
        <v>0</v>
      </c>
      <c r="P448" t="n">
        <v>0</v>
      </c>
      <c r="Q448" t="n">
        <v>1</v>
      </c>
      <c r="R448" s="2" t="inlineStr">
        <is>
          <t>Plattlummer</t>
        </is>
      </c>
      <c r="S448">
        <f>HYPERLINK("https://klasma.github.io/Logging_VIMMERBY/artfynd/A 44306-2020.xlsx")</f>
        <v/>
      </c>
      <c r="T448">
        <f>HYPERLINK("https://klasma.github.io/Logging_VIMMERBY/kartor/A 44306-2020.png")</f>
        <v/>
      </c>
      <c r="V448">
        <f>HYPERLINK("https://klasma.github.io/Logging_VIMMERBY/klagomål/A 44306-2020.docx")</f>
        <v/>
      </c>
      <c r="W448">
        <f>HYPERLINK("https://klasma.github.io/Logging_VIMMERBY/klagomålsmail/A 44306-2020.docx")</f>
        <v/>
      </c>
      <c r="X448">
        <f>HYPERLINK("https://klasma.github.io/Logging_VIMMERBY/tillsyn/A 44306-2020.docx")</f>
        <v/>
      </c>
      <c r="Y448">
        <f>HYPERLINK("https://klasma.github.io/Logging_VIMMERBY/tillsynsmail/A 44306-2020.docx")</f>
        <v/>
      </c>
    </row>
    <row r="449" ht="15" customHeight="1">
      <c r="A449" t="inlineStr">
        <is>
          <t>A 44078-2020</t>
        </is>
      </c>
      <c r="B449" s="1" t="n">
        <v>44083</v>
      </c>
      <c r="C449" s="1" t="n">
        <v>45175</v>
      </c>
      <c r="D449" t="inlineStr">
        <is>
          <t>KALMAR LÄN</t>
        </is>
      </c>
      <c r="E449" t="inlineStr">
        <is>
          <t>HÖGSBY</t>
        </is>
      </c>
      <c r="G449" t="n">
        <v>28.3</v>
      </c>
      <c r="H449" t="n">
        <v>1</v>
      </c>
      <c r="I449" t="n">
        <v>0</v>
      </c>
      <c r="J449" t="n">
        <v>0</v>
      </c>
      <c r="K449" t="n">
        <v>0</v>
      </c>
      <c r="L449" t="n">
        <v>0</v>
      </c>
      <c r="M449" t="n">
        <v>0</v>
      </c>
      <c r="N449" t="n">
        <v>0</v>
      </c>
      <c r="O449" t="n">
        <v>0</v>
      </c>
      <c r="P449" t="n">
        <v>0</v>
      </c>
      <c r="Q449" t="n">
        <v>1</v>
      </c>
      <c r="R449" s="2" t="inlineStr">
        <is>
          <t>Blåsippa</t>
        </is>
      </c>
      <c r="S449">
        <f>HYPERLINK("https://klasma.github.io/Logging_HOGSBY/artfynd/A 44078-2020.xlsx")</f>
        <v/>
      </c>
      <c r="T449">
        <f>HYPERLINK("https://klasma.github.io/Logging_HOGSBY/kartor/A 44078-2020.png")</f>
        <v/>
      </c>
      <c r="V449">
        <f>HYPERLINK("https://klasma.github.io/Logging_HOGSBY/klagomål/A 44078-2020.docx")</f>
        <v/>
      </c>
      <c r="W449">
        <f>HYPERLINK("https://klasma.github.io/Logging_HOGSBY/klagomålsmail/A 44078-2020.docx")</f>
        <v/>
      </c>
      <c r="X449">
        <f>HYPERLINK("https://klasma.github.io/Logging_HOGSBY/tillsyn/A 44078-2020.docx")</f>
        <v/>
      </c>
      <c r="Y449">
        <f>HYPERLINK("https://klasma.github.io/Logging_HOGSBY/tillsynsmail/A 44078-2020.docx")</f>
        <v/>
      </c>
    </row>
    <row r="450" ht="15" customHeight="1">
      <c r="A450" t="inlineStr">
        <is>
          <t>A 47009-2020</t>
        </is>
      </c>
      <c r="B450" s="1" t="n">
        <v>44091</v>
      </c>
      <c r="C450" s="1" t="n">
        <v>45175</v>
      </c>
      <c r="D450" t="inlineStr">
        <is>
          <t>KALMAR LÄN</t>
        </is>
      </c>
      <c r="E450" t="inlineStr">
        <is>
          <t>BORGHOLM</t>
        </is>
      </c>
      <c r="F450" t="inlineStr">
        <is>
          <t>Kommuner</t>
        </is>
      </c>
      <c r="G450" t="n">
        <v>2.2</v>
      </c>
      <c r="H450" t="n">
        <v>0</v>
      </c>
      <c r="I450" t="n">
        <v>0</v>
      </c>
      <c r="J450" t="n">
        <v>1</v>
      </c>
      <c r="K450" t="n">
        <v>0</v>
      </c>
      <c r="L450" t="n">
        <v>0</v>
      </c>
      <c r="M450" t="n">
        <v>0</v>
      </c>
      <c r="N450" t="n">
        <v>0</v>
      </c>
      <c r="O450" t="n">
        <v>1</v>
      </c>
      <c r="P450" t="n">
        <v>0</v>
      </c>
      <c r="Q450" t="n">
        <v>1</v>
      </c>
      <c r="R450" s="2" t="inlineStr">
        <is>
          <t>Guldsmalbi</t>
        </is>
      </c>
      <c r="S450">
        <f>HYPERLINK("https://klasma.github.io/Logging_BORGHOLM/artfynd/A 47009-2020.xlsx")</f>
        <v/>
      </c>
      <c r="T450">
        <f>HYPERLINK("https://klasma.github.io/Logging_BORGHOLM/kartor/A 47009-2020.png")</f>
        <v/>
      </c>
      <c r="V450">
        <f>HYPERLINK("https://klasma.github.io/Logging_BORGHOLM/klagomål/A 47009-2020.docx")</f>
        <v/>
      </c>
      <c r="W450">
        <f>HYPERLINK("https://klasma.github.io/Logging_BORGHOLM/klagomålsmail/A 47009-2020.docx")</f>
        <v/>
      </c>
      <c r="X450">
        <f>HYPERLINK("https://klasma.github.io/Logging_BORGHOLM/tillsyn/A 47009-2020.docx")</f>
        <v/>
      </c>
      <c r="Y450">
        <f>HYPERLINK("https://klasma.github.io/Logging_BORGHOLM/tillsynsmail/A 47009-2020.docx")</f>
        <v/>
      </c>
    </row>
    <row r="451" ht="15" customHeight="1">
      <c r="A451" t="inlineStr">
        <is>
          <t>A 48581-2020</t>
        </is>
      </c>
      <c r="B451" s="1" t="n">
        <v>44103</v>
      </c>
      <c r="C451" s="1" t="n">
        <v>45175</v>
      </c>
      <c r="D451" t="inlineStr">
        <is>
          <t>KALMAR LÄN</t>
        </is>
      </c>
      <c r="E451" t="inlineStr">
        <is>
          <t>KALMAR</t>
        </is>
      </c>
      <c r="G451" t="n">
        <v>2.1</v>
      </c>
      <c r="H451" t="n">
        <v>0</v>
      </c>
      <c r="I451" t="n">
        <v>1</v>
      </c>
      <c r="J451" t="n">
        <v>0</v>
      </c>
      <c r="K451" t="n">
        <v>0</v>
      </c>
      <c r="L451" t="n">
        <v>0</v>
      </c>
      <c r="M451" t="n">
        <v>0</v>
      </c>
      <c r="N451" t="n">
        <v>0</v>
      </c>
      <c r="O451" t="n">
        <v>0</v>
      </c>
      <c r="P451" t="n">
        <v>0</v>
      </c>
      <c r="Q451" t="n">
        <v>1</v>
      </c>
      <c r="R451" s="2" t="inlineStr">
        <is>
          <t>Tallfingersvamp</t>
        </is>
      </c>
      <c r="S451">
        <f>HYPERLINK("https://klasma.github.io/Logging_KALMAR/artfynd/A 48581-2020.xlsx")</f>
        <v/>
      </c>
      <c r="T451">
        <f>HYPERLINK("https://klasma.github.io/Logging_KALMAR/kartor/A 48581-2020.png")</f>
        <v/>
      </c>
      <c r="V451">
        <f>HYPERLINK("https://klasma.github.io/Logging_KALMAR/klagomål/A 48581-2020.docx")</f>
        <v/>
      </c>
      <c r="W451">
        <f>HYPERLINK("https://klasma.github.io/Logging_KALMAR/klagomålsmail/A 48581-2020.docx")</f>
        <v/>
      </c>
      <c r="X451">
        <f>HYPERLINK("https://klasma.github.io/Logging_KALMAR/tillsyn/A 48581-2020.docx")</f>
        <v/>
      </c>
      <c r="Y451">
        <f>HYPERLINK("https://klasma.github.io/Logging_KALMAR/tillsynsmail/A 48581-2020.docx")</f>
        <v/>
      </c>
    </row>
    <row r="452" ht="15" customHeight="1">
      <c r="A452" t="inlineStr">
        <is>
          <t>A 51595-2020</t>
        </is>
      </c>
      <c r="B452" s="1" t="n">
        <v>44109</v>
      </c>
      <c r="C452" s="1" t="n">
        <v>45175</v>
      </c>
      <c r="D452" t="inlineStr">
        <is>
          <t>KALMAR LÄN</t>
        </is>
      </c>
      <c r="E452" t="inlineStr">
        <is>
          <t>HÖGSBY</t>
        </is>
      </c>
      <c r="G452" t="n">
        <v>8.1</v>
      </c>
      <c r="H452" t="n">
        <v>1</v>
      </c>
      <c r="I452" t="n">
        <v>0</v>
      </c>
      <c r="J452" t="n">
        <v>0</v>
      </c>
      <c r="K452" t="n">
        <v>0</v>
      </c>
      <c r="L452" t="n">
        <v>0</v>
      </c>
      <c r="M452" t="n">
        <v>0</v>
      </c>
      <c r="N452" t="n">
        <v>0</v>
      </c>
      <c r="O452" t="n">
        <v>0</v>
      </c>
      <c r="P452" t="n">
        <v>0</v>
      </c>
      <c r="Q452" t="n">
        <v>1</v>
      </c>
      <c r="R452" s="2" t="inlineStr">
        <is>
          <t>Blåsippa</t>
        </is>
      </c>
      <c r="S452">
        <f>HYPERLINK("https://klasma.github.io/Logging_HOGSBY/artfynd/A 51595-2020.xlsx")</f>
        <v/>
      </c>
      <c r="T452">
        <f>HYPERLINK("https://klasma.github.io/Logging_HOGSBY/kartor/A 51595-2020.png")</f>
        <v/>
      </c>
      <c r="V452">
        <f>HYPERLINK("https://klasma.github.io/Logging_HOGSBY/klagomål/A 51595-2020.docx")</f>
        <v/>
      </c>
      <c r="W452">
        <f>HYPERLINK("https://klasma.github.io/Logging_HOGSBY/klagomålsmail/A 51595-2020.docx")</f>
        <v/>
      </c>
      <c r="X452">
        <f>HYPERLINK("https://klasma.github.io/Logging_HOGSBY/tillsyn/A 51595-2020.docx")</f>
        <v/>
      </c>
      <c r="Y452">
        <f>HYPERLINK("https://klasma.github.io/Logging_HOGSBY/tillsynsmail/A 51595-2020.docx")</f>
        <v/>
      </c>
    </row>
    <row r="453" ht="15" customHeight="1">
      <c r="A453" t="inlineStr">
        <is>
          <t>A 52954-2020</t>
        </is>
      </c>
      <c r="B453" s="1" t="n">
        <v>44120</v>
      </c>
      <c r="C453" s="1" t="n">
        <v>45175</v>
      </c>
      <c r="D453" t="inlineStr">
        <is>
          <t>KALMAR LÄN</t>
        </is>
      </c>
      <c r="E453" t="inlineStr">
        <is>
          <t>EMMABODA</t>
        </is>
      </c>
      <c r="F453" t="inlineStr">
        <is>
          <t>Sveaskog</t>
        </is>
      </c>
      <c r="G453" t="n">
        <v>2.2</v>
      </c>
      <c r="H453" t="n">
        <v>1</v>
      </c>
      <c r="I453" t="n">
        <v>0</v>
      </c>
      <c r="J453" t="n">
        <v>0</v>
      </c>
      <c r="K453" t="n">
        <v>1</v>
      </c>
      <c r="L453" t="n">
        <v>0</v>
      </c>
      <c r="M453" t="n">
        <v>0</v>
      </c>
      <c r="N453" t="n">
        <v>0</v>
      </c>
      <c r="O453" t="n">
        <v>1</v>
      </c>
      <c r="P453" t="n">
        <v>1</v>
      </c>
      <c r="Q453" t="n">
        <v>1</v>
      </c>
      <c r="R453" s="2" t="inlineStr">
        <is>
          <t>Knärot</t>
        </is>
      </c>
      <c r="S453">
        <f>HYPERLINK("https://klasma.github.io/Logging_EMMABODA/artfynd/A 52954-2020.xlsx")</f>
        <v/>
      </c>
      <c r="T453">
        <f>HYPERLINK("https://klasma.github.io/Logging_EMMABODA/kartor/A 52954-2020.png")</f>
        <v/>
      </c>
      <c r="U453">
        <f>HYPERLINK("https://klasma.github.io/Logging_EMMABODA/knärot/A 52954-2020.png")</f>
        <v/>
      </c>
      <c r="V453">
        <f>HYPERLINK("https://klasma.github.io/Logging_EMMABODA/klagomål/A 52954-2020.docx")</f>
        <v/>
      </c>
      <c r="W453">
        <f>HYPERLINK("https://klasma.github.io/Logging_EMMABODA/klagomålsmail/A 52954-2020.docx")</f>
        <v/>
      </c>
      <c r="X453">
        <f>HYPERLINK("https://klasma.github.io/Logging_EMMABODA/tillsyn/A 52954-2020.docx")</f>
        <v/>
      </c>
      <c r="Y453">
        <f>HYPERLINK("https://klasma.github.io/Logging_EMMABODA/tillsynsmail/A 52954-2020.docx")</f>
        <v/>
      </c>
    </row>
    <row r="454" ht="15" customHeight="1">
      <c r="A454" t="inlineStr">
        <is>
          <t>A 53125-2020</t>
        </is>
      </c>
      <c r="B454" s="1" t="n">
        <v>44120</v>
      </c>
      <c r="C454" s="1" t="n">
        <v>45175</v>
      </c>
      <c r="D454" t="inlineStr">
        <is>
          <t>KALMAR LÄN</t>
        </is>
      </c>
      <c r="E454" t="inlineStr">
        <is>
          <t>NYBRO</t>
        </is>
      </c>
      <c r="G454" t="n">
        <v>9.5</v>
      </c>
      <c r="H454" t="n">
        <v>0</v>
      </c>
      <c r="I454" t="n">
        <v>0</v>
      </c>
      <c r="J454" t="n">
        <v>0</v>
      </c>
      <c r="K454" t="n">
        <v>1</v>
      </c>
      <c r="L454" t="n">
        <v>0</v>
      </c>
      <c r="M454" t="n">
        <v>0</v>
      </c>
      <c r="N454" t="n">
        <v>0</v>
      </c>
      <c r="O454" t="n">
        <v>1</v>
      </c>
      <c r="P454" t="n">
        <v>1</v>
      </c>
      <c r="Q454" t="n">
        <v>1</v>
      </c>
      <c r="R454" s="2" t="inlineStr">
        <is>
          <t>Växeltandsfibbla</t>
        </is>
      </c>
      <c r="S454">
        <f>HYPERLINK("https://klasma.github.io/Logging_NYBRO/artfynd/A 53125-2020.xlsx")</f>
        <v/>
      </c>
      <c r="T454">
        <f>HYPERLINK("https://klasma.github.io/Logging_NYBRO/kartor/A 53125-2020.png")</f>
        <v/>
      </c>
      <c r="V454">
        <f>HYPERLINK("https://klasma.github.io/Logging_NYBRO/klagomål/A 53125-2020.docx")</f>
        <v/>
      </c>
      <c r="W454">
        <f>HYPERLINK("https://klasma.github.io/Logging_NYBRO/klagomålsmail/A 53125-2020.docx")</f>
        <v/>
      </c>
      <c r="X454">
        <f>HYPERLINK("https://klasma.github.io/Logging_NYBRO/tillsyn/A 53125-2020.docx")</f>
        <v/>
      </c>
      <c r="Y454">
        <f>HYPERLINK("https://klasma.github.io/Logging_NYBRO/tillsynsmail/A 53125-2020.docx")</f>
        <v/>
      </c>
    </row>
    <row r="455" ht="15" customHeight="1">
      <c r="A455" t="inlineStr">
        <is>
          <t>A 53706-2020</t>
        </is>
      </c>
      <c r="B455" s="1" t="n">
        <v>44124</v>
      </c>
      <c r="C455" s="1" t="n">
        <v>45175</v>
      </c>
      <c r="D455" t="inlineStr">
        <is>
          <t>KALMAR LÄN</t>
        </is>
      </c>
      <c r="E455" t="inlineStr">
        <is>
          <t>HULTSFRED</t>
        </is>
      </c>
      <c r="G455" t="n">
        <v>2.3</v>
      </c>
      <c r="H455" t="n">
        <v>1</v>
      </c>
      <c r="I455" t="n">
        <v>0</v>
      </c>
      <c r="J455" t="n">
        <v>1</v>
      </c>
      <c r="K455" t="n">
        <v>0</v>
      </c>
      <c r="L455" t="n">
        <v>0</v>
      </c>
      <c r="M455" t="n">
        <v>0</v>
      </c>
      <c r="N455" t="n">
        <v>0</v>
      </c>
      <c r="O455" t="n">
        <v>1</v>
      </c>
      <c r="P455" t="n">
        <v>0</v>
      </c>
      <c r="Q455" t="n">
        <v>1</v>
      </c>
      <c r="R455" s="2" t="inlineStr">
        <is>
          <t>Entita</t>
        </is>
      </c>
      <c r="S455">
        <f>HYPERLINK("https://klasma.github.io/Logging_HULTSFRED/artfynd/A 53706-2020.xlsx")</f>
        <v/>
      </c>
      <c r="T455">
        <f>HYPERLINK("https://klasma.github.io/Logging_HULTSFRED/kartor/A 53706-2020.png")</f>
        <v/>
      </c>
      <c r="V455">
        <f>HYPERLINK("https://klasma.github.io/Logging_HULTSFRED/klagomål/A 53706-2020.docx")</f>
        <v/>
      </c>
      <c r="W455">
        <f>HYPERLINK("https://klasma.github.io/Logging_HULTSFRED/klagomålsmail/A 53706-2020.docx")</f>
        <v/>
      </c>
      <c r="X455">
        <f>HYPERLINK("https://klasma.github.io/Logging_HULTSFRED/tillsyn/A 53706-2020.docx")</f>
        <v/>
      </c>
      <c r="Y455">
        <f>HYPERLINK("https://klasma.github.io/Logging_HULTSFRED/tillsynsmail/A 53706-2020.docx")</f>
        <v/>
      </c>
    </row>
    <row r="456" ht="15" customHeight="1">
      <c r="A456" t="inlineStr">
        <is>
          <t>A 53918-2020</t>
        </is>
      </c>
      <c r="B456" s="1" t="n">
        <v>44125</v>
      </c>
      <c r="C456" s="1" t="n">
        <v>45175</v>
      </c>
      <c r="D456" t="inlineStr">
        <is>
          <t>KALMAR LÄN</t>
        </is>
      </c>
      <c r="E456" t="inlineStr">
        <is>
          <t>TORSÅS</t>
        </is>
      </c>
      <c r="G456" t="n">
        <v>8.300000000000001</v>
      </c>
      <c r="H456" t="n">
        <v>0</v>
      </c>
      <c r="I456" t="n">
        <v>0</v>
      </c>
      <c r="J456" t="n">
        <v>1</v>
      </c>
      <c r="K456" t="n">
        <v>0</v>
      </c>
      <c r="L456" t="n">
        <v>0</v>
      </c>
      <c r="M456" t="n">
        <v>0</v>
      </c>
      <c r="N456" t="n">
        <v>0</v>
      </c>
      <c r="O456" t="n">
        <v>1</v>
      </c>
      <c r="P456" t="n">
        <v>0</v>
      </c>
      <c r="Q456" t="n">
        <v>1</v>
      </c>
      <c r="R456" s="2" t="inlineStr">
        <is>
          <t>Småjungfrukam</t>
        </is>
      </c>
      <c r="S456">
        <f>HYPERLINK("https://klasma.github.io/Logging_TORSAS/artfynd/A 53918-2020.xlsx")</f>
        <v/>
      </c>
      <c r="T456">
        <f>HYPERLINK("https://klasma.github.io/Logging_TORSAS/kartor/A 53918-2020.png")</f>
        <v/>
      </c>
      <c r="V456">
        <f>HYPERLINK("https://klasma.github.io/Logging_TORSAS/klagomål/A 53918-2020.docx")</f>
        <v/>
      </c>
      <c r="W456">
        <f>HYPERLINK("https://klasma.github.io/Logging_TORSAS/klagomålsmail/A 53918-2020.docx")</f>
        <v/>
      </c>
      <c r="X456">
        <f>HYPERLINK("https://klasma.github.io/Logging_TORSAS/tillsyn/A 53918-2020.docx")</f>
        <v/>
      </c>
      <c r="Y456">
        <f>HYPERLINK("https://klasma.github.io/Logging_TORSAS/tillsynsmail/A 53918-2020.docx")</f>
        <v/>
      </c>
    </row>
    <row r="457" ht="15" customHeight="1">
      <c r="A457" t="inlineStr">
        <is>
          <t>A 56180-2020</t>
        </is>
      </c>
      <c r="B457" s="1" t="n">
        <v>44133</v>
      </c>
      <c r="C457" s="1" t="n">
        <v>45175</v>
      </c>
      <c r="D457" t="inlineStr">
        <is>
          <t>KALMAR LÄN</t>
        </is>
      </c>
      <c r="E457" t="inlineStr">
        <is>
          <t>VÄSTERVIK</t>
        </is>
      </c>
      <c r="G457" t="n">
        <v>9.199999999999999</v>
      </c>
      <c r="H457" t="n">
        <v>1</v>
      </c>
      <c r="I457" t="n">
        <v>0</v>
      </c>
      <c r="J457" t="n">
        <v>0</v>
      </c>
      <c r="K457" t="n">
        <v>0</v>
      </c>
      <c r="L457" t="n">
        <v>0</v>
      </c>
      <c r="M457" t="n">
        <v>0</v>
      </c>
      <c r="N457" t="n">
        <v>0</v>
      </c>
      <c r="O457" t="n">
        <v>0</v>
      </c>
      <c r="P457" t="n">
        <v>0</v>
      </c>
      <c r="Q457" t="n">
        <v>1</v>
      </c>
      <c r="R457" s="2" t="inlineStr">
        <is>
          <t>Mattlummer</t>
        </is>
      </c>
      <c r="S457">
        <f>HYPERLINK("https://klasma.github.io/Logging_VASTERVIK/artfynd/A 56180-2020.xlsx")</f>
        <v/>
      </c>
      <c r="T457">
        <f>HYPERLINK("https://klasma.github.io/Logging_VASTERVIK/kartor/A 56180-2020.png")</f>
        <v/>
      </c>
      <c r="V457">
        <f>HYPERLINK("https://klasma.github.io/Logging_VASTERVIK/klagomål/A 56180-2020.docx")</f>
        <v/>
      </c>
      <c r="W457">
        <f>HYPERLINK("https://klasma.github.io/Logging_VASTERVIK/klagomålsmail/A 56180-2020.docx")</f>
        <v/>
      </c>
      <c r="X457">
        <f>HYPERLINK("https://klasma.github.io/Logging_VASTERVIK/tillsyn/A 56180-2020.docx")</f>
        <v/>
      </c>
      <c r="Y457">
        <f>HYPERLINK("https://klasma.github.io/Logging_VASTERVIK/tillsynsmail/A 56180-2020.docx")</f>
        <v/>
      </c>
    </row>
    <row r="458" ht="15" customHeight="1">
      <c r="A458" t="inlineStr">
        <is>
          <t>A 57949-2020</t>
        </is>
      </c>
      <c r="B458" s="1" t="n">
        <v>44142</v>
      </c>
      <c r="C458" s="1" t="n">
        <v>45175</v>
      </c>
      <c r="D458" t="inlineStr">
        <is>
          <t>KALMAR LÄN</t>
        </is>
      </c>
      <c r="E458" t="inlineStr">
        <is>
          <t>VIMMERBY</t>
        </is>
      </c>
      <c r="G458" t="n">
        <v>3.4</v>
      </c>
      <c r="H458" t="n">
        <v>0</v>
      </c>
      <c r="I458" t="n">
        <v>1</v>
      </c>
      <c r="J458" t="n">
        <v>0</v>
      </c>
      <c r="K458" t="n">
        <v>0</v>
      </c>
      <c r="L458" t="n">
        <v>0</v>
      </c>
      <c r="M458" t="n">
        <v>0</v>
      </c>
      <c r="N458" t="n">
        <v>0</v>
      </c>
      <c r="O458" t="n">
        <v>0</v>
      </c>
      <c r="P458" t="n">
        <v>0</v>
      </c>
      <c r="Q458" t="n">
        <v>1</v>
      </c>
      <c r="R458" s="2" t="inlineStr">
        <is>
          <t>Vårärt</t>
        </is>
      </c>
      <c r="S458">
        <f>HYPERLINK("https://klasma.github.io/Logging_VIMMERBY/artfynd/A 57949-2020.xlsx")</f>
        <v/>
      </c>
      <c r="T458">
        <f>HYPERLINK("https://klasma.github.io/Logging_VIMMERBY/kartor/A 57949-2020.png")</f>
        <v/>
      </c>
      <c r="V458">
        <f>HYPERLINK("https://klasma.github.io/Logging_VIMMERBY/klagomål/A 57949-2020.docx")</f>
        <v/>
      </c>
      <c r="W458">
        <f>HYPERLINK("https://klasma.github.io/Logging_VIMMERBY/klagomålsmail/A 57949-2020.docx")</f>
        <v/>
      </c>
      <c r="X458">
        <f>HYPERLINK("https://klasma.github.io/Logging_VIMMERBY/tillsyn/A 57949-2020.docx")</f>
        <v/>
      </c>
      <c r="Y458">
        <f>HYPERLINK("https://klasma.github.io/Logging_VIMMERBY/tillsynsmail/A 57949-2020.docx")</f>
        <v/>
      </c>
    </row>
    <row r="459" ht="15" customHeight="1">
      <c r="A459" t="inlineStr">
        <is>
          <t>A 60199-2020</t>
        </is>
      </c>
      <c r="B459" s="1" t="n">
        <v>44152</v>
      </c>
      <c r="C459" s="1" t="n">
        <v>45175</v>
      </c>
      <c r="D459" t="inlineStr">
        <is>
          <t>KALMAR LÄN</t>
        </is>
      </c>
      <c r="E459" t="inlineStr">
        <is>
          <t>KALMAR</t>
        </is>
      </c>
      <c r="G459" t="n">
        <v>3.1</v>
      </c>
      <c r="H459" t="n">
        <v>1</v>
      </c>
      <c r="I459" t="n">
        <v>0</v>
      </c>
      <c r="J459" t="n">
        <v>0</v>
      </c>
      <c r="K459" t="n">
        <v>0</v>
      </c>
      <c r="L459" t="n">
        <v>0</v>
      </c>
      <c r="M459" t="n">
        <v>0</v>
      </c>
      <c r="N459" t="n">
        <v>0</v>
      </c>
      <c r="O459" t="n">
        <v>0</v>
      </c>
      <c r="P459" t="n">
        <v>0</v>
      </c>
      <c r="Q459" t="n">
        <v>1</v>
      </c>
      <c r="R459" s="2" t="inlineStr">
        <is>
          <t>Lopplummer</t>
        </is>
      </c>
      <c r="S459">
        <f>HYPERLINK("https://klasma.github.io/Logging_KALMAR/artfynd/A 60199-2020.xlsx")</f>
        <v/>
      </c>
      <c r="T459">
        <f>HYPERLINK("https://klasma.github.io/Logging_KALMAR/kartor/A 60199-2020.png")</f>
        <v/>
      </c>
      <c r="V459">
        <f>HYPERLINK("https://klasma.github.io/Logging_KALMAR/klagomål/A 60199-2020.docx")</f>
        <v/>
      </c>
      <c r="W459">
        <f>HYPERLINK("https://klasma.github.io/Logging_KALMAR/klagomålsmail/A 60199-2020.docx")</f>
        <v/>
      </c>
      <c r="X459">
        <f>HYPERLINK("https://klasma.github.io/Logging_KALMAR/tillsyn/A 60199-2020.docx")</f>
        <v/>
      </c>
      <c r="Y459">
        <f>HYPERLINK("https://klasma.github.io/Logging_KALMAR/tillsynsmail/A 60199-2020.docx")</f>
        <v/>
      </c>
    </row>
    <row r="460" ht="15" customHeight="1">
      <c r="A460" t="inlineStr">
        <is>
          <t>A 62137-2020</t>
        </is>
      </c>
      <c r="B460" s="1" t="n">
        <v>44159</v>
      </c>
      <c r="C460" s="1" t="n">
        <v>45175</v>
      </c>
      <c r="D460" t="inlineStr">
        <is>
          <t>KALMAR LÄN</t>
        </is>
      </c>
      <c r="E460" t="inlineStr">
        <is>
          <t>HULTSFRED</t>
        </is>
      </c>
      <c r="G460" t="n">
        <v>2.5</v>
      </c>
      <c r="H460" t="n">
        <v>0</v>
      </c>
      <c r="I460" t="n">
        <v>0</v>
      </c>
      <c r="J460" t="n">
        <v>1</v>
      </c>
      <c r="K460" t="n">
        <v>0</v>
      </c>
      <c r="L460" t="n">
        <v>0</v>
      </c>
      <c r="M460" t="n">
        <v>0</v>
      </c>
      <c r="N460" t="n">
        <v>0</v>
      </c>
      <c r="O460" t="n">
        <v>1</v>
      </c>
      <c r="P460" t="n">
        <v>0</v>
      </c>
      <c r="Q460" t="n">
        <v>1</v>
      </c>
      <c r="R460" s="2" t="inlineStr">
        <is>
          <t>Gullklöver</t>
        </is>
      </c>
      <c r="S460">
        <f>HYPERLINK("https://klasma.github.io/Logging_HULTSFRED/artfynd/A 62137-2020.xlsx")</f>
        <v/>
      </c>
      <c r="T460">
        <f>HYPERLINK("https://klasma.github.io/Logging_HULTSFRED/kartor/A 62137-2020.png")</f>
        <v/>
      </c>
      <c r="V460">
        <f>HYPERLINK("https://klasma.github.io/Logging_HULTSFRED/klagomål/A 62137-2020.docx")</f>
        <v/>
      </c>
      <c r="W460">
        <f>HYPERLINK("https://klasma.github.io/Logging_HULTSFRED/klagomålsmail/A 62137-2020.docx")</f>
        <v/>
      </c>
      <c r="X460">
        <f>HYPERLINK("https://klasma.github.io/Logging_HULTSFRED/tillsyn/A 62137-2020.docx")</f>
        <v/>
      </c>
      <c r="Y460">
        <f>HYPERLINK("https://klasma.github.io/Logging_HULTSFRED/tillsynsmail/A 62137-2020.docx")</f>
        <v/>
      </c>
    </row>
    <row r="461" ht="15" customHeight="1">
      <c r="A461" t="inlineStr">
        <is>
          <t>A 64674-2020</t>
        </is>
      </c>
      <c r="B461" s="1" t="n">
        <v>44169</v>
      </c>
      <c r="C461" s="1" t="n">
        <v>45175</v>
      </c>
      <c r="D461" t="inlineStr">
        <is>
          <t>KALMAR LÄN</t>
        </is>
      </c>
      <c r="E461" t="inlineStr">
        <is>
          <t>VIMMERBY</t>
        </is>
      </c>
      <c r="G461" t="n">
        <v>7.4</v>
      </c>
      <c r="H461" t="n">
        <v>0</v>
      </c>
      <c r="I461" t="n">
        <v>0</v>
      </c>
      <c r="J461" t="n">
        <v>0</v>
      </c>
      <c r="K461" t="n">
        <v>1</v>
      </c>
      <c r="L461" t="n">
        <v>0</v>
      </c>
      <c r="M461" t="n">
        <v>0</v>
      </c>
      <c r="N461" t="n">
        <v>0</v>
      </c>
      <c r="O461" t="n">
        <v>1</v>
      </c>
      <c r="P461" t="n">
        <v>1</v>
      </c>
      <c r="Q461" t="n">
        <v>1</v>
      </c>
      <c r="R461" s="2" t="inlineStr">
        <is>
          <t>Lansettfibbla</t>
        </is>
      </c>
      <c r="S461">
        <f>HYPERLINK("https://klasma.github.io/Logging_VIMMERBY/artfynd/A 64674-2020.xlsx")</f>
        <v/>
      </c>
      <c r="T461">
        <f>HYPERLINK("https://klasma.github.io/Logging_VIMMERBY/kartor/A 64674-2020.png")</f>
        <v/>
      </c>
      <c r="V461">
        <f>HYPERLINK("https://klasma.github.io/Logging_VIMMERBY/klagomål/A 64674-2020.docx")</f>
        <v/>
      </c>
      <c r="W461">
        <f>HYPERLINK("https://klasma.github.io/Logging_VIMMERBY/klagomålsmail/A 64674-2020.docx")</f>
        <v/>
      </c>
      <c r="X461">
        <f>HYPERLINK("https://klasma.github.io/Logging_VIMMERBY/tillsyn/A 64674-2020.docx")</f>
        <v/>
      </c>
      <c r="Y461">
        <f>HYPERLINK("https://klasma.github.io/Logging_VIMMERBY/tillsynsmail/A 64674-2020.docx")</f>
        <v/>
      </c>
    </row>
    <row r="462" ht="15" customHeight="1">
      <c r="A462" t="inlineStr">
        <is>
          <t>A 65962-2020</t>
        </is>
      </c>
      <c r="B462" s="1" t="n">
        <v>44175</v>
      </c>
      <c r="C462" s="1" t="n">
        <v>45175</v>
      </c>
      <c r="D462" t="inlineStr">
        <is>
          <t>KALMAR LÄN</t>
        </is>
      </c>
      <c r="E462" t="inlineStr">
        <is>
          <t>NYBRO</t>
        </is>
      </c>
      <c r="F462" t="inlineStr">
        <is>
          <t>Sveaskog</t>
        </is>
      </c>
      <c r="G462" t="n">
        <v>0.6</v>
      </c>
      <c r="H462" t="n">
        <v>1</v>
      </c>
      <c r="I462" t="n">
        <v>0</v>
      </c>
      <c r="J462" t="n">
        <v>1</v>
      </c>
      <c r="K462" t="n">
        <v>0</v>
      </c>
      <c r="L462" t="n">
        <v>0</v>
      </c>
      <c r="M462" t="n">
        <v>0</v>
      </c>
      <c r="N462" t="n">
        <v>0</v>
      </c>
      <c r="O462" t="n">
        <v>1</v>
      </c>
      <c r="P462" t="n">
        <v>0</v>
      </c>
      <c r="Q462" t="n">
        <v>1</v>
      </c>
      <c r="R462" s="2" t="inlineStr">
        <is>
          <t>Talltita</t>
        </is>
      </c>
      <c r="S462">
        <f>HYPERLINK("https://klasma.github.io/Logging_NYBRO/artfynd/A 65962-2020.xlsx")</f>
        <v/>
      </c>
      <c r="T462">
        <f>HYPERLINK("https://klasma.github.io/Logging_NYBRO/kartor/A 65962-2020.png")</f>
        <v/>
      </c>
      <c r="V462">
        <f>HYPERLINK("https://klasma.github.io/Logging_NYBRO/klagomål/A 65962-2020.docx")</f>
        <v/>
      </c>
      <c r="W462">
        <f>HYPERLINK("https://klasma.github.io/Logging_NYBRO/klagomålsmail/A 65962-2020.docx")</f>
        <v/>
      </c>
      <c r="X462">
        <f>HYPERLINK("https://klasma.github.io/Logging_NYBRO/tillsyn/A 65962-2020.docx")</f>
        <v/>
      </c>
      <c r="Y462">
        <f>HYPERLINK("https://klasma.github.io/Logging_NYBRO/tillsynsmail/A 65962-2020.docx")</f>
        <v/>
      </c>
    </row>
    <row r="463" ht="15" customHeight="1">
      <c r="A463" t="inlineStr">
        <is>
          <t>A 66752-2020</t>
        </is>
      </c>
      <c r="B463" s="1" t="n">
        <v>44175</v>
      </c>
      <c r="C463" s="1" t="n">
        <v>45175</v>
      </c>
      <c r="D463" t="inlineStr">
        <is>
          <t>KALMAR LÄN</t>
        </is>
      </c>
      <c r="E463" t="inlineStr">
        <is>
          <t>VÄSTERVIK</t>
        </is>
      </c>
      <c r="G463" t="n">
        <v>0.7</v>
      </c>
      <c r="H463" t="n">
        <v>0</v>
      </c>
      <c r="I463" t="n">
        <v>0</v>
      </c>
      <c r="J463" t="n">
        <v>1</v>
      </c>
      <c r="K463" t="n">
        <v>0</v>
      </c>
      <c r="L463" t="n">
        <v>0</v>
      </c>
      <c r="M463" t="n">
        <v>0</v>
      </c>
      <c r="N463" t="n">
        <v>0</v>
      </c>
      <c r="O463" t="n">
        <v>1</v>
      </c>
      <c r="P463" t="n">
        <v>0</v>
      </c>
      <c r="Q463" t="n">
        <v>1</v>
      </c>
      <c r="R463" s="2" t="inlineStr">
        <is>
          <t>Tallticka</t>
        </is>
      </c>
      <c r="S463">
        <f>HYPERLINK("https://klasma.github.io/Logging_VASTERVIK/artfynd/A 66752-2020.xlsx")</f>
        <v/>
      </c>
      <c r="T463">
        <f>HYPERLINK("https://klasma.github.io/Logging_VASTERVIK/kartor/A 66752-2020.png")</f>
        <v/>
      </c>
      <c r="V463">
        <f>HYPERLINK("https://klasma.github.io/Logging_VASTERVIK/klagomål/A 66752-2020.docx")</f>
        <v/>
      </c>
      <c r="W463">
        <f>HYPERLINK("https://klasma.github.io/Logging_VASTERVIK/klagomålsmail/A 66752-2020.docx")</f>
        <v/>
      </c>
      <c r="X463">
        <f>HYPERLINK("https://klasma.github.io/Logging_VASTERVIK/tillsyn/A 66752-2020.docx")</f>
        <v/>
      </c>
      <c r="Y463">
        <f>HYPERLINK("https://klasma.github.io/Logging_VASTERVIK/tillsynsmail/A 66752-2020.docx")</f>
        <v/>
      </c>
    </row>
    <row r="464" ht="15" customHeight="1">
      <c r="A464" t="inlineStr">
        <is>
          <t>A 66329-2020</t>
        </is>
      </c>
      <c r="B464" s="1" t="n">
        <v>44176</v>
      </c>
      <c r="C464" s="1" t="n">
        <v>45175</v>
      </c>
      <c r="D464" t="inlineStr">
        <is>
          <t>KALMAR LÄN</t>
        </is>
      </c>
      <c r="E464" t="inlineStr">
        <is>
          <t>BORGHOLM</t>
        </is>
      </c>
      <c r="G464" t="n">
        <v>7.4</v>
      </c>
      <c r="H464" t="n">
        <v>0</v>
      </c>
      <c r="I464" t="n">
        <v>0</v>
      </c>
      <c r="J464" t="n">
        <v>1</v>
      </c>
      <c r="K464" t="n">
        <v>0</v>
      </c>
      <c r="L464" t="n">
        <v>0</v>
      </c>
      <c r="M464" t="n">
        <v>0</v>
      </c>
      <c r="N464" t="n">
        <v>0</v>
      </c>
      <c r="O464" t="n">
        <v>1</v>
      </c>
      <c r="P464" t="n">
        <v>0</v>
      </c>
      <c r="Q464" t="n">
        <v>1</v>
      </c>
      <c r="R464" s="2" t="inlineStr">
        <is>
          <t>Säfferot</t>
        </is>
      </c>
      <c r="S464">
        <f>HYPERLINK("https://klasma.github.io/Logging_BORGHOLM/artfynd/A 66329-2020.xlsx")</f>
        <v/>
      </c>
      <c r="T464">
        <f>HYPERLINK("https://klasma.github.io/Logging_BORGHOLM/kartor/A 66329-2020.png")</f>
        <v/>
      </c>
      <c r="V464">
        <f>HYPERLINK("https://klasma.github.io/Logging_BORGHOLM/klagomål/A 66329-2020.docx")</f>
        <v/>
      </c>
      <c r="W464">
        <f>HYPERLINK("https://klasma.github.io/Logging_BORGHOLM/klagomålsmail/A 66329-2020.docx")</f>
        <v/>
      </c>
      <c r="X464">
        <f>HYPERLINK("https://klasma.github.io/Logging_BORGHOLM/tillsyn/A 66329-2020.docx")</f>
        <v/>
      </c>
      <c r="Y464">
        <f>HYPERLINK("https://klasma.github.io/Logging_BORGHOLM/tillsynsmail/A 66329-2020.docx")</f>
        <v/>
      </c>
    </row>
    <row r="465" ht="15" customHeight="1">
      <c r="A465" t="inlineStr">
        <is>
          <t>A 67114-2020</t>
        </is>
      </c>
      <c r="B465" s="1" t="n">
        <v>44180</v>
      </c>
      <c r="C465" s="1" t="n">
        <v>45175</v>
      </c>
      <c r="D465" t="inlineStr">
        <is>
          <t>KALMAR LÄN</t>
        </is>
      </c>
      <c r="E465" t="inlineStr">
        <is>
          <t>HULTSFRED</t>
        </is>
      </c>
      <c r="G465" t="n">
        <v>1.3</v>
      </c>
      <c r="H465" t="n">
        <v>1</v>
      </c>
      <c r="I465" t="n">
        <v>1</v>
      </c>
      <c r="J465" t="n">
        <v>0</v>
      </c>
      <c r="K465" t="n">
        <v>0</v>
      </c>
      <c r="L465" t="n">
        <v>0</v>
      </c>
      <c r="M465" t="n">
        <v>0</v>
      </c>
      <c r="N465" t="n">
        <v>0</v>
      </c>
      <c r="O465" t="n">
        <v>0</v>
      </c>
      <c r="P465" t="n">
        <v>0</v>
      </c>
      <c r="Q465" t="n">
        <v>1</v>
      </c>
      <c r="R465" s="2" t="inlineStr">
        <is>
          <t>Spindelblomster</t>
        </is>
      </c>
      <c r="S465">
        <f>HYPERLINK("https://klasma.github.io/Logging_HULTSFRED/artfynd/A 67114-2020.xlsx")</f>
        <v/>
      </c>
      <c r="T465">
        <f>HYPERLINK("https://klasma.github.io/Logging_HULTSFRED/kartor/A 67114-2020.png")</f>
        <v/>
      </c>
      <c r="V465">
        <f>HYPERLINK("https://klasma.github.io/Logging_HULTSFRED/klagomål/A 67114-2020.docx")</f>
        <v/>
      </c>
      <c r="W465">
        <f>HYPERLINK("https://klasma.github.io/Logging_HULTSFRED/klagomålsmail/A 67114-2020.docx")</f>
        <v/>
      </c>
      <c r="X465">
        <f>HYPERLINK("https://klasma.github.io/Logging_HULTSFRED/tillsyn/A 67114-2020.docx")</f>
        <v/>
      </c>
      <c r="Y465">
        <f>HYPERLINK("https://klasma.github.io/Logging_HULTSFRED/tillsynsmail/A 67114-2020.docx")</f>
        <v/>
      </c>
    </row>
    <row r="466" ht="15" customHeight="1">
      <c r="A466" t="inlineStr">
        <is>
          <t>A 68851-2020</t>
        </is>
      </c>
      <c r="B466" s="1" t="n">
        <v>44187</v>
      </c>
      <c r="C466" s="1" t="n">
        <v>45175</v>
      </c>
      <c r="D466" t="inlineStr">
        <is>
          <t>KALMAR LÄN</t>
        </is>
      </c>
      <c r="E466" t="inlineStr">
        <is>
          <t>VIMMERBY</t>
        </is>
      </c>
      <c r="G466" t="n">
        <v>7.4</v>
      </c>
      <c r="H466" t="n">
        <v>0</v>
      </c>
      <c r="I466" t="n">
        <v>0</v>
      </c>
      <c r="J466" t="n">
        <v>0</v>
      </c>
      <c r="K466" t="n">
        <v>1</v>
      </c>
      <c r="L466" t="n">
        <v>0</v>
      </c>
      <c r="M466" t="n">
        <v>0</v>
      </c>
      <c r="N466" t="n">
        <v>0</v>
      </c>
      <c r="O466" t="n">
        <v>1</v>
      </c>
      <c r="P466" t="n">
        <v>1</v>
      </c>
      <c r="Q466" t="n">
        <v>1</v>
      </c>
      <c r="R466" s="2" t="inlineStr">
        <is>
          <t>Lansettfibbla</t>
        </is>
      </c>
      <c r="S466">
        <f>HYPERLINK("https://klasma.github.io/Logging_VIMMERBY/artfynd/A 68851-2020.xlsx")</f>
        <v/>
      </c>
      <c r="T466">
        <f>HYPERLINK("https://klasma.github.io/Logging_VIMMERBY/kartor/A 68851-2020.png")</f>
        <v/>
      </c>
      <c r="V466">
        <f>HYPERLINK("https://klasma.github.io/Logging_VIMMERBY/klagomål/A 68851-2020.docx")</f>
        <v/>
      </c>
      <c r="W466">
        <f>HYPERLINK("https://klasma.github.io/Logging_VIMMERBY/klagomålsmail/A 68851-2020.docx")</f>
        <v/>
      </c>
      <c r="X466">
        <f>HYPERLINK("https://klasma.github.io/Logging_VIMMERBY/tillsyn/A 68851-2020.docx")</f>
        <v/>
      </c>
      <c r="Y466">
        <f>HYPERLINK("https://klasma.github.io/Logging_VIMMERBY/tillsynsmail/A 68851-2020.docx")</f>
        <v/>
      </c>
    </row>
    <row r="467" ht="15" customHeight="1">
      <c r="A467" t="inlineStr">
        <is>
          <t>A 69632-2020</t>
        </is>
      </c>
      <c r="B467" s="1" t="n">
        <v>44195</v>
      </c>
      <c r="C467" s="1" t="n">
        <v>45175</v>
      </c>
      <c r="D467" t="inlineStr">
        <is>
          <t>KALMAR LÄN</t>
        </is>
      </c>
      <c r="E467" t="inlineStr">
        <is>
          <t>VÄSTERVIK</t>
        </is>
      </c>
      <c r="G467" t="n">
        <v>2.5</v>
      </c>
      <c r="H467" t="n">
        <v>0</v>
      </c>
      <c r="I467" t="n">
        <v>0</v>
      </c>
      <c r="J467" t="n">
        <v>1</v>
      </c>
      <c r="K467" t="n">
        <v>0</v>
      </c>
      <c r="L467" t="n">
        <v>0</v>
      </c>
      <c r="M467" t="n">
        <v>0</v>
      </c>
      <c r="N467" t="n">
        <v>0</v>
      </c>
      <c r="O467" t="n">
        <v>1</v>
      </c>
      <c r="P467" t="n">
        <v>0</v>
      </c>
      <c r="Q467" t="n">
        <v>1</v>
      </c>
      <c r="R467" s="2" t="inlineStr">
        <is>
          <t>Tallticka</t>
        </is>
      </c>
      <c r="S467">
        <f>HYPERLINK("https://klasma.github.io/Logging_VASTERVIK/artfynd/A 69632-2020.xlsx")</f>
        <v/>
      </c>
      <c r="T467">
        <f>HYPERLINK("https://klasma.github.io/Logging_VASTERVIK/kartor/A 69632-2020.png")</f>
        <v/>
      </c>
      <c r="V467">
        <f>HYPERLINK("https://klasma.github.io/Logging_VASTERVIK/klagomål/A 69632-2020.docx")</f>
        <v/>
      </c>
      <c r="W467">
        <f>HYPERLINK("https://klasma.github.io/Logging_VASTERVIK/klagomålsmail/A 69632-2020.docx")</f>
        <v/>
      </c>
      <c r="X467">
        <f>HYPERLINK("https://klasma.github.io/Logging_VASTERVIK/tillsyn/A 69632-2020.docx")</f>
        <v/>
      </c>
      <c r="Y467">
        <f>HYPERLINK("https://klasma.github.io/Logging_VASTERVIK/tillsynsmail/A 69632-2020.docx")</f>
        <v/>
      </c>
    </row>
    <row r="468" ht="15" customHeight="1">
      <c r="A468" t="inlineStr">
        <is>
          <t>A 3518-2021</t>
        </is>
      </c>
      <c r="B468" s="1" t="n">
        <v>44216</v>
      </c>
      <c r="C468" s="1" t="n">
        <v>45175</v>
      </c>
      <c r="D468" t="inlineStr">
        <is>
          <t>KALMAR LÄN</t>
        </is>
      </c>
      <c r="E468" t="inlineStr">
        <is>
          <t>HÖGSBY</t>
        </is>
      </c>
      <c r="G468" t="n">
        <v>6</v>
      </c>
      <c r="H468" t="n">
        <v>0</v>
      </c>
      <c r="I468" t="n">
        <v>0</v>
      </c>
      <c r="J468" t="n">
        <v>1</v>
      </c>
      <c r="K468" t="n">
        <v>0</v>
      </c>
      <c r="L468" t="n">
        <v>0</v>
      </c>
      <c r="M468" t="n">
        <v>0</v>
      </c>
      <c r="N468" t="n">
        <v>0</v>
      </c>
      <c r="O468" t="n">
        <v>1</v>
      </c>
      <c r="P468" t="n">
        <v>0</v>
      </c>
      <c r="Q468" t="n">
        <v>1</v>
      </c>
      <c r="R468" s="2" t="inlineStr">
        <is>
          <t>Vedtrappmossa</t>
        </is>
      </c>
      <c r="S468">
        <f>HYPERLINK("https://klasma.github.io/Logging_HOGSBY/artfynd/A 3518-2021.xlsx")</f>
        <v/>
      </c>
      <c r="T468">
        <f>HYPERLINK("https://klasma.github.io/Logging_HOGSBY/kartor/A 3518-2021.png")</f>
        <v/>
      </c>
      <c r="V468">
        <f>HYPERLINK("https://klasma.github.io/Logging_HOGSBY/klagomål/A 3518-2021.docx")</f>
        <v/>
      </c>
      <c r="W468">
        <f>HYPERLINK("https://klasma.github.io/Logging_HOGSBY/klagomålsmail/A 3518-2021.docx")</f>
        <v/>
      </c>
      <c r="X468">
        <f>HYPERLINK("https://klasma.github.io/Logging_HOGSBY/tillsyn/A 3518-2021.docx")</f>
        <v/>
      </c>
      <c r="Y468">
        <f>HYPERLINK("https://klasma.github.io/Logging_HOGSBY/tillsynsmail/A 3518-2021.docx")</f>
        <v/>
      </c>
    </row>
    <row r="469" ht="15" customHeight="1">
      <c r="A469" t="inlineStr">
        <is>
          <t>A 3871-2021</t>
        </is>
      </c>
      <c r="B469" s="1" t="n">
        <v>44222</v>
      </c>
      <c r="C469" s="1" t="n">
        <v>45175</v>
      </c>
      <c r="D469" t="inlineStr">
        <is>
          <t>KALMAR LÄN</t>
        </is>
      </c>
      <c r="E469" t="inlineStr">
        <is>
          <t>BORGHOLM</t>
        </is>
      </c>
      <c r="G469" t="n">
        <v>1.7</v>
      </c>
      <c r="H469" t="n">
        <v>0</v>
      </c>
      <c r="I469" t="n">
        <v>1</v>
      </c>
      <c r="J469" t="n">
        <v>0</v>
      </c>
      <c r="K469" t="n">
        <v>0</v>
      </c>
      <c r="L469" t="n">
        <v>0</v>
      </c>
      <c r="M469" t="n">
        <v>0</v>
      </c>
      <c r="N469" t="n">
        <v>0</v>
      </c>
      <c r="O469" t="n">
        <v>0</v>
      </c>
      <c r="P469" t="n">
        <v>0</v>
      </c>
      <c r="Q469" t="n">
        <v>1</v>
      </c>
      <c r="R469" s="2" t="inlineStr">
        <is>
          <t>Scharlakansskål</t>
        </is>
      </c>
      <c r="S469">
        <f>HYPERLINK("https://klasma.github.io/Logging_BORGHOLM/artfynd/A 3871-2021.xlsx")</f>
        <v/>
      </c>
      <c r="T469">
        <f>HYPERLINK("https://klasma.github.io/Logging_BORGHOLM/kartor/A 3871-2021.png")</f>
        <v/>
      </c>
      <c r="V469">
        <f>HYPERLINK("https://klasma.github.io/Logging_BORGHOLM/klagomål/A 3871-2021.docx")</f>
        <v/>
      </c>
      <c r="W469">
        <f>HYPERLINK("https://klasma.github.io/Logging_BORGHOLM/klagomålsmail/A 3871-2021.docx")</f>
        <v/>
      </c>
      <c r="X469">
        <f>HYPERLINK("https://klasma.github.io/Logging_BORGHOLM/tillsyn/A 3871-2021.docx")</f>
        <v/>
      </c>
      <c r="Y469">
        <f>HYPERLINK("https://klasma.github.io/Logging_BORGHOLM/tillsynsmail/A 3871-2021.docx")</f>
        <v/>
      </c>
    </row>
    <row r="470" ht="15" customHeight="1">
      <c r="A470" t="inlineStr">
        <is>
          <t>A 4313-2021</t>
        </is>
      </c>
      <c r="B470" s="1" t="n">
        <v>44223</v>
      </c>
      <c r="C470" s="1" t="n">
        <v>45175</v>
      </c>
      <c r="D470" t="inlineStr">
        <is>
          <t>KALMAR LÄN</t>
        </is>
      </c>
      <c r="E470" t="inlineStr">
        <is>
          <t>MÖNSTERÅS</t>
        </is>
      </c>
      <c r="G470" t="n">
        <v>16.5</v>
      </c>
      <c r="H470" t="n">
        <v>1</v>
      </c>
      <c r="I470" t="n">
        <v>0</v>
      </c>
      <c r="J470" t="n">
        <v>0</v>
      </c>
      <c r="K470" t="n">
        <v>1</v>
      </c>
      <c r="L470" t="n">
        <v>0</v>
      </c>
      <c r="M470" t="n">
        <v>0</v>
      </c>
      <c r="N470" t="n">
        <v>0</v>
      </c>
      <c r="O470" t="n">
        <v>1</v>
      </c>
      <c r="P470" t="n">
        <v>1</v>
      </c>
      <c r="Q470" t="n">
        <v>1</v>
      </c>
      <c r="R470" s="2" t="inlineStr">
        <is>
          <t>Knärot</t>
        </is>
      </c>
      <c r="S470">
        <f>HYPERLINK("https://klasma.github.io/Logging_MONSTERAS/artfynd/A 4313-2021.xlsx")</f>
        <v/>
      </c>
      <c r="T470">
        <f>HYPERLINK("https://klasma.github.io/Logging_MONSTERAS/kartor/A 4313-2021.png")</f>
        <v/>
      </c>
      <c r="U470">
        <f>HYPERLINK("https://klasma.github.io/Logging_MONSTERAS/knärot/A 4313-2021.png")</f>
        <v/>
      </c>
      <c r="V470">
        <f>HYPERLINK("https://klasma.github.io/Logging_MONSTERAS/klagomål/A 4313-2021.docx")</f>
        <v/>
      </c>
      <c r="W470">
        <f>HYPERLINK("https://klasma.github.io/Logging_MONSTERAS/klagomålsmail/A 4313-2021.docx")</f>
        <v/>
      </c>
      <c r="X470">
        <f>HYPERLINK("https://klasma.github.io/Logging_MONSTERAS/tillsyn/A 4313-2021.docx")</f>
        <v/>
      </c>
      <c r="Y470">
        <f>HYPERLINK("https://klasma.github.io/Logging_MONSTERAS/tillsynsmail/A 4313-2021.docx")</f>
        <v/>
      </c>
    </row>
    <row r="471" ht="15" customHeight="1">
      <c r="A471" t="inlineStr">
        <is>
          <t>A 5861-2021</t>
        </is>
      </c>
      <c r="B471" s="1" t="n">
        <v>44231</v>
      </c>
      <c r="C471" s="1" t="n">
        <v>45175</v>
      </c>
      <c r="D471" t="inlineStr">
        <is>
          <t>KALMAR LÄN</t>
        </is>
      </c>
      <c r="E471" t="inlineStr">
        <is>
          <t>TORSÅS</t>
        </is>
      </c>
      <c r="G471" t="n">
        <v>4.2</v>
      </c>
      <c r="H471" t="n">
        <v>0</v>
      </c>
      <c r="I471" t="n">
        <v>0</v>
      </c>
      <c r="J471" t="n">
        <v>0</v>
      </c>
      <c r="K471" t="n">
        <v>0</v>
      </c>
      <c r="L471" t="n">
        <v>0</v>
      </c>
      <c r="M471" t="n">
        <v>1</v>
      </c>
      <c r="N471" t="n">
        <v>0</v>
      </c>
      <c r="O471" t="n">
        <v>1</v>
      </c>
      <c r="P471" t="n">
        <v>1</v>
      </c>
      <c r="Q471" t="n">
        <v>1</v>
      </c>
      <c r="R471" s="2" t="inlineStr">
        <is>
          <t>Skogsalm</t>
        </is>
      </c>
      <c r="S471">
        <f>HYPERLINK("https://klasma.github.io/Logging_TORSAS/artfynd/A 5861-2021.xlsx")</f>
        <v/>
      </c>
      <c r="T471">
        <f>HYPERLINK("https://klasma.github.io/Logging_TORSAS/kartor/A 5861-2021.png")</f>
        <v/>
      </c>
      <c r="V471">
        <f>HYPERLINK("https://klasma.github.io/Logging_TORSAS/klagomål/A 5861-2021.docx")</f>
        <v/>
      </c>
      <c r="W471">
        <f>HYPERLINK("https://klasma.github.io/Logging_TORSAS/klagomålsmail/A 5861-2021.docx")</f>
        <v/>
      </c>
      <c r="X471">
        <f>HYPERLINK("https://klasma.github.io/Logging_TORSAS/tillsyn/A 5861-2021.docx")</f>
        <v/>
      </c>
      <c r="Y471">
        <f>HYPERLINK("https://klasma.github.io/Logging_TORSAS/tillsynsmail/A 5861-2021.docx")</f>
        <v/>
      </c>
    </row>
    <row r="472" ht="15" customHeight="1">
      <c r="A472" t="inlineStr">
        <is>
          <t>A 10962-2021</t>
        </is>
      </c>
      <c r="B472" s="1" t="n">
        <v>44260</v>
      </c>
      <c r="C472" s="1" t="n">
        <v>45175</v>
      </c>
      <c r="D472" t="inlineStr">
        <is>
          <t>KALMAR LÄN</t>
        </is>
      </c>
      <c r="E472" t="inlineStr">
        <is>
          <t>KALMAR</t>
        </is>
      </c>
      <c r="G472" t="n">
        <v>1.1</v>
      </c>
      <c r="H472" t="n">
        <v>1</v>
      </c>
      <c r="I472" t="n">
        <v>0</v>
      </c>
      <c r="J472" t="n">
        <v>0</v>
      </c>
      <c r="K472" t="n">
        <v>0</v>
      </c>
      <c r="L472" t="n">
        <v>0</v>
      </c>
      <c r="M472" t="n">
        <v>0</v>
      </c>
      <c r="N472" t="n">
        <v>0</v>
      </c>
      <c r="O472" t="n">
        <v>0</v>
      </c>
      <c r="P472" t="n">
        <v>0</v>
      </c>
      <c r="Q472" t="n">
        <v>1</v>
      </c>
      <c r="R472" s="2" t="inlineStr">
        <is>
          <t>Revlummer</t>
        </is>
      </c>
      <c r="S472">
        <f>HYPERLINK("https://klasma.github.io/Logging_KALMAR/artfynd/A 10962-2021.xlsx")</f>
        <v/>
      </c>
      <c r="T472">
        <f>HYPERLINK("https://klasma.github.io/Logging_KALMAR/kartor/A 10962-2021.png")</f>
        <v/>
      </c>
      <c r="V472">
        <f>HYPERLINK("https://klasma.github.io/Logging_KALMAR/klagomål/A 10962-2021.docx")</f>
        <v/>
      </c>
      <c r="W472">
        <f>HYPERLINK("https://klasma.github.io/Logging_KALMAR/klagomålsmail/A 10962-2021.docx")</f>
        <v/>
      </c>
      <c r="X472">
        <f>HYPERLINK("https://klasma.github.io/Logging_KALMAR/tillsyn/A 10962-2021.docx")</f>
        <v/>
      </c>
      <c r="Y472">
        <f>HYPERLINK("https://klasma.github.io/Logging_KALMAR/tillsynsmail/A 10962-2021.docx")</f>
        <v/>
      </c>
    </row>
    <row r="473" ht="15" customHeight="1">
      <c r="A473" t="inlineStr">
        <is>
          <t>A 10947-2021</t>
        </is>
      </c>
      <c r="B473" s="1" t="n">
        <v>44260</v>
      </c>
      <c r="C473" s="1" t="n">
        <v>45175</v>
      </c>
      <c r="D473" t="inlineStr">
        <is>
          <t>KALMAR LÄN</t>
        </is>
      </c>
      <c r="E473" t="inlineStr">
        <is>
          <t>HÖGSBY</t>
        </is>
      </c>
      <c r="G473" t="n">
        <v>8.5</v>
      </c>
      <c r="H473" t="n">
        <v>1</v>
      </c>
      <c r="I473" t="n">
        <v>0</v>
      </c>
      <c r="J473" t="n">
        <v>0</v>
      </c>
      <c r="K473" t="n">
        <v>0</v>
      </c>
      <c r="L473" t="n">
        <v>0</v>
      </c>
      <c r="M473" t="n">
        <v>0</v>
      </c>
      <c r="N473" t="n">
        <v>0</v>
      </c>
      <c r="O473" t="n">
        <v>0</v>
      </c>
      <c r="P473" t="n">
        <v>0</v>
      </c>
      <c r="Q473" t="n">
        <v>1</v>
      </c>
      <c r="R473" s="2" t="inlineStr">
        <is>
          <t>Blåsippa</t>
        </is>
      </c>
      <c r="S473">
        <f>HYPERLINK("https://klasma.github.io/Logging_HOGSBY/artfynd/A 10947-2021.xlsx")</f>
        <v/>
      </c>
      <c r="T473">
        <f>HYPERLINK("https://klasma.github.io/Logging_HOGSBY/kartor/A 10947-2021.png")</f>
        <v/>
      </c>
      <c r="V473">
        <f>HYPERLINK("https://klasma.github.io/Logging_HOGSBY/klagomål/A 10947-2021.docx")</f>
        <v/>
      </c>
      <c r="W473">
        <f>HYPERLINK("https://klasma.github.io/Logging_HOGSBY/klagomålsmail/A 10947-2021.docx")</f>
        <v/>
      </c>
      <c r="X473">
        <f>HYPERLINK("https://klasma.github.io/Logging_HOGSBY/tillsyn/A 10947-2021.docx")</f>
        <v/>
      </c>
      <c r="Y473">
        <f>HYPERLINK("https://klasma.github.io/Logging_HOGSBY/tillsynsmail/A 10947-2021.docx")</f>
        <v/>
      </c>
    </row>
    <row r="474" ht="15" customHeight="1">
      <c r="A474" t="inlineStr">
        <is>
          <t>A 11221-2021</t>
        </is>
      </c>
      <c r="B474" s="1" t="n">
        <v>44263</v>
      </c>
      <c r="C474" s="1" t="n">
        <v>45175</v>
      </c>
      <c r="D474" t="inlineStr">
        <is>
          <t>KALMAR LÄN</t>
        </is>
      </c>
      <c r="E474" t="inlineStr">
        <is>
          <t>TORSÅS</t>
        </is>
      </c>
      <c r="G474" t="n">
        <v>6.7</v>
      </c>
      <c r="H474" t="n">
        <v>0</v>
      </c>
      <c r="I474" t="n">
        <v>0</v>
      </c>
      <c r="J474" t="n">
        <v>0</v>
      </c>
      <c r="K474" t="n">
        <v>1</v>
      </c>
      <c r="L474" t="n">
        <v>0</v>
      </c>
      <c r="M474" t="n">
        <v>0</v>
      </c>
      <c r="N474" t="n">
        <v>0</v>
      </c>
      <c r="O474" t="n">
        <v>1</v>
      </c>
      <c r="P474" t="n">
        <v>1</v>
      </c>
      <c r="Q474" t="n">
        <v>1</v>
      </c>
      <c r="R474" s="2" t="inlineStr">
        <is>
          <t>Lungrot</t>
        </is>
      </c>
      <c r="S474">
        <f>HYPERLINK("https://klasma.github.io/Logging_TORSAS/artfynd/A 11221-2021.xlsx")</f>
        <v/>
      </c>
      <c r="T474">
        <f>HYPERLINK("https://klasma.github.io/Logging_TORSAS/kartor/A 11221-2021.png")</f>
        <v/>
      </c>
      <c r="V474">
        <f>HYPERLINK("https://klasma.github.io/Logging_TORSAS/klagomål/A 11221-2021.docx")</f>
        <v/>
      </c>
      <c r="W474">
        <f>HYPERLINK("https://klasma.github.io/Logging_TORSAS/klagomålsmail/A 11221-2021.docx")</f>
        <v/>
      </c>
      <c r="X474">
        <f>HYPERLINK("https://klasma.github.io/Logging_TORSAS/tillsyn/A 11221-2021.docx")</f>
        <v/>
      </c>
      <c r="Y474">
        <f>HYPERLINK("https://klasma.github.io/Logging_TORSAS/tillsynsmail/A 11221-2021.docx")</f>
        <v/>
      </c>
    </row>
    <row r="475" ht="15" customHeight="1">
      <c r="A475" t="inlineStr">
        <is>
          <t>A 12329-2021</t>
        </is>
      </c>
      <c r="B475" s="1" t="n">
        <v>44267</v>
      </c>
      <c r="C475" s="1" t="n">
        <v>45175</v>
      </c>
      <c r="D475" t="inlineStr">
        <is>
          <t>KALMAR LÄN</t>
        </is>
      </c>
      <c r="E475" t="inlineStr">
        <is>
          <t>OSKARSHAMN</t>
        </is>
      </c>
      <c r="G475" t="n">
        <v>16.6</v>
      </c>
      <c r="H475" t="n">
        <v>0</v>
      </c>
      <c r="I475" t="n">
        <v>0</v>
      </c>
      <c r="J475" t="n">
        <v>1</v>
      </c>
      <c r="K475" t="n">
        <v>0</v>
      </c>
      <c r="L475" t="n">
        <v>0</v>
      </c>
      <c r="M475" t="n">
        <v>0</v>
      </c>
      <c r="N475" t="n">
        <v>0</v>
      </c>
      <c r="O475" t="n">
        <v>1</v>
      </c>
      <c r="P475" t="n">
        <v>0</v>
      </c>
      <c r="Q475" t="n">
        <v>1</v>
      </c>
      <c r="R475" s="2" t="inlineStr">
        <is>
          <t>Åkerkulla</t>
        </is>
      </c>
      <c r="S475">
        <f>HYPERLINK("https://klasma.github.io/Logging_OSKARSHAMN/artfynd/A 12329-2021.xlsx")</f>
        <v/>
      </c>
      <c r="T475">
        <f>HYPERLINK("https://klasma.github.io/Logging_OSKARSHAMN/kartor/A 12329-2021.png")</f>
        <v/>
      </c>
      <c r="V475">
        <f>HYPERLINK("https://klasma.github.io/Logging_OSKARSHAMN/klagomål/A 12329-2021.docx")</f>
        <v/>
      </c>
      <c r="W475">
        <f>HYPERLINK("https://klasma.github.io/Logging_OSKARSHAMN/klagomålsmail/A 12329-2021.docx")</f>
        <v/>
      </c>
      <c r="X475">
        <f>HYPERLINK("https://klasma.github.io/Logging_OSKARSHAMN/tillsyn/A 12329-2021.docx")</f>
        <v/>
      </c>
      <c r="Y475">
        <f>HYPERLINK("https://klasma.github.io/Logging_OSKARSHAMN/tillsynsmail/A 12329-2021.docx")</f>
        <v/>
      </c>
    </row>
    <row r="476" ht="15" customHeight="1">
      <c r="A476" t="inlineStr">
        <is>
          <t>A 12785-2021</t>
        </is>
      </c>
      <c r="B476" s="1" t="n">
        <v>44270</v>
      </c>
      <c r="C476" s="1" t="n">
        <v>45175</v>
      </c>
      <c r="D476" t="inlineStr">
        <is>
          <t>KALMAR LÄN</t>
        </is>
      </c>
      <c r="E476" t="inlineStr">
        <is>
          <t>BORGHOLM</t>
        </is>
      </c>
      <c r="G476" t="n">
        <v>1.2</v>
      </c>
      <c r="H476" t="n">
        <v>0</v>
      </c>
      <c r="I476" t="n">
        <v>0</v>
      </c>
      <c r="J476" t="n">
        <v>0</v>
      </c>
      <c r="K476" t="n">
        <v>0</v>
      </c>
      <c r="L476" t="n">
        <v>1</v>
      </c>
      <c r="M476" t="n">
        <v>0</v>
      </c>
      <c r="N476" t="n">
        <v>0</v>
      </c>
      <c r="O476" t="n">
        <v>1</v>
      </c>
      <c r="P476" t="n">
        <v>1</v>
      </c>
      <c r="Q476" t="n">
        <v>1</v>
      </c>
      <c r="R476" s="2" t="inlineStr">
        <is>
          <t>Ask</t>
        </is>
      </c>
      <c r="S476">
        <f>HYPERLINK("https://klasma.github.io/Logging_BORGHOLM/artfynd/A 12785-2021.xlsx")</f>
        <v/>
      </c>
      <c r="T476">
        <f>HYPERLINK("https://klasma.github.io/Logging_BORGHOLM/kartor/A 12785-2021.png")</f>
        <v/>
      </c>
      <c r="V476">
        <f>HYPERLINK("https://klasma.github.io/Logging_BORGHOLM/klagomål/A 12785-2021.docx")</f>
        <v/>
      </c>
      <c r="W476">
        <f>HYPERLINK("https://klasma.github.io/Logging_BORGHOLM/klagomålsmail/A 12785-2021.docx")</f>
        <v/>
      </c>
      <c r="X476">
        <f>HYPERLINK("https://klasma.github.io/Logging_BORGHOLM/tillsyn/A 12785-2021.docx")</f>
        <v/>
      </c>
      <c r="Y476">
        <f>HYPERLINK("https://klasma.github.io/Logging_BORGHOLM/tillsynsmail/A 12785-2021.docx")</f>
        <v/>
      </c>
    </row>
    <row r="477" ht="15" customHeight="1">
      <c r="A477" t="inlineStr">
        <is>
          <t>A 14343-2021</t>
        </is>
      </c>
      <c r="B477" s="1" t="n">
        <v>44279</v>
      </c>
      <c r="C477" s="1" t="n">
        <v>45175</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HYPERLINK("https://klasma.github.io/Logging_KALMAR/artfynd/A 14343-2021.xlsx")</f>
        <v/>
      </c>
      <c r="T477">
        <f>HYPERLINK("https://klasma.github.io/Logging_KALMAR/kartor/A 14343-2021.png")</f>
        <v/>
      </c>
      <c r="V477">
        <f>HYPERLINK("https://klasma.github.io/Logging_KALMAR/klagomål/A 14343-2021.docx")</f>
        <v/>
      </c>
      <c r="W477">
        <f>HYPERLINK("https://klasma.github.io/Logging_KALMAR/klagomålsmail/A 14343-2021.docx")</f>
        <v/>
      </c>
      <c r="X477">
        <f>HYPERLINK("https://klasma.github.io/Logging_KALMAR/tillsyn/A 14343-2021.docx")</f>
        <v/>
      </c>
      <c r="Y477">
        <f>HYPERLINK("https://klasma.github.io/Logging_KALMAR/tillsynsmail/A 14343-2021.docx")</f>
        <v/>
      </c>
    </row>
    <row r="478" ht="15" customHeight="1">
      <c r="A478" t="inlineStr">
        <is>
          <t>A 14789-2021</t>
        </is>
      </c>
      <c r="B478" s="1" t="n">
        <v>44280</v>
      </c>
      <c r="C478" s="1" t="n">
        <v>45175</v>
      </c>
      <c r="D478" t="inlineStr">
        <is>
          <t>KALMAR LÄN</t>
        </is>
      </c>
      <c r="E478" t="inlineStr">
        <is>
          <t>BORGHOLM</t>
        </is>
      </c>
      <c r="G478" t="n">
        <v>1</v>
      </c>
      <c r="H478" t="n">
        <v>1</v>
      </c>
      <c r="I478" t="n">
        <v>1</v>
      </c>
      <c r="J478" t="n">
        <v>0</v>
      </c>
      <c r="K478" t="n">
        <v>0</v>
      </c>
      <c r="L478" t="n">
        <v>0</v>
      </c>
      <c r="M478" t="n">
        <v>0</v>
      </c>
      <c r="N478" t="n">
        <v>0</v>
      </c>
      <c r="O478" t="n">
        <v>0</v>
      </c>
      <c r="P478" t="n">
        <v>0</v>
      </c>
      <c r="Q478" t="n">
        <v>1</v>
      </c>
      <c r="R478" s="2" t="inlineStr">
        <is>
          <t>Skogsknipprot</t>
        </is>
      </c>
      <c r="S478">
        <f>HYPERLINK("https://klasma.github.io/Logging_BORGHOLM/artfynd/A 14789-2021.xlsx")</f>
        <v/>
      </c>
      <c r="T478">
        <f>HYPERLINK("https://klasma.github.io/Logging_BORGHOLM/kartor/A 14789-2021.png")</f>
        <v/>
      </c>
      <c r="V478">
        <f>HYPERLINK("https://klasma.github.io/Logging_BORGHOLM/klagomål/A 14789-2021.docx")</f>
        <v/>
      </c>
      <c r="W478">
        <f>HYPERLINK("https://klasma.github.io/Logging_BORGHOLM/klagomålsmail/A 14789-2021.docx")</f>
        <v/>
      </c>
      <c r="X478">
        <f>HYPERLINK("https://klasma.github.io/Logging_BORGHOLM/tillsyn/A 14789-2021.docx")</f>
        <v/>
      </c>
      <c r="Y478">
        <f>HYPERLINK("https://klasma.github.io/Logging_BORGHOLM/tillsynsmail/A 14789-2021.docx")</f>
        <v/>
      </c>
    </row>
    <row r="479" ht="15" customHeight="1">
      <c r="A479" t="inlineStr">
        <is>
          <t>A 16824-2021</t>
        </is>
      </c>
      <c r="B479" s="1" t="n">
        <v>44295</v>
      </c>
      <c r="C479" s="1" t="n">
        <v>45175</v>
      </c>
      <c r="D479" t="inlineStr">
        <is>
          <t>KALMAR LÄN</t>
        </is>
      </c>
      <c r="E479" t="inlineStr">
        <is>
          <t>HULTSFRED</t>
        </is>
      </c>
      <c r="G479" t="n">
        <v>1.5</v>
      </c>
      <c r="H479" t="n">
        <v>0</v>
      </c>
      <c r="I479" t="n">
        <v>0</v>
      </c>
      <c r="J479" t="n">
        <v>1</v>
      </c>
      <c r="K479" t="n">
        <v>0</v>
      </c>
      <c r="L479" t="n">
        <v>0</v>
      </c>
      <c r="M479" t="n">
        <v>0</v>
      </c>
      <c r="N479" t="n">
        <v>0</v>
      </c>
      <c r="O479" t="n">
        <v>1</v>
      </c>
      <c r="P479" t="n">
        <v>0</v>
      </c>
      <c r="Q479" t="n">
        <v>1</v>
      </c>
      <c r="R479" s="2" t="inlineStr">
        <is>
          <t>Sommarfibbla</t>
        </is>
      </c>
      <c r="S479">
        <f>HYPERLINK("https://klasma.github.io/Logging_HULTSFRED/artfynd/A 16824-2021.xlsx")</f>
        <v/>
      </c>
      <c r="T479">
        <f>HYPERLINK("https://klasma.github.io/Logging_HULTSFRED/kartor/A 16824-2021.png")</f>
        <v/>
      </c>
      <c r="V479">
        <f>HYPERLINK("https://klasma.github.io/Logging_HULTSFRED/klagomål/A 16824-2021.docx")</f>
        <v/>
      </c>
      <c r="W479">
        <f>HYPERLINK("https://klasma.github.io/Logging_HULTSFRED/klagomålsmail/A 16824-2021.docx")</f>
        <v/>
      </c>
      <c r="X479">
        <f>HYPERLINK("https://klasma.github.io/Logging_HULTSFRED/tillsyn/A 16824-2021.docx")</f>
        <v/>
      </c>
      <c r="Y479">
        <f>HYPERLINK("https://klasma.github.io/Logging_HULTSFRED/tillsynsmail/A 16824-2021.docx")</f>
        <v/>
      </c>
    </row>
    <row r="480" ht="15" customHeight="1">
      <c r="A480" t="inlineStr">
        <is>
          <t>A 20129-2021</t>
        </is>
      </c>
      <c r="B480" s="1" t="n">
        <v>44314</v>
      </c>
      <c r="C480" s="1" t="n">
        <v>45175</v>
      </c>
      <c r="D480" t="inlineStr">
        <is>
          <t>KALMAR LÄN</t>
        </is>
      </c>
      <c r="E480" t="inlineStr">
        <is>
          <t>EMMABODA</t>
        </is>
      </c>
      <c r="G480" t="n">
        <v>5.8</v>
      </c>
      <c r="H480" t="n">
        <v>1</v>
      </c>
      <c r="I480" t="n">
        <v>0</v>
      </c>
      <c r="J480" t="n">
        <v>0</v>
      </c>
      <c r="K480" t="n">
        <v>0</v>
      </c>
      <c r="L480" t="n">
        <v>0</v>
      </c>
      <c r="M480" t="n">
        <v>0</v>
      </c>
      <c r="N480" t="n">
        <v>0</v>
      </c>
      <c r="O480" t="n">
        <v>0</v>
      </c>
      <c r="P480" t="n">
        <v>0</v>
      </c>
      <c r="Q480" t="n">
        <v>1</v>
      </c>
      <c r="R480" s="2" t="inlineStr">
        <is>
          <t>Revlummer</t>
        </is>
      </c>
      <c r="S480">
        <f>HYPERLINK("https://klasma.github.io/Logging_EMMABODA/artfynd/A 20129-2021.xlsx")</f>
        <v/>
      </c>
      <c r="T480">
        <f>HYPERLINK("https://klasma.github.io/Logging_EMMABODA/kartor/A 20129-2021.png")</f>
        <v/>
      </c>
      <c r="V480">
        <f>HYPERLINK("https://klasma.github.io/Logging_EMMABODA/klagomål/A 20129-2021.docx")</f>
        <v/>
      </c>
      <c r="W480">
        <f>HYPERLINK("https://klasma.github.io/Logging_EMMABODA/klagomålsmail/A 20129-2021.docx")</f>
        <v/>
      </c>
      <c r="X480">
        <f>HYPERLINK("https://klasma.github.io/Logging_EMMABODA/tillsyn/A 20129-2021.docx")</f>
        <v/>
      </c>
      <c r="Y480">
        <f>HYPERLINK("https://klasma.github.io/Logging_EMMABODA/tillsynsmail/A 20129-2021.docx")</f>
        <v/>
      </c>
    </row>
    <row r="481" ht="15" customHeight="1">
      <c r="A481" t="inlineStr">
        <is>
          <t>A 20233-2021</t>
        </is>
      </c>
      <c r="B481" s="1" t="n">
        <v>44314</v>
      </c>
      <c r="C481" s="1" t="n">
        <v>45175</v>
      </c>
      <c r="D481" t="inlineStr">
        <is>
          <t>KALMAR LÄN</t>
        </is>
      </c>
      <c r="E481" t="inlineStr">
        <is>
          <t>VÄSTERVIK</t>
        </is>
      </c>
      <c r="F481" t="inlineStr">
        <is>
          <t>Holmen skog AB</t>
        </is>
      </c>
      <c r="G481" t="n">
        <v>11.8</v>
      </c>
      <c r="H481" t="n">
        <v>0</v>
      </c>
      <c r="I481" t="n">
        <v>0</v>
      </c>
      <c r="J481" t="n">
        <v>1</v>
      </c>
      <c r="K481" t="n">
        <v>0</v>
      </c>
      <c r="L481" t="n">
        <v>0</v>
      </c>
      <c r="M481" t="n">
        <v>0</v>
      </c>
      <c r="N481" t="n">
        <v>0</v>
      </c>
      <c r="O481" t="n">
        <v>1</v>
      </c>
      <c r="P481" t="n">
        <v>0</v>
      </c>
      <c r="Q481" t="n">
        <v>1</v>
      </c>
      <c r="R481" s="2" t="inlineStr">
        <is>
          <t>Skogsklocka</t>
        </is>
      </c>
      <c r="S481">
        <f>HYPERLINK("https://klasma.github.io/Logging_VASTERVIK/artfynd/A 20233-2021.xlsx")</f>
        <v/>
      </c>
      <c r="T481">
        <f>HYPERLINK("https://klasma.github.io/Logging_VASTERVIK/kartor/A 20233-2021.png")</f>
        <v/>
      </c>
      <c r="V481">
        <f>HYPERLINK("https://klasma.github.io/Logging_VASTERVIK/klagomål/A 20233-2021.docx")</f>
        <v/>
      </c>
      <c r="W481">
        <f>HYPERLINK("https://klasma.github.io/Logging_VASTERVIK/klagomålsmail/A 20233-2021.docx")</f>
        <v/>
      </c>
      <c r="X481">
        <f>HYPERLINK("https://klasma.github.io/Logging_VASTERVIK/tillsyn/A 20233-2021.docx")</f>
        <v/>
      </c>
      <c r="Y481">
        <f>HYPERLINK("https://klasma.github.io/Logging_VASTERVIK/tillsynsmail/A 20233-2021.docx")</f>
        <v/>
      </c>
    </row>
    <row r="482" ht="15" customHeight="1">
      <c r="A482" t="inlineStr">
        <is>
          <t>A 20941-2021</t>
        </is>
      </c>
      <c r="B482" s="1" t="n">
        <v>44319</v>
      </c>
      <c r="C482" s="1" t="n">
        <v>45175</v>
      </c>
      <c r="D482" t="inlineStr">
        <is>
          <t>KALMAR LÄN</t>
        </is>
      </c>
      <c r="E482" t="inlineStr">
        <is>
          <t>NYBRO</t>
        </is>
      </c>
      <c r="G482" t="n">
        <v>2.3</v>
      </c>
      <c r="H482" t="n">
        <v>0</v>
      </c>
      <c r="I482" t="n">
        <v>0</v>
      </c>
      <c r="J482" t="n">
        <v>1</v>
      </c>
      <c r="K482" t="n">
        <v>0</v>
      </c>
      <c r="L482" t="n">
        <v>0</v>
      </c>
      <c r="M482" t="n">
        <v>0</v>
      </c>
      <c r="N482" t="n">
        <v>0</v>
      </c>
      <c r="O482" t="n">
        <v>1</v>
      </c>
      <c r="P482" t="n">
        <v>0</v>
      </c>
      <c r="Q482" t="n">
        <v>1</v>
      </c>
      <c r="R482" s="2" t="inlineStr">
        <is>
          <t>Sumpviol</t>
        </is>
      </c>
      <c r="S482">
        <f>HYPERLINK("https://klasma.github.io/Logging_NYBRO/artfynd/A 20941-2021.xlsx")</f>
        <v/>
      </c>
      <c r="T482">
        <f>HYPERLINK("https://klasma.github.io/Logging_NYBRO/kartor/A 20941-2021.png")</f>
        <v/>
      </c>
      <c r="V482">
        <f>HYPERLINK("https://klasma.github.io/Logging_NYBRO/klagomål/A 20941-2021.docx")</f>
        <v/>
      </c>
      <c r="W482">
        <f>HYPERLINK("https://klasma.github.io/Logging_NYBRO/klagomålsmail/A 20941-2021.docx")</f>
        <v/>
      </c>
      <c r="X482">
        <f>HYPERLINK("https://klasma.github.io/Logging_NYBRO/tillsyn/A 20941-2021.docx")</f>
        <v/>
      </c>
      <c r="Y482">
        <f>HYPERLINK("https://klasma.github.io/Logging_NYBRO/tillsynsmail/A 20941-2021.docx")</f>
        <v/>
      </c>
    </row>
    <row r="483" ht="15" customHeight="1">
      <c r="A483" t="inlineStr">
        <is>
          <t>A 24048-2021</t>
        </is>
      </c>
      <c r="B483" s="1" t="n">
        <v>44336</v>
      </c>
      <c r="C483" s="1" t="n">
        <v>45175</v>
      </c>
      <c r="D483" t="inlineStr">
        <is>
          <t>KALMAR LÄN</t>
        </is>
      </c>
      <c r="E483" t="inlineStr">
        <is>
          <t>VÄSTERVIK</t>
        </is>
      </c>
      <c r="G483" t="n">
        <v>3.5</v>
      </c>
      <c r="H483" t="n">
        <v>1</v>
      </c>
      <c r="I483" t="n">
        <v>0</v>
      </c>
      <c r="J483" t="n">
        <v>0</v>
      </c>
      <c r="K483" t="n">
        <v>1</v>
      </c>
      <c r="L483" t="n">
        <v>0</v>
      </c>
      <c r="M483" t="n">
        <v>0</v>
      </c>
      <c r="N483" t="n">
        <v>0</v>
      </c>
      <c r="O483" t="n">
        <v>1</v>
      </c>
      <c r="P483" t="n">
        <v>1</v>
      </c>
      <c r="Q483" t="n">
        <v>1</v>
      </c>
      <c r="R483" s="2" t="inlineStr">
        <is>
          <t>Knärot</t>
        </is>
      </c>
      <c r="S483">
        <f>HYPERLINK("https://klasma.github.io/Logging_VASTERVIK/artfynd/A 24048-2021.xlsx")</f>
        <v/>
      </c>
      <c r="T483">
        <f>HYPERLINK("https://klasma.github.io/Logging_VASTERVIK/kartor/A 24048-2021.png")</f>
        <v/>
      </c>
      <c r="U483">
        <f>HYPERLINK("https://klasma.github.io/Logging_VASTERVIK/knärot/A 24048-2021.png")</f>
        <v/>
      </c>
      <c r="V483">
        <f>HYPERLINK("https://klasma.github.io/Logging_VASTERVIK/klagomål/A 24048-2021.docx")</f>
        <v/>
      </c>
      <c r="W483">
        <f>HYPERLINK("https://klasma.github.io/Logging_VASTERVIK/klagomålsmail/A 24048-2021.docx")</f>
        <v/>
      </c>
      <c r="X483">
        <f>HYPERLINK("https://klasma.github.io/Logging_VASTERVIK/tillsyn/A 24048-2021.docx")</f>
        <v/>
      </c>
      <c r="Y483">
        <f>HYPERLINK("https://klasma.github.io/Logging_VASTERVIK/tillsynsmail/A 24048-2021.docx")</f>
        <v/>
      </c>
    </row>
    <row r="484" ht="15" customHeight="1">
      <c r="A484" t="inlineStr">
        <is>
          <t>A 25131-2021</t>
        </is>
      </c>
      <c r="B484" s="1" t="n">
        <v>44341</v>
      </c>
      <c r="C484" s="1" t="n">
        <v>45175</v>
      </c>
      <c r="D484" t="inlineStr">
        <is>
          <t>KALMAR LÄN</t>
        </is>
      </c>
      <c r="E484" t="inlineStr">
        <is>
          <t>HÖGSBY</t>
        </is>
      </c>
      <c r="F484" t="inlineStr">
        <is>
          <t>Sveaskog</t>
        </is>
      </c>
      <c r="G484" t="n">
        <v>4.3</v>
      </c>
      <c r="H484" t="n">
        <v>0</v>
      </c>
      <c r="I484" t="n">
        <v>0</v>
      </c>
      <c r="J484" t="n">
        <v>1</v>
      </c>
      <c r="K484" t="n">
        <v>0</v>
      </c>
      <c r="L484" t="n">
        <v>0</v>
      </c>
      <c r="M484" t="n">
        <v>0</v>
      </c>
      <c r="N484" t="n">
        <v>0</v>
      </c>
      <c r="O484" t="n">
        <v>1</v>
      </c>
      <c r="P484" t="n">
        <v>0</v>
      </c>
      <c r="Q484" t="n">
        <v>1</v>
      </c>
      <c r="R484" s="2" t="inlineStr">
        <is>
          <t>Backstarr</t>
        </is>
      </c>
      <c r="S484">
        <f>HYPERLINK("https://klasma.github.io/Logging_HOGSBY/artfynd/A 25131-2021.xlsx")</f>
        <v/>
      </c>
      <c r="T484">
        <f>HYPERLINK("https://klasma.github.io/Logging_HOGSBY/kartor/A 25131-2021.png")</f>
        <v/>
      </c>
      <c r="V484">
        <f>HYPERLINK("https://klasma.github.io/Logging_HOGSBY/klagomål/A 25131-2021.docx")</f>
        <v/>
      </c>
      <c r="W484">
        <f>HYPERLINK("https://klasma.github.io/Logging_HOGSBY/klagomålsmail/A 25131-2021.docx")</f>
        <v/>
      </c>
      <c r="X484">
        <f>HYPERLINK("https://klasma.github.io/Logging_HOGSBY/tillsyn/A 25131-2021.docx")</f>
        <v/>
      </c>
      <c r="Y484">
        <f>HYPERLINK("https://klasma.github.io/Logging_HOGSBY/tillsynsmail/A 25131-2021.docx")</f>
        <v/>
      </c>
    </row>
    <row r="485" ht="15" customHeight="1">
      <c r="A485" t="inlineStr">
        <is>
          <t>A 24939-2021</t>
        </is>
      </c>
      <c r="B485" s="1" t="n">
        <v>44341</v>
      </c>
      <c r="C485" s="1" t="n">
        <v>45175</v>
      </c>
      <c r="D485" t="inlineStr">
        <is>
          <t>KALMAR LÄN</t>
        </is>
      </c>
      <c r="E485" t="inlineStr">
        <is>
          <t>HULTSFRED</t>
        </is>
      </c>
      <c r="G485" t="n">
        <v>8.6</v>
      </c>
      <c r="H485" t="n">
        <v>1</v>
      </c>
      <c r="I485" t="n">
        <v>0</v>
      </c>
      <c r="J485" t="n">
        <v>1</v>
      </c>
      <c r="K485" t="n">
        <v>0</v>
      </c>
      <c r="L485" t="n">
        <v>0</v>
      </c>
      <c r="M485" t="n">
        <v>0</v>
      </c>
      <c r="N485" t="n">
        <v>0</v>
      </c>
      <c r="O485" t="n">
        <v>1</v>
      </c>
      <c r="P485" t="n">
        <v>0</v>
      </c>
      <c r="Q485" t="n">
        <v>1</v>
      </c>
      <c r="R485" s="2" t="inlineStr">
        <is>
          <t>Svartvit flugsnappare</t>
        </is>
      </c>
      <c r="S485">
        <f>HYPERLINK("https://klasma.github.io/Logging_HULTSFRED/artfynd/A 24939-2021.xlsx")</f>
        <v/>
      </c>
      <c r="T485">
        <f>HYPERLINK("https://klasma.github.io/Logging_HULTSFRED/kartor/A 24939-2021.png")</f>
        <v/>
      </c>
      <c r="V485">
        <f>HYPERLINK("https://klasma.github.io/Logging_HULTSFRED/klagomål/A 24939-2021.docx")</f>
        <v/>
      </c>
      <c r="W485">
        <f>HYPERLINK("https://klasma.github.io/Logging_HULTSFRED/klagomålsmail/A 24939-2021.docx")</f>
        <v/>
      </c>
      <c r="X485">
        <f>HYPERLINK("https://klasma.github.io/Logging_HULTSFRED/tillsyn/A 24939-2021.docx")</f>
        <v/>
      </c>
      <c r="Y485">
        <f>HYPERLINK("https://klasma.github.io/Logging_HULTSFRED/tillsynsmail/A 24939-2021.docx")</f>
        <v/>
      </c>
    </row>
    <row r="486" ht="15" customHeight="1">
      <c r="A486" t="inlineStr">
        <is>
          <t>A 25447-2021</t>
        </is>
      </c>
      <c r="B486" s="1" t="n">
        <v>44342</v>
      </c>
      <c r="C486" s="1" t="n">
        <v>45175</v>
      </c>
      <c r="D486" t="inlineStr">
        <is>
          <t>KALMAR LÄN</t>
        </is>
      </c>
      <c r="E486" t="inlineStr">
        <is>
          <t>VÄSTERVIK</t>
        </is>
      </c>
      <c r="F486" t="inlineStr">
        <is>
          <t>Holmen skog AB</t>
        </is>
      </c>
      <c r="G486" t="n">
        <v>9</v>
      </c>
      <c r="H486" t="n">
        <v>1</v>
      </c>
      <c r="I486" t="n">
        <v>0</v>
      </c>
      <c r="J486" t="n">
        <v>0</v>
      </c>
      <c r="K486" t="n">
        <v>1</v>
      </c>
      <c r="L486" t="n">
        <v>0</v>
      </c>
      <c r="M486" t="n">
        <v>0</v>
      </c>
      <c r="N486" t="n">
        <v>0</v>
      </c>
      <c r="O486" t="n">
        <v>1</v>
      </c>
      <c r="P486" t="n">
        <v>1</v>
      </c>
      <c r="Q486" t="n">
        <v>1</v>
      </c>
      <c r="R486" s="2" t="inlineStr">
        <is>
          <t>Knärot</t>
        </is>
      </c>
      <c r="S486">
        <f>HYPERLINK("https://klasma.github.io/Logging_VASTERVIK/artfynd/A 25447-2021.xlsx")</f>
        <v/>
      </c>
      <c r="T486">
        <f>HYPERLINK("https://klasma.github.io/Logging_VASTERVIK/kartor/A 25447-2021.png")</f>
        <v/>
      </c>
      <c r="U486">
        <f>HYPERLINK("https://klasma.github.io/Logging_VASTERVIK/knärot/A 25447-2021.png")</f>
        <v/>
      </c>
      <c r="V486">
        <f>HYPERLINK("https://klasma.github.io/Logging_VASTERVIK/klagomål/A 25447-2021.docx")</f>
        <v/>
      </c>
      <c r="W486">
        <f>HYPERLINK("https://klasma.github.io/Logging_VASTERVIK/klagomålsmail/A 25447-2021.docx")</f>
        <v/>
      </c>
      <c r="X486">
        <f>HYPERLINK("https://klasma.github.io/Logging_VASTERVIK/tillsyn/A 25447-2021.docx")</f>
        <v/>
      </c>
      <c r="Y486">
        <f>HYPERLINK("https://klasma.github.io/Logging_VASTERVIK/tillsynsmail/A 25447-2021.docx")</f>
        <v/>
      </c>
    </row>
    <row r="487" ht="15" customHeight="1">
      <c r="A487" t="inlineStr">
        <is>
          <t>A 25380-2021</t>
        </is>
      </c>
      <c r="B487" s="1" t="n">
        <v>44342</v>
      </c>
      <c r="C487" s="1" t="n">
        <v>45175</v>
      </c>
      <c r="D487" t="inlineStr">
        <is>
          <t>KALMAR LÄN</t>
        </is>
      </c>
      <c r="E487" t="inlineStr">
        <is>
          <t>OSKARSHAMN</t>
        </is>
      </c>
      <c r="F487" t="inlineStr">
        <is>
          <t>Kommuner</t>
        </is>
      </c>
      <c r="G487" t="n">
        <v>6.8</v>
      </c>
      <c r="H487" t="n">
        <v>0</v>
      </c>
      <c r="I487" t="n">
        <v>0</v>
      </c>
      <c r="J487" t="n">
        <v>1</v>
      </c>
      <c r="K487" t="n">
        <v>0</v>
      </c>
      <c r="L487" t="n">
        <v>0</v>
      </c>
      <c r="M487" t="n">
        <v>0</v>
      </c>
      <c r="N487" t="n">
        <v>0</v>
      </c>
      <c r="O487" t="n">
        <v>1</v>
      </c>
      <c r="P487" t="n">
        <v>0</v>
      </c>
      <c r="Q487" t="n">
        <v>1</v>
      </c>
      <c r="R487" s="2" t="inlineStr">
        <is>
          <t>Grönbladsbjörnbär</t>
        </is>
      </c>
      <c r="S487">
        <f>HYPERLINK("https://klasma.github.io/Logging_OSKARSHAMN/artfynd/A 25380-2021.xlsx")</f>
        <v/>
      </c>
      <c r="T487">
        <f>HYPERLINK("https://klasma.github.io/Logging_OSKARSHAMN/kartor/A 25380-2021.png")</f>
        <v/>
      </c>
      <c r="V487">
        <f>HYPERLINK("https://klasma.github.io/Logging_OSKARSHAMN/klagomål/A 25380-2021.docx")</f>
        <v/>
      </c>
      <c r="W487">
        <f>HYPERLINK("https://klasma.github.io/Logging_OSKARSHAMN/klagomålsmail/A 25380-2021.docx")</f>
        <v/>
      </c>
      <c r="X487">
        <f>HYPERLINK("https://klasma.github.io/Logging_OSKARSHAMN/tillsyn/A 25380-2021.docx")</f>
        <v/>
      </c>
      <c r="Y487">
        <f>HYPERLINK("https://klasma.github.io/Logging_OSKARSHAMN/tillsynsmail/A 25380-2021.docx")</f>
        <v/>
      </c>
    </row>
    <row r="488" ht="15" customHeight="1">
      <c r="A488" t="inlineStr">
        <is>
          <t>A 25439-2021</t>
        </is>
      </c>
      <c r="B488" s="1" t="n">
        <v>44342</v>
      </c>
      <c r="C488" s="1" t="n">
        <v>45175</v>
      </c>
      <c r="D488" t="inlineStr">
        <is>
          <t>KALMAR LÄN</t>
        </is>
      </c>
      <c r="E488" t="inlineStr">
        <is>
          <t>VÄSTERVIK</t>
        </is>
      </c>
      <c r="F488" t="inlineStr">
        <is>
          <t>Holmen skog AB</t>
        </is>
      </c>
      <c r="G488" t="n">
        <v>2.4</v>
      </c>
      <c r="H488" t="n">
        <v>1</v>
      </c>
      <c r="I488" t="n">
        <v>1</v>
      </c>
      <c r="J488" t="n">
        <v>0</v>
      </c>
      <c r="K488" t="n">
        <v>0</v>
      </c>
      <c r="L488" t="n">
        <v>0</v>
      </c>
      <c r="M488" t="n">
        <v>0</v>
      </c>
      <c r="N488" t="n">
        <v>0</v>
      </c>
      <c r="O488" t="n">
        <v>0</v>
      </c>
      <c r="P488" t="n">
        <v>0</v>
      </c>
      <c r="Q488" t="n">
        <v>1</v>
      </c>
      <c r="R488" s="2" t="inlineStr">
        <is>
          <t>Grön sköldmossa</t>
        </is>
      </c>
      <c r="S488">
        <f>HYPERLINK("https://klasma.github.io/Logging_VASTERVIK/artfynd/A 25439-2021.xlsx")</f>
        <v/>
      </c>
      <c r="T488">
        <f>HYPERLINK("https://klasma.github.io/Logging_VASTERVIK/kartor/A 25439-2021.png")</f>
        <v/>
      </c>
      <c r="V488">
        <f>HYPERLINK("https://klasma.github.io/Logging_VASTERVIK/klagomål/A 25439-2021.docx")</f>
        <v/>
      </c>
      <c r="W488">
        <f>HYPERLINK("https://klasma.github.io/Logging_VASTERVIK/klagomålsmail/A 25439-2021.docx")</f>
        <v/>
      </c>
      <c r="X488">
        <f>HYPERLINK("https://klasma.github.io/Logging_VASTERVIK/tillsyn/A 25439-2021.docx")</f>
        <v/>
      </c>
      <c r="Y488">
        <f>HYPERLINK("https://klasma.github.io/Logging_VASTERVIK/tillsynsmail/A 25439-2021.docx")</f>
        <v/>
      </c>
    </row>
    <row r="489" ht="15" customHeight="1">
      <c r="A489" t="inlineStr">
        <is>
          <t>A 25594-2021</t>
        </is>
      </c>
      <c r="B489" s="1" t="n">
        <v>44343</v>
      </c>
      <c r="C489" s="1" t="n">
        <v>45175</v>
      </c>
      <c r="D489" t="inlineStr">
        <is>
          <t>KALMAR LÄN</t>
        </is>
      </c>
      <c r="E489" t="inlineStr">
        <is>
          <t>VÄSTERVIK</t>
        </is>
      </c>
      <c r="F489" t="inlineStr">
        <is>
          <t>Holmen skog AB</t>
        </is>
      </c>
      <c r="G489" t="n">
        <v>3.2</v>
      </c>
      <c r="H489" t="n">
        <v>1</v>
      </c>
      <c r="I489" t="n">
        <v>0</v>
      </c>
      <c r="J489" t="n">
        <v>0</v>
      </c>
      <c r="K489" t="n">
        <v>1</v>
      </c>
      <c r="L489" t="n">
        <v>0</v>
      </c>
      <c r="M489" t="n">
        <v>0</v>
      </c>
      <c r="N489" t="n">
        <v>0</v>
      </c>
      <c r="O489" t="n">
        <v>1</v>
      </c>
      <c r="P489" t="n">
        <v>1</v>
      </c>
      <c r="Q489" t="n">
        <v>1</v>
      </c>
      <c r="R489" s="2" t="inlineStr">
        <is>
          <t>Knärot</t>
        </is>
      </c>
      <c r="S489">
        <f>HYPERLINK("https://klasma.github.io/Logging_VASTERVIK/artfynd/A 25594-2021.xlsx")</f>
        <v/>
      </c>
      <c r="T489">
        <f>HYPERLINK("https://klasma.github.io/Logging_VASTERVIK/kartor/A 25594-2021.png")</f>
        <v/>
      </c>
      <c r="U489">
        <f>HYPERLINK("https://klasma.github.io/Logging_VASTERVIK/knärot/A 25594-2021.png")</f>
        <v/>
      </c>
      <c r="V489">
        <f>HYPERLINK("https://klasma.github.io/Logging_VASTERVIK/klagomål/A 25594-2021.docx")</f>
        <v/>
      </c>
      <c r="W489">
        <f>HYPERLINK("https://klasma.github.io/Logging_VASTERVIK/klagomålsmail/A 25594-2021.docx")</f>
        <v/>
      </c>
      <c r="X489">
        <f>HYPERLINK("https://klasma.github.io/Logging_VASTERVIK/tillsyn/A 25594-2021.docx")</f>
        <v/>
      </c>
      <c r="Y489">
        <f>HYPERLINK("https://klasma.github.io/Logging_VASTERVIK/tillsynsmail/A 25594-2021.docx")</f>
        <v/>
      </c>
    </row>
    <row r="490" ht="15" customHeight="1">
      <c r="A490" t="inlineStr">
        <is>
          <t>A 25677-2021</t>
        </is>
      </c>
      <c r="B490" s="1" t="n">
        <v>44343</v>
      </c>
      <c r="C490" s="1" t="n">
        <v>45175</v>
      </c>
      <c r="D490" t="inlineStr">
        <is>
          <t>KALMAR LÄN</t>
        </is>
      </c>
      <c r="E490" t="inlineStr">
        <is>
          <t>OSKARSHAMN</t>
        </is>
      </c>
      <c r="G490" t="n">
        <v>7.5</v>
      </c>
      <c r="H490" t="n">
        <v>1</v>
      </c>
      <c r="I490" t="n">
        <v>0</v>
      </c>
      <c r="J490" t="n">
        <v>1</v>
      </c>
      <c r="K490" t="n">
        <v>0</v>
      </c>
      <c r="L490" t="n">
        <v>0</v>
      </c>
      <c r="M490" t="n">
        <v>0</v>
      </c>
      <c r="N490" t="n">
        <v>0</v>
      </c>
      <c r="O490" t="n">
        <v>1</v>
      </c>
      <c r="P490" t="n">
        <v>0</v>
      </c>
      <c r="Q490" t="n">
        <v>1</v>
      </c>
      <c r="R490" s="2" t="inlineStr">
        <is>
          <t>Talltita</t>
        </is>
      </c>
      <c r="S490">
        <f>HYPERLINK("https://klasma.github.io/Logging_OSKARSHAMN/artfynd/A 25677-2021.xlsx")</f>
        <v/>
      </c>
      <c r="T490">
        <f>HYPERLINK("https://klasma.github.io/Logging_OSKARSHAMN/kartor/A 25677-2021.png")</f>
        <v/>
      </c>
      <c r="V490">
        <f>HYPERLINK("https://klasma.github.io/Logging_OSKARSHAMN/klagomål/A 25677-2021.docx")</f>
        <v/>
      </c>
      <c r="W490">
        <f>HYPERLINK("https://klasma.github.io/Logging_OSKARSHAMN/klagomålsmail/A 25677-2021.docx")</f>
        <v/>
      </c>
      <c r="X490">
        <f>HYPERLINK("https://klasma.github.io/Logging_OSKARSHAMN/tillsyn/A 25677-2021.docx")</f>
        <v/>
      </c>
      <c r="Y490">
        <f>HYPERLINK("https://klasma.github.io/Logging_OSKARSHAMN/tillsynsmail/A 25677-2021.docx")</f>
        <v/>
      </c>
    </row>
    <row r="491" ht="15" customHeight="1">
      <c r="A491" t="inlineStr">
        <is>
          <t>A 28298-2021</t>
        </is>
      </c>
      <c r="B491" s="1" t="n">
        <v>44356</v>
      </c>
      <c r="C491" s="1" t="n">
        <v>45175</v>
      </c>
      <c r="D491" t="inlineStr">
        <is>
          <t>KALMAR LÄN</t>
        </is>
      </c>
      <c r="E491" t="inlineStr">
        <is>
          <t>OSKARSHAMN</t>
        </is>
      </c>
      <c r="G491" t="n">
        <v>6.3</v>
      </c>
      <c r="H491" t="n">
        <v>0</v>
      </c>
      <c r="I491" t="n">
        <v>0</v>
      </c>
      <c r="J491" t="n">
        <v>1</v>
      </c>
      <c r="K491" t="n">
        <v>0</v>
      </c>
      <c r="L491" t="n">
        <v>0</v>
      </c>
      <c r="M491" t="n">
        <v>0</v>
      </c>
      <c r="N491" t="n">
        <v>0</v>
      </c>
      <c r="O491" t="n">
        <v>1</v>
      </c>
      <c r="P491" t="n">
        <v>0</v>
      </c>
      <c r="Q491" t="n">
        <v>1</v>
      </c>
      <c r="R491" s="2" t="inlineStr">
        <is>
          <t>Tallticka</t>
        </is>
      </c>
      <c r="S491">
        <f>HYPERLINK("https://klasma.github.io/Logging_OSKARSHAMN/artfynd/A 28298-2021.xlsx")</f>
        <v/>
      </c>
      <c r="T491">
        <f>HYPERLINK("https://klasma.github.io/Logging_OSKARSHAMN/kartor/A 28298-2021.png")</f>
        <v/>
      </c>
      <c r="V491">
        <f>HYPERLINK("https://klasma.github.io/Logging_OSKARSHAMN/klagomål/A 28298-2021.docx")</f>
        <v/>
      </c>
      <c r="W491">
        <f>HYPERLINK("https://klasma.github.io/Logging_OSKARSHAMN/klagomålsmail/A 28298-2021.docx")</f>
        <v/>
      </c>
      <c r="X491">
        <f>HYPERLINK("https://klasma.github.io/Logging_OSKARSHAMN/tillsyn/A 28298-2021.docx")</f>
        <v/>
      </c>
      <c r="Y491">
        <f>HYPERLINK("https://klasma.github.io/Logging_OSKARSHAMN/tillsynsmail/A 28298-2021.docx")</f>
        <v/>
      </c>
    </row>
    <row r="492" ht="15" customHeight="1">
      <c r="A492" t="inlineStr">
        <is>
          <t>A 28299-2021</t>
        </is>
      </c>
      <c r="B492" s="1" t="n">
        <v>44356</v>
      </c>
      <c r="C492" s="1" t="n">
        <v>45175</v>
      </c>
      <c r="D492" t="inlineStr">
        <is>
          <t>KALMAR LÄN</t>
        </is>
      </c>
      <c r="E492" t="inlineStr">
        <is>
          <t>OSKARSHAMN</t>
        </is>
      </c>
      <c r="G492" t="n">
        <v>1.9</v>
      </c>
      <c r="H492" t="n">
        <v>1</v>
      </c>
      <c r="I492" t="n">
        <v>0</v>
      </c>
      <c r="J492" t="n">
        <v>1</v>
      </c>
      <c r="K492" t="n">
        <v>0</v>
      </c>
      <c r="L492" t="n">
        <v>0</v>
      </c>
      <c r="M492" t="n">
        <v>0</v>
      </c>
      <c r="N492" t="n">
        <v>0</v>
      </c>
      <c r="O492" t="n">
        <v>1</v>
      </c>
      <c r="P492" t="n">
        <v>0</v>
      </c>
      <c r="Q492" t="n">
        <v>1</v>
      </c>
      <c r="R492" s="2" t="inlineStr">
        <is>
          <t>Spillkråka</t>
        </is>
      </c>
      <c r="S492">
        <f>HYPERLINK("https://klasma.github.io/Logging_OSKARSHAMN/artfynd/A 28299-2021.xlsx")</f>
        <v/>
      </c>
      <c r="T492">
        <f>HYPERLINK("https://klasma.github.io/Logging_OSKARSHAMN/kartor/A 28299-2021.png")</f>
        <v/>
      </c>
      <c r="V492">
        <f>HYPERLINK("https://klasma.github.io/Logging_OSKARSHAMN/klagomål/A 28299-2021.docx")</f>
        <v/>
      </c>
      <c r="W492">
        <f>HYPERLINK("https://klasma.github.io/Logging_OSKARSHAMN/klagomålsmail/A 28299-2021.docx")</f>
        <v/>
      </c>
      <c r="X492">
        <f>HYPERLINK("https://klasma.github.io/Logging_OSKARSHAMN/tillsyn/A 28299-2021.docx")</f>
        <v/>
      </c>
      <c r="Y492">
        <f>HYPERLINK("https://klasma.github.io/Logging_OSKARSHAMN/tillsynsmail/A 28299-2021.docx")</f>
        <v/>
      </c>
    </row>
    <row r="493" ht="15" customHeight="1">
      <c r="A493" t="inlineStr">
        <is>
          <t>A 29455-2021</t>
        </is>
      </c>
      <c r="B493" s="1" t="n">
        <v>44361</v>
      </c>
      <c r="C493" s="1" t="n">
        <v>45175</v>
      </c>
      <c r="D493" t="inlineStr">
        <is>
          <t>KALMAR LÄN</t>
        </is>
      </c>
      <c r="E493" t="inlineStr">
        <is>
          <t>VÄSTERVIK</t>
        </is>
      </c>
      <c r="F493" t="inlineStr">
        <is>
          <t>Övriga Aktiebolag</t>
        </is>
      </c>
      <c r="G493" t="n">
        <v>3.1</v>
      </c>
      <c r="H493" t="n">
        <v>1</v>
      </c>
      <c r="I493" t="n">
        <v>0</v>
      </c>
      <c r="J493" t="n">
        <v>0</v>
      </c>
      <c r="K493" t="n">
        <v>1</v>
      </c>
      <c r="L493" t="n">
        <v>0</v>
      </c>
      <c r="M493" t="n">
        <v>0</v>
      </c>
      <c r="N493" t="n">
        <v>0</v>
      </c>
      <c r="O493" t="n">
        <v>1</v>
      </c>
      <c r="P493" t="n">
        <v>1</v>
      </c>
      <c r="Q493" t="n">
        <v>1</v>
      </c>
      <c r="R493" s="2" t="inlineStr">
        <is>
          <t>Knärot</t>
        </is>
      </c>
      <c r="S493">
        <f>HYPERLINK("https://klasma.github.io/Logging_VASTERVIK/artfynd/A 29455-2021.xlsx")</f>
        <v/>
      </c>
      <c r="T493">
        <f>HYPERLINK("https://klasma.github.io/Logging_VASTERVIK/kartor/A 29455-2021.png")</f>
        <v/>
      </c>
      <c r="U493">
        <f>HYPERLINK("https://klasma.github.io/Logging_VASTERVIK/knärot/A 29455-2021.png")</f>
        <v/>
      </c>
      <c r="V493">
        <f>HYPERLINK("https://klasma.github.io/Logging_VASTERVIK/klagomål/A 29455-2021.docx")</f>
        <v/>
      </c>
      <c r="W493">
        <f>HYPERLINK("https://klasma.github.io/Logging_VASTERVIK/klagomålsmail/A 29455-2021.docx")</f>
        <v/>
      </c>
      <c r="X493">
        <f>HYPERLINK("https://klasma.github.io/Logging_VASTERVIK/tillsyn/A 29455-2021.docx")</f>
        <v/>
      </c>
      <c r="Y493">
        <f>HYPERLINK("https://klasma.github.io/Logging_VASTERVIK/tillsynsmail/A 29455-2021.docx")</f>
        <v/>
      </c>
    </row>
    <row r="494" ht="15" customHeight="1">
      <c r="A494" t="inlineStr">
        <is>
          <t>A 30666-2021</t>
        </is>
      </c>
      <c r="B494" s="1" t="n">
        <v>44365</v>
      </c>
      <c r="C494" s="1" t="n">
        <v>45175</v>
      </c>
      <c r="D494" t="inlineStr">
        <is>
          <t>KALMAR LÄN</t>
        </is>
      </c>
      <c r="E494" t="inlineStr">
        <is>
          <t>NYBRO</t>
        </is>
      </c>
      <c r="G494" t="n">
        <v>1.3</v>
      </c>
      <c r="H494" t="n">
        <v>1</v>
      </c>
      <c r="I494" t="n">
        <v>1</v>
      </c>
      <c r="J494" t="n">
        <v>0</v>
      </c>
      <c r="K494" t="n">
        <v>0</v>
      </c>
      <c r="L494" t="n">
        <v>0</v>
      </c>
      <c r="M494" t="n">
        <v>0</v>
      </c>
      <c r="N494" t="n">
        <v>0</v>
      </c>
      <c r="O494" t="n">
        <v>0</v>
      </c>
      <c r="P494" t="n">
        <v>0</v>
      </c>
      <c r="Q494" t="n">
        <v>1</v>
      </c>
      <c r="R494" s="2" t="inlineStr">
        <is>
          <t>Spindelblomster</t>
        </is>
      </c>
      <c r="S494">
        <f>HYPERLINK("https://klasma.github.io/Logging_NYBRO/artfynd/A 30666-2021.xlsx")</f>
        <v/>
      </c>
      <c r="T494">
        <f>HYPERLINK("https://klasma.github.io/Logging_NYBRO/kartor/A 30666-2021.png")</f>
        <v/>
      </c>
      <c r="V494">
        <f>HYPERLINK("https://klasma.github.io/Logging_NYBRO/klagomål/A 30666-2021.docx")</f>
        <v/>
      </c>
      <c r="W494">
        <f>HYPERLINK("https://klasma.github.io/Logging_NYBRO/klagomålsmail/A 30666-2021.docx")</f>
        <v/>
      </c>
      <c r="X494">
        <f>HYPERLINK("https://klasma.github.io/Logging_NYBRO/tillsyn/A 30666-2021.docx")</f>
        <v/>
      </c>
      <c r="Y494">
        <f>HYPERLINK("https://klasma.github.io/Logging_NYBRO/tillsynsmail/A 30666-2021.docx")</f>
        <v/>
      </c>
    </row>
    <row r="495" ht="15" customHeight="1">
      <c r="A495" t="inlineStr">
        <is>
          <t>A 31315-2021</t>
        </is>
      </c>
      <c r="B495" s="1" t="n">
        <v>44368</v>
      </c>
      <c r="C495" s="1" t="n">
        <v>45175</v>
      </c>
      <c r="D495" t="inlineStr">
        <is>
          <t>KALMAR LÄN</t>
        </is>
      </c>
      <c r="E495" t="inlineStr">
        <is>
          <t>VÄSTERVIK</t>
        </is>
      </c>
      <c r="G495" t="n">
        <v>3.3</v>
      </c>
      <c r="H495" t="n">
        <v>1</v>
      </c>
      <c r="I495" t="n">
        <v>0</v>
      </c>
      <c r="J495" t="n">
        <v>0</v>
      </c>
      <c r="K495" t="n">
        <v>1</v>
      </c>
      <c r="L495" t="n">
        <v>0</v>
      </c>
      <c r="M495" t="n">
        <v>0</v>
      </c>
      <c r="N495" t="n">
        <v>0</v>
      </c>
      <c r="O495" t="n">
        <v>1</v>
      </c>
      <c r="P495" t="n">
        <v>1</v>
      </c>
      <c r="Q495" t="n">
        <v>1</v>
      </c>
      <c r="R495" s="2" t="inlineStr">
        <is>
          <t>Knärot</t>
        </is>
      </c>
      <c r="S495">
        <f>HYPERLINK("https://klasma.github.io/Logging_VASTERVIK/artfynd/A 31315-2021.xlsx")</f>
        <v/>
      </c>
      <c r="T495">
        <f>HYPERLINK("https://klasma.github.io/Logging_VASTERVIK/kartor/A 31315-2021.png")</f>
        <v/>
      </c>
      <c r="U495">
        <f>HYPERLINK("https://klasma.github.io/Logging_VASTERVIK/knärot/A 31315-2021.png")</f>
        <v/>
      </c>
      <c r="V495">
        <f>HYPERLINK("https://klasma.github.io/Logging_VASTERVIK/klagomål/A 31315-2021.docx")</f>
        <v/>
      </c>
      <c r="W495">
        <f>HYPERLINK("https://klasma.github.io/Logging_VASTERVIK/klagomålsmail/A 31315-2021.docx")</f>
        <v/>
      </c>
      <c r="X495">
        <f>HYPERLINK("https://klasma.github.io/Logging_VASTERVIK/tillsyn/A 31315-2021.docx")</f>
        <v/>
      </c>
      <c r="Y495">
        <f>HYPERLINK("https://klasma.github.io/Logging_VASTERVIK/tillsynsmail/A 31315-2021.docx")</f>
        <v/>
      </c>
    </row>
    <row r="496" ht="15" customHeight="1">
      <c r="A496" t="inlineStr">
        <is>
          <t>A 31170-2021</t>
        </is>
      </c>
      <c r="B496" s="1" t="n">
        <v>44368</v>
      </c>
      <c r="C496" s="1" t="n">
        <v>45175</v>
      </c>
      <c r="D496" t="inlineStr">
        <is>
          <t>KALMAR LÄN</t>
        </is>
      </c>
      <c r="E496" t="inlineStr">
        <is>
          <t>MÖNSTERÅS</t>
        </is>
      </c>
      <c r="G496" t="n">
        <v>20.1</v>
      </c>
      <c r="H496" t="n">
        <v>1</v>
      </c>
      <c r="I496" t="n">
        <v>0</v>
      </c>
      <c r="J496" t="n">
        <v>0</v>
      </c>
      <c r="K496" t="n">
        <v>1</v>
      </c>
      <c r="L496" t="n">
        <v>0</v>
      </c>
      <c r="M496" t="n">
        <v>0</v>
      </c>
      <c r="N496" t="n">
        <v>0</v>
      </c>
      <c r="O496" t="n">
        <v>1</v>
      </c>
      <c r="P496" t="n">
        <v>1</v>
      </c>
      <c r="Q496" t="n">
        <v>1</v>
      </c>
      <c r="R496" s="2" t="inlineStr">
        <is>
          <t>Knärot</t>
        </is>
      </c>
      <c r="S496">
        <f>HYPERLINK("https://klasma.github.io/Logging_MONSTERAS/artfynd/A 31170-2021.xlsx")</f>
        <v/>
      </c>
      <c r="T496">
        <f>HYPERLINK("https://klasma.github.io/Logging_MONSTERAS/kartor/A 31170-2021.png")</f>
        <v/>
      </c>
      <c r="U496">
        <f>HYPERLINK("https://klasma.github.io/Logging_MONSTERAS/knärot/A 31170-2021.png")</f>
        <v/>
      </c>
      <c r="V496">
        <f>HYPERLINK("https://klasma.github.io/Logging_MONSTERAS/klagomål/A 31170-2021.docx")</f>
        <v/>
      </c>
      <c r="W496">
        <f>HYPERLINK("https://klasma.github.io/Logging_MONSTERAS/klagomålsmail/A 31170-2021.docx")</f>
        <v/>
      </c>
      <c r="X496">
        <f>HYPERLINK("https://klasma.github.io/Logging_MONSTERAS/tillsyn/A 31170-2021.docx")</f>
        <v/>
      </c>
      <c r="Y496">
        <f>HYPERLINK("https://klasma.github.io/Logging_MONSTERAS/tillsynsmail/A 31170-2021.docx")</f>
        <v/>
      </c>
    </row>
    <row r="497" ht="15" customHeight="1">
      <c r="A497" t="inlineStr">
        <is>
          <t>A 32396-2021</t>
        </is>
      </c>
      <c r="B497" s="1" t="n">
        <v>44371</v>
      </c>
      <c r="C497" s="1" t="n">
        <v>45175</v>
      </c>
      <c r="D497" t="inlineStr">
        <is>
          <t>KALMAR LÄN</t>
        </is>
      </c>
      <c r="E497" t="inlineStr">
        <is>
          <t>VIMMERBY</t>
        </is>
      </c>
      <c r="G497" t="n">
        <v>2.8</v>
      </c>
      <c r="H497" t="n">
        <v>1</v>
      </c>
      <c r="I497" t="n">
        <v>0</v>
      </c>
      <c r="J497" t="n">
        <v>0</v>
      </c>
      <c r="K497" t="n">
        <v>0</v>
      </c>
      <c r="L497" t="n">
        <v>0</v>
      </c>
      <c r="M497" t="n">
        <v>0</v>
      </c>
      <c r="N497" t="n">
        <v>0</v>
      </c>
      <c r="O497" t="n">
        <v>0</v>
      </c>
      <c r="P497" t="n">
        <v>0</v>
      </c>
      <c r="Q497" t="n">
        <v>1</v>
      </c>
      <c r="R497" s="2" t="inlineStr">
        <is>
          <t>Blåsippa</t>
        </is>
      </c>
      <c r="S497">
        <f>HYPERLINK("https://klasma.github.io/Logging_VIMMERBY/artfynd/A 32396-2021.xlsx")</f>
        <v/>
      </c>
      <c r="T497">
        <f>HYPERLINK("https://klasma.github.io/Logging_VIMMERBY/kartor/A 32396-2021.png")</f>
        <v/>
      </c>
      <c r="V497">
        <f>HYPERLINK("https://klasma.github.io/Logging_VIMMERBY/klagomål/A 32396-2021.docx")</f>
        <v/>
      </c>
      <c r="W497">
        <f>HYPERLINK("https://klasma.github.io/Logging_VIMMERBY/klagomålsmail/A 32396-2021.docx")</f>
        <v/>
      </c>
      <c r="X497">
        <f>HYPERLINK("https://klasma.github.io/Logging_VIMMERBY/tillsyn/A 32396-2021.docx")</f>
        <v/>
      </c>
      <c r="Y497">
        <f>HYPERLINK("https://klasma.github.io/Logging_VIMMERBY/tillsynsmail/A 32396-2021.docx")</f>
        <v/>
      </c>
    </row>
    <row r="498" ht="15" customHeight="1">
      <c r="A498" t="inlineStr">
        <is>
          <t>A 32768-2021</t>
        </is>
      </c>
      <c r="B498" s="1" t="n">
        <v>44375</v>
      </c>
      <c r="C498" s="1" t="n">
        <v>45175</v>
      </c>
      <c r="D498" t="inlineStr">
        <is>
          <t>KALMAR LÄN</t>
        </is>
      </c>
      <c r="E498" t="inlineStr">
        <is>
          <t>HULTSFRED</t>
        </is>
      </c>
      <c r="G498" t="n">
        <v>4.3</v>
      </c>
      <c r="H498" t="n">
        <v>0</v>
      </c>
      <c r="I498" t="n">
        <v>1</v>
      </c>
      <c r="J498" t="n">
        <v>0</v>
      </c>
      <c r="K498" t="n">
        <v>0</v>
      </c>
      <c r="L498" t="n">
        <v>0</v>
      </c>
      <c r="M498" t="n">
        <v>0</v>
      </c>
      <c r="N498" t="n">
        <v>0</v>
      </c>
      <c r="O498" t="n">
        <v>0</v>
      </c>
      <c r="P498" t="n">
        <v>0</v>
      </c>
      <c r="Q498" t="n">
        <v>1</v>
      </c>
      <c r="R498" s="2" t="inlineStr">
        <is>
          <t>Dvärghäxört</t>
        </is>
      </c>
      <c r="S498">
        <f>HYPERLINK("https://klasma.github.io/Logging_HULTSFRED/artfynd/A 32768-2021.xlsx")</f>
        <v/>
      </c>
      <c r="T498">
        <f>HYPERLINK("https://klasma.github.io/Logging_HULTSFRED/kartor/A 32768-2021.png")</f>
        <v/>
      </c>
      <c r="V498">
        <f>HYPERLINK("https://klasma.github.io/Logging_HULTSFRED/klagomål/A 32768-2021.docx")</f>
        <v/>
      </c>
      <c r="W498">
        <f>HYPERLINK("https://klasma.github.io/Logging_HULTSFRED/klagomålsmail/A 32768-2021.docx")</f>
        <v/>
      </c>
      <c r="X498">
        <f>HYPERLINK("https://klasma.github.io/Logging_HULTSFRED/tillsyn/A 32768-2021.docx")</f>
        <v/>
      </c>
      <c r="Y498">
        <f>HYPERLINK("https://klasma.github.io/Logging_HULTSFRED/tillsynsmail/A 32768-2021.docx")</f>
        <v/>
      </c>
    </row>
    <row r="499" ht="15" customHeight="1">
      <c r="A499" t="inlineStr">
        <is>
          <t>A 33837-2021</t>
        </is>
      </c>
      <c r="B499" s="1" t="n">
        <v>44378</v>
      </c>
      <c r="C499" s="1" t="n">
        <v>45175</v>
      </c>
      <c r="D499" t="inlineStr">
        <is>
          <t>KALMAR LÄN</t>
        </is>
      </c>
      <c r="E499" t="inlineStr">
        <is>
          <t>OSKARSHAMN</t>
        </is>
      </c>
      <c r="G499" t="n">
        <v>2.4</v>
      </c>
      <c r="H499" t="n">
        <v>0</v>
      </c>
      <c r="I499" t="n">
        <v>1</v>
      </c>
      <c r="J499" t="n">
        <v>0</v>
      </c>
      <c r="K499" t="n">
        <v>0</v>
      </c>
      <c r="L499" t="n">
        <v>0</v>
      </c>
      <c r="M499" t="n">
        <v>0</v>
      </c>
      <c r="N499" t="n">
        <v>0</v>
      </c>
      <c r="O499" t="n">
        <v>0</v>
      </c>
      <c r="P499" t="n">
        <v>0</v>
      </c>
      <c r="Q499" t="n">
        <v>1</v>
      </c>
      <c r="R499" s="2" t="inlineStr">
        <is>
          <t>Bronshjon</t>
        </is>
      </c>
      <c r="S499">
        <f>HYPERLINK("https://klasma.github.io/Logging_OSKARSHAMN/artfynd/A 33837-2021.xlsx")</f>
        <v/>
      </c>
      <c r="T499">
        <f>HYPERLINK("https://klasma.github.io/Logging_OSKARSHAMN/kartor/A 33837-2021.png")</f>
        <v/>
      </c>
      <c r="V499">
        <f>HYPERLINK("https://klasma.github.io/Logging_OSKARSHAMN/klagomål/A 33837-2021.docx")</f>
        <v/>
      </c>
      <c r="W499">
        <f>HYPERLINK("https://klasma.github.io/Logging_OSKARSHAMN/klagomålsmail/A 33837-2021.docx")</f>
        <v/>
      </c>
      <c r="X499">
        <f>HYPERLINK("https://klasma.github.io/Logging_OSKARSHAMN/tillsyn/A 33837-2021.docx")</f>
        <v/>
      </c>
      <c r="Y499">
        <f>HYPERLINK("https://klasma.github.io/Logging_OSKARSHAMN/tillsynsmail/A 33837-2021.docx")</f>
        <v/>
      </c>
    </row>
    <row r="500" ht="15" customHeight="1">
      <c r="A500" t="inlineStr">
        <is>
          <t>A 37438-2021</t>
        </is>
      </c>
      <c r="B500" s="1" t="n">
        <v>44398</v>
      </c>
      <c r="C500" s="1" t="n">
        <v>45175</v>
      </c>
      <c r="D500" t="inlineStr">
        <is>
          <t>KALMAR LÄN</t>
        </is>
      </c>
      <c r="E500" t="inlineStr">
        <is>
          <t>VÄSTERVIK</t>
        </is>
      </c>
      <c r="G500" t="n">
        <v>14.3</v>
      </c>
      <c r="H500" t="n">
        <v>1</v>
      </c>
      <c r="I500" t="n">
        <v>0</v>
      </c>
      <c r="J500" t="n">
        <v>0</v>
      </c>
      <c r="K500" t="n">
        <v>1</v>
      </c>
      <c r="L500" t="n">
        <v>0</v>
      </c>
      <c r="M500" t="n">
        <v>0</v>
      </c>
      <c r="N500" t="n">
        <v>0</v>
      </c>
      <c r="O500" t="n">
        <v>1</v>
      </c>
      <c r="P500" t="n">
        <v>1</v>
      </c>
      <c r="Q500" t="n">
        <v>1</v>
      </c>
      <c r="R500" s="2" t="inlineStr">
        <is>
          <t>Knärot</t>
        </is>
      </c>
      <c r="S500">
        <f>HYPERLINK("https://klasma.github.io/Logging_VASTERVIK/artfynd/A 37438-2021.xlsx")</f>
        <v/>
      </c>
      <c r="T500">
        <f>HYPERLINK("https://klasma.github.io/Logging_VASTERVIK/kartor/A 37438-2021.png")</f>
        <v/>
      </c>
      <c r="U500">
        <f>HYPERLINK("https://klasma.github.io/Logging_VASTERVIK/knärot/A 37438-2021.png")</f>
        <v/>
      </c>
      <c r="V500">
        <f>HYPERLINK("https://klasma.github.io/Logging_VASTERVIK/klagomål/A 37438-2021.docx")</f>
        <v/>
      </c>
      <c r="W500">
        <f>HYPERLINK("https://klasma.github.io/Logging_VASTERVIK/klagomålsmail/A 37438-2021.docx")</f>
        <v/>
      </c>
      <c r="X500">
        <f>HYPERLINK("https://klasma.github.io/Logging_VASTERVIK/tillsyn/A 37438-2021.docx")</f>
        <v/>
      </c>
      <c r="Y500">
        <f>HYPERLINK("https://klasma.github.io/Logging_VASTERVIK/tillsynsmail/A 37438-2021.docx")</f>
        <v/>
      </c>
    </row>
    <row r="501" ht="15" customHeight="1">
      <c r="A501" t="inlineStr">
        <is>
          <t>A 37930-2021</t>
        </is>
      </c>
      <c r="B501" s="1" t="n">
        <v>44403</v>
      </c>
      <c r="C501" s="1" t="n">
        <v>45175</v>
      </c>
      <c r="D501" t="inlineStr">
        <is>
          <t>KALMAR LÄN</t>
        </is>
      </c>
      <c r="E501" t="inlineStr">
        <is>
          <t>VIMMERBY</t>
        </is>
      </c>
      <c r="G501" t="n">
        <v>4.4</v>
      </c>
      <c r="H501" t="n">
        <v>0</v>
      </c>
      <c r="I501" t="n">
        <v>0</v>
      </c>
      <c r="J501" t="n">
        <v>1</v>
      </c>
      <c r="K501" t="n">
        <v>0</v>
      </c>
      <c r="L501" t="n">
        <v>0</v>
      </c>
      <c r="M501" t="n">
        <v>0</v>
      </c>
      <c r="N501" t="n">
        <v>0</v>
      </c>
      <c r="O501" t="n">
        <v>1</v>
      </c>
      <c r="P501" t="n">
        <v>0</v>
      </c>
      <c r="Q501" t="n">
        <v>1</v>
      </c>
      <c r="R501" s="2" t="inlineStr">
        <is>
          <t>Spindelört</t>
        </is>
      </c>
      <c r="S501">
        <f>HYPERLINK("https://klasma.github.io/Logging_VIMMERBY/artfynd/A 37930-2021.xlsx")</f>
        <v/>
      </c>
      <c r="T501">
        <f>HYPERLINK("https://klasma.github.io/Logging_VIMMERBY/kartor/A 37930-2021.png")</f>
        <v/>
      </c>
      <c r="V501">
        <f>HYPERLINK("https://klasma.github.io/Logging_VIMMERBY/klagomål/A 37930-2021.docx")</f>
        <v/>
      </c>
      <c r="W501">
        <f>HYPERLINK("https://klasma.github.io/Logging_VIMMERBY/klagomålsmail/A 37930-2021.docx")</f>
        <v/>
      </c>
      <c r="X501">
        <f>HYPERLINK("https://klasma.github.io/Logging_VIMMERBY/tillsyn/A 37930-2021.docx")</f>
        <v/>
      </c>
      <c r="Y501">
        <f>HYPERLINK("https://klasma.github.io/Logging_VIMMERBY/tillsynsmail/A 37930-2021.docx")</f>
        <v/>
      </c>
    </row>
    <row r="502" ht="15" customHeight="1">
      <c r="A502" t="inlineStr">
        <is>
          <t>A 39875-2021</t>
        </is>
      </c>
      <c r="B502" s="1" t="n">
        <v>44417</v>
      </c>
      <c r="C502" s="1" t="n">
        <v>45175</v>
      </c>
      <c r="D502" t="inlineStr">
        <is>
          <t>KALMAR LÄN</t>
        </is>
      </c>
      <c r="E502" t="inlineStr">
        <is>
          <t>HULTSFRED</t>
        </is>
      </c>
      <c r="G502" t="n">
        <v>8</v>
      </c>
      <c r="H502" t="n">
        <v>1</v>
      </c>
      <c r="I502" t="n">
        <v>0</v>
      </c>
      <c r="J502" t="n">
        <v>1</v>
      </c>
      <c r="K502" t="n">
        <v>0</v>
      </c>
      <c r="L502" t="n">
        <v>0</v>
      </c>
      <c r="M502" t="n">
        <v>0</v>
      </c>
      <c r="N502" t="n">
        <v>0</v>
      </c>
      <c r="O502" t="n">
        <v>1</v>
      </c>
      <c r="P502" t="n">
        <v>0</v>
      </c>
      <c r="Q502" t="n">
        <v>1</v>
      </c>
      <c r="R502" s="2" t="inlineStr">
        <is>
          <t>Talltita</t>
        </is>
      </c>
      <c r="S502">
        <f>HYPERLINK("https://klasma.github.io/Logging_HULTSFRED/artfynd/A 39875-2021.xlsx")</f>
        <v/>
      </c>
      <c r="T502">
        <f>HYPERLINK("https://klasma.github.io/Logging_HULTSFRED/kartor/A 39875-2021.png")</f>
        <v/>
      </c>
      <c r="V502">
        <f>HYPERLINK("https://klasma.github.io/Logging_HULTSFRED/klagomål/A 39875-2021.docx")</f>
        <v/>
      </c>
      <c r="W502">
        <f>HYPERLINK("https://klasma.github.io/Logging_HULTSFRED/klagomålsmail/A 39875-2021.docx")</f>
        <v/>
      </c>
      <c r="X502">
        <f>HYPERLINK("https://klasma.github.io/Logging_HULTSFRED/tillsyn/A 39875-2021.docx")</f>
        <v/>
      </c>
      <c r="Y502">
        <f>HYPERLINK("https://klasma.github.io/Logging_HULTSFRED/tillsynsmail/A 39875-2021.docx")</f>
        <v/>
      </c>
    </row>
    <row r="503" ht="15" customHeight="1">
      <c r="A503" t="inlineStr">
        <is>
          <t>A 41263-2021</t>
        </is>
      </c>
      <c r="B503" s="1" t="n">
        <v>44424</v>
      </c>
      <c r="C503" s="1" t="n">
        <v>45175</v>
      </c>
      <c r="D503" t="inlineStr">
        <is>
          <t>KALMAR LÄN</t>
        </is>
      </c>
      <c r="E503" t="inlineStr">
        <is>
          <t>MÖNSTERÅS</t>
        </is>
      </c>
      <c r="G503" t="n">
        <v>4.1</v>
      </c>
      <c r="H503" t="n">
        <v>0</v>
      </c>
      <c r="I503" t="n">
        <v>0</v>
      </c>
      <c r="J503" t="n">
        <v>1</v>
      </c>
      <c r="K503" t="n">
        <v>0</v>
      </c>
      <c r="L503" t="n">
        <v>0</v>
      </c>
      <c r="M503" t="n">
        <v>0</v>
      </c>
      <c r="N503" t="n">
        <v>0</v>
      </c>
      <c r="O503" t="n">
        <v>1</v>
      </c>
      <c r="P503" t="n">
        <v>0</v>
      </c>
      <c r="Q503" t="n">
        <v>1</v>
      </c>
      <c r="R503" s="2" t="inlineStr">
        <is>
          <t>Leptoporus erubescens</t>
        </is>
      </c>
      <c r="S503">
        <f>HYPERLINK("https://klasma.github.io/Logging_MONSTERAS/artfynd/A 41263-2021.xlsx")</f>
        <v/>
      </c>
      <c r="T503">
        <f>HYPERLINK("https://klasma.github.io/Logging_MONSTERAS/kartor/A 41263-2021.png")</f>
        <v/>
      </c>
      <c r="V503">
        <f>HYPERLINK("https://klasma.github.io/Logging_MONSTERAS/klagomål/A 41263-2021.docx")</f>
        <v/>
      </c>
      <c r="W503">
        <f>HYPERLINK("https://klasma.github.io/Logging_MONSTERAS/klagomålsmail/A 41263-2021.docx")</f>
        <v/>
      </c>
      <c r="X503">
        <f>HYPERLINK("https://klasma.github.io/Logging_MONSTERAS/tillsyn/A 41263-2021.docx")</f>
        <v/>
      </c>
      <c r="Y503">
        <f>HYPERLINK("https://klasma.github.io/Logging_MONSTERAS/tillsynsmail/A 41263-2021.docx")</f>
        <v/>
      </c>
    </row>
    <row r="504" ht="15" customHeight="1">
      <c r="A504" t="inlineStr">
        <is>
          <t>A 42374-2021</t>
        </is>
      </c>
      <c r="B504" s="1" t="n">
        <v>44427</v>
      </c>
      <c r="C504" s="1" t="n">
        <v>45175</v>
      </c>
      <c r="D504" t="inlineStr">
        <is>
          <t>KALMAR LÄN</t>
        </is>
      </c>
      <c r="E504" t="inlineStr">
        <is>
          <t>OSKARSHAMN</t>
        </is>
      </c>
      <c r="G504" t="n">
        <v>29.4</v>
      </c>
      <c r="H504" t="n">
        <v>1</v>
      </c>
      <c r="I504" t="n">
        <v>0</v>
      </c>
      <c r="J504" t="n">
        <v>1</v>
      </c>
      <c r="K504" t="n">
        <v>0</v>
      </c>
      <c r="L504" t="n">
        <v>0</v>
      </c>
      <c r="M504" t="n">
        <v>0</v>
      </c>
      <c r="N504" t="n">
        <v>0</v>
      </c>
      <c r="O504" t="n">
        <v>1</v>
      </c>
      <c r="P504" t="n">
        <v>0</v>
      </c>
      <c r="Q504" t="n">
        <v>1</v>
      </c>
      <c r="R504" s="2" t="inlineStr">
        <is>
          <t>Talltita</t>
        </is>
      </c>
      <c r="S504">
        <f>HYPERLINK("https://klasma.github.io/Logging_OSKARSHAMN/artfynd/A 42374-2021.xlsx")</f>
        <v/>
      </c>
      <c r="T504">
        <f>HYPERLINK("https://klasma.github.io/Logging_OSKARSHAMN/kartor/A 42374-2021.png")</f>
        <v/>
      </c>
      <c r="V504">
        <f>HYPERLINK("https://klasma.github.io/Logging_OSKARSHAMN/klagomål/A 42374-2021.docx")</f>
        <v/>
      </c>
      <c r="W504">
        <f>HYPERLINK("https://klasma.github.io/Logging_OSKARSHAMN/klagomålsmail/A 42374-2021.docx")</f>
        <v/>
      </c>
      <c r="X504">
        <f>HYPERLINK("https://klasma.github.io/Logging_OSKARSHAMN/tillsyn/A 42374-2021.docx")</f>
        <v/>
      </c>
      <c r="Y504">
        <f>HYPERLINK("https://klasma.github.io/Logging_OSKARSHAMN/tillsynsmail/A 42374-2021.docx")</f>
        <v/>
      </c>
    </row>
    <row r="505" ht="15" customHeight="1">
      <c r="A505" t="inlineStr">
        <is>
          <t>A 44635-2021</t>
        </is>
      </c>
      <c r="B505" s="1" t="n">
        <v>44437</v>
      </c>
      <c r="C505" s="1" t="n">
        <v>45175</v>
      </c>
      <c r="D505" t="inlineStr">
        <is>
          <t>KALMAR LÄN</t>
        </is>
      </c>
      <c r="E505" t="inlineStr">
        <is>
          <t>VÄSTERVIK</t>
        </is>
      </c>
      <c r="G505" t="n">
        <v>0.9</v>
      </c>
      <c r="H505" t="n">
        <v>0</v>
      </c>
      <c r="I505" t="n">
        <v>1</v>
      </c>
      <c r="J505" t="n">
        <v>0</v>
      </c>
      <c r="K505" t="n">
        <v>0</v>
      </c>
      <c r="L505" t="n">
        <v>0</v>
      </c>
      <c r="M505" t="n">
        <v>0</v>
      </c>
      <c r="N505" t="n">
        <v>0</v>
      </c>
      <c r="O505" t="n">
        <v>0</v>
      </c>
      <c r="P505" t="n">
        <v>0</v>
      </c>
      <c r="Q505" t="n">
        <v>1</v>
      </c>
      <c r="R505" s="2" t="inlineStr">
        <is>
          <t>Brandticka</t>
        </is>
      </c>
      <c r="S505">
        <f>HYPERLINK("https://klasma.github.io/Logging_VASTERVIK/artfynd/A 44635-2021.xlsx")</f>
        <v/>
      </c>
      <c r="T505">
        <f>HYPERLINK("https://klasma.github.io/Logging_VASTERVIK/kartor/A 44635-2021.png")</f>
        <v/>
      </c>
      <c r="V505">
        <f>HYPERLINK("https://klasma.github.io/Logging_VASTERVIK/klagomål/A 44635-2021.docx")</f>
        <v/>
      </c>
      <c r="W505">
        <f>HYPERLINK("https://klasma.github.io/Logging_VASTERVIK/klagomålsmail/A 44635-2021.docx")</f>
        <v/>
      </c>
      <c r="X505">
        <f>HYPERLINK("https://klasma.github.io/Logging_VASTERVIK/tillsyn/A 44635-2021.docx")</f>
        <v/>
      </c>
      <c r="Y505">
        <f>HYPERLINK("https://klasma.github.io/Logging_VASTERVIK/tillsynsmail/A 44635-2021.docx")</f>
        <v/>
      </c>
    </row>
    <row r="506" ht="15" customHeight="1">
      <c r="A506" t="inlineStr">
        <is>
          <t>A 46550-2021</t>
        </is>
      </c>
      <c r="B506" s="1" t="n">
        <v>44445</v>
      </c>
      <c r="C506" s="1" t="n">
        <v>45175</v>
      </c>
      <c r="D506" t="inlineStr">
        <is>
          <t>KALMAR LÄN</t>
        </is>
      </c>
      <c r="E506" t="inlineStr">
        <is>
          <t>EMMABODA</t>
        </is>
      </c>
      <c r="G506" t="n">
        <v>3.7</v>
      </c>
      <c r="H506" t="n">
        <v>0</v>
      </c>
      <c r="I506" t="n">
        <v>0</v>
      </c>
      <c r="J506" t="n">
        <v>1</v>
      </c>
      <c r="K506" t="n">
        <v>0</v>
      </c>
      <c r="L506" t="n">
        <v>0</v>
      </c>
      <c r="M506" t="n">
        <v>0</v>
      </c>
      <c r="N506" t="n">
        <v>0</v>
      </c>
      <c r="O506" t="n">
        <v>1</v>
      </c>
      <c r="P506" t="n">
        <v>0</v>
      </c>
      <c r="Q506" t="n">
        <v>1</v>
      </c>
      <c r="R506" s="2" t="inlineStr">
        <is>
          <t>Åkerkulla</t>
        </is>
      </c>
      <c r="S506">
        <f>HYPERLINK("https://klasma.github.io/Logging_EMMABODA/artfynd/A 46550-2021.xlsx")</f>
        <v/>
      </c>
      <c r="T506">
        <f>HYPERLINK("https://klasma.github.io/Logging_EMMABODA/kartor/A 46550-2021.png")</f>
        <v/>
      </c>
      <c r="V506">
        <f>HYPERLINK("https://klasma.github.io/Logging_EMMABODA/klagomål/A 46550-2021.docx")</f>
        <v/>
      </c>
      <c r="W506">
        <f>HYPERLINK("https://klasma.github.io/Logging_EMMABODA/klagomålsmail/A 46550-2021.docx")</f>
        <v/>
      </c>
      <c r="X506">
        <f>HYPERLINK("https://klasma.github.io/Logging_EMMABODA/tillsyn/A 46550-2021.docx")</f>
        <v/>
      </c>
      <c r="Y506">
        <f>HYPERLINK("https://klasma.github.io/Logging_EMMABODA/tillsynsmail/A 46550-2021.docx")</f>
        <v/>
      </c>
    </row>
    <row r="507" ht="15" customHeight="1">
      <c r="A507" t="inlineStr">
        <is>
          <t>A 47860-2021</t>
        </is>
      </c>
      <c r="B507" s="1" t="n">
        <v>44448</v>
      </c>
      <c r="C507" s="1" t="n">
        <v>45175</v>
      </c>
      <c r="D507" t="inlineStr">
        <is>
          <t>KALMAR LÄN</t>
        </is>
      </c>
      <c r="E507" t="inlineStr">
        <is>
          <t>VÄSTERVIK</t>
        </is>
      </c>
      <c r="G507" t="n">
        <v>2.8</v>
      </c>
      <c r="H507" t="n">
        <v>0</v>
      </c>
      <c r="I507" t="n">
        <v>0</v>
      </c>
      <c r="J507" t="n">
        <v>1</v>
      </c>
      <c r="K507" t="n">
        <v>0</v>
      </c>
      <c r="L507" t="n">
        <v>0</v>
      </c>
      <c r="M507" t="n">
        <v>0</v>
      </c>
      <c r="N507" t="n">
        <v>0</v>
      </c>
      <c r="O507" t="n">
        <v>1</v>
      </c>
      <c r="P507" t="n">
        <v>0</v>
      </c>
      <c r="Q507" t="n">
        <v>1</v>
      </c>
      <c r="R507" s="2" t="inlineStr">
        <is>
          <t>Tallticka</t>
        </is>
      </c>
      <c r="S507">
        <f>HYPERLINK("https://klasma.github.io/Logging_VASTERVIK/artfynd/A 47860-2021.xlsx")</f>
        <v/>
      </c>
      <c r="T507">
        <f>HYPERLINK("https://klasma.github.io/Logging_VASTERVIK/kartor/A 47860-2021.png")</f>
        <v/>
      </c>
      <c r="V507">
        <f>HYPERLINK("https://klasma.github.io/Logging_VASTERVIK/klagomål/A 47860-2021.docx")</f>
        <v/>
      </c>
      <c r="W507">
        <f>HYPERLINK("https://klasma.github.io/Logging_VASTERVIK/klagomålsmail/A 47860-2021.docx")</f>
        <v/>
      </c>
      <c r="X507">
        <f>HYPERLINK("https://klasma.github.io/Logging_VASTERVIK/tillsyn/A 47860-2021.docx")</f>
        <v/>
      </c>
      <c r="Y507">
        <f>HYPERLINK("https://klasma.github.io/Logging_VASTERVIK/tillsynsmail/A 47860-2021.docx")</f>
        <v/>
      </c>
    </row>
    <row r="508" ht="15" customHeight="1">
      <c r="A508" t="inlineStr">
        <is>
          <t>A 48006-2021</t>
        </is>
      </c>
      <c r="B508" s="1" t="n">
        <v>44449</v>
      </c>
      <c r="C508" s="1" t="n">
        <v>45175</v>
      </c>
      <c r="D508" t="inlineStr">
        <is>
          <t>KALMAR LÄN</t>
        </is>
      </c>
      <c r="E508" t="inlineStr">
        <is>
          <t>NYBRO</t>
        </is>
      </c>
      <c r="F508" t="inlineStr">
        <is>
          <t>Sveaskog</t>
        </is>
      </c>
      <c r="G508" t="n">
        <v>1.2</v>
      </c>
      <c r="H508" t="n">
        <v>0</v>
      </c>
      <c r="I508" t="n">
        <v>1</v>
      </c>
      <c r="J508" t="n">
        <v>0</v>
      </c>
      <c r="K508" t="n">
        <v>0</v>
      </c>
      <c r="L508" t="n">
        <v>0</v>
      </c>
      <c r="M508" t="n">
        <v>0</v>
      </c>
      <c r="N508" t="n">
        <v>0</v>
      </c>
      <c r="O508" t="n">
        <v>0</v>
      </c>
      <c r="P508" t="n">
        <v>0</v>
      </c>
      <c r="Q508" t="n">
        <v>1</v>
      </c>
      <c r="R508" s="2" t="inlineStr">
        <is>
          <t>Rostfläck</t>
        </is>
      </c>
      <c r="S508">
        <f>HYPERLINK("https://klasma.github.io/Logging_NYBRO/artfynd/A 48006-2021.xlsx")</f>
        <v/>
      </c>
      <c r="T508">
        <f>HYPERLINK("https://klasma.github.io/Logging_NYBRO/kartor/A 48006-2021.png")</f>
        <v/>
      </c>
      <c r="V508">
        <f>HYPERLINK("https://klasma.github.io/Logging_NYBRO/klagomål/A 48006-2021.docx")</f>
        <v/>
      </c>
      <c r="W508">
        <f>HYPERLINK("https://klasma.github.io/Logging_NYBRO/klagomålsmail/A 48006-2021.docx")</f>
        <v/>
      </c>
      <c r="X508">
        <f>HYPERLINK("https://klasma.github.io/Logging_NYBRO/tillsyn/A 48006-2021.docx")</f>
        <v/>
      </c>
      <c r="Y508">
        <f>HYPERLINK("https://klasma.github.io/Logging_NYBRO/tillsynsmail/A 48006-2021.docx")</f>
        <v/>
      </c>
    </row>
    <row r="509" ht="15" customHeight="1">
      <c r="A509" t="inlineStr">
        <is>
          <t>A 49001-2021</t>
        </is>
      </c>
      <c r="B509" s="1" t="n">
        <v>44453</v>
      </c>
      <c r="C509" s="1" t="n">
        <v>45175</v>
      </c>
      <c r="D509" t="inlineStr">
        <is>
          <t>KALMAR LÄN</t>
        </is>
      </c>
      <c r="E509" t="inlineStr">
        <is>
          <t>TORSÅS</t>
        </is>
      </c>
      <c r="G509" t="n">
        <v>1</v>
      </c>
      <c r="H509" t="n">
        <v>0</v>
      </c>
      <c r="I509" t="n">
        <v>1</v>
      </c>
      <c r="J509" t="n">
        <v>0</v>
      </c>
      <c r="K509" t="n">
        <v>0</v>
      </c>
      <c r="L509" t="n">
        <v>0</v>
      </c>
      <c r="M509" t="n">
        <v>0</v>
      </c>
      <c r="N509" t="n">
        <v>0</v>
      </c>
      <c r="O509" t="n">
        <v>0</v>
      </c>
      <c r="P509" t="n">
        <v>0</v>
      </c>
      <c r="Q509" t="n">
        <v>1</v>
      </c>
      <c r="R509" s="2" t="inlineStr">
        <is>
          <t>Blåmossa</t>
        </is>
      </c>
      <c r="S509">
        <f>HYPERLINK("https://klasma.github.io/Logging_TORSAS/artfynd/A 49001-2021.xlsx")</f>
        <v/>
      </c>
      <c r="T509">
        <f>HYPERLINK("https://klasma.github.io/Logging_TORSAS/kartor/A 49001-2021.png")</f>
        <v/>
      </c>
      <c r="V509">
        <f>HYPERLINK("https://klasma.github.io/Logging_TORSAS/klagomål/A 49001-2021.docx")</f>
        <v/>
      </c>
      <c r="W509">
        <f>HYPERLINK("https://klasma.github.io/Logging_TORSAS/klagomålsmail/A 49001-2021.docx")</f>
        <v/>
      </c>
      <c r="X509">
        <f>HYPERLINK("https://klasma.github.io/Logging_TORSAS/tillsyn/A 49001-2021.docx")</f>
        <v/>
      </c>
      <c r="Y509">
        <f>HYPERLINK("https://klasma.github.io/Logging_TORSAS/tillsynsmail/A 49001-2021.docx")</f>
        <v/>
      </c>
    </row>
    <row r="510" ht="15" customHeight="1">
      <c r="A510" t="inlineStr">
        <is>
          <t>A 49410-2021</t>
        </is>
      </c>
      <c r="B510" s="1" t="n">
        <v>44454</v>
      </c>
      <c r="C510" s="1" t="n">
        <v>45175</v>
      </c>
      <c r="D510" t="inlineStr">
        <is>
          <t>KALMAR LÄN</t>
        </is>
      </c>
      <c r="E510" t="inlineStr">
        <is>
          <t>TORSÅS</t>
        </is>
      </c>
      <c r="G510" t="n">
        <v>0.6</v>
      </c>
      <c r="H510" t="n">
        <v>1</v>
      </c>
      <c r="I510" t="n">
        <v>0</v>
      </c>
      <c r="J510" t="n">
        <v>0</v>
      </c>
      <c r="K510" t="n">
        <v>0</v>
      </c>
      <c r="L510" t="n">
        <v>0</v>
      </c>
      <c r="M510" t="n">
        <v>0</v>
      </c>
      <c r="N510" t="n">
        <v>0</v>
      </c>
      <c r="O510" t="n">
        <v>0</v>
      </c>
      <c r="P510" t="n">
        <v>0</v>
      </c>
      <c r="Q510" t="n">
        <v>1</v>
      </c>
      <c r="R510" s="2" t="inlineStr">
        <is>
          <t>Nattviol</t>
        </is>
      </c>
      <c r="S510">
        <f>HYPERLINK("https://klasma.github.io/Logging_TORSAS/artfynd/A 49410-2021.xlsx")</f>
        <v/>
      </c>
      <c r="T510">
        <f>HYPERLINK("https://klasma.github.io/Logging_TORSAS/kartor/A 49410-2021.png")</f>
        <v/>
      </c>
      <c r="V510">
        <f>HYPERLINK("https://klasma.github.io/Logging_TORSAS/klagomål/A 49410-2021.docx")</f>
        <v/>
      </c>
      <c r="W510">
        <f>HYPERLINK("https://klasma.github.io/Logging_TORSAS/klagomålsmail/A 49410-2021.docx")</f>
        <v/>
      </c>
      <c r="X510">
        <f>HYPERLINK("https://klasma.github.io/Logging_TORSAS/tillsyn/A 49410-2021.docx")</f>
        <v/>
      </c>
      <c r="Y510">
        <f>HYPERLINK("https://klasma.github.io/Logging_TORSAS/tillsynsmail/A 49410-2021.docx")</f>
        <v/>
      </c>
    </row>
    <row r="511" ht="15" customHeight="1">
      <c r="A511" t="inlineStr">
        <is>
          <t>A 49919-2021</t>
        </is>
      </c>
      <c r="B511" s="1" t="n">
        <v>44455</v>
      </c>
      <c r="C511" s="1" t="n">
        <v>45175</v>
      </c>
      <c r="D511" t="inlineStr">
        <is>
          <t>KALMAR LÄN</t>
        </is>
      </c>
      <c r="E511" t="inlineStr">
        <is>
          <t>HULTSFRED</t>
        </is>
      </c>
      <c r="G511" t="n">
        <v>5</v>
      </c>
      <c r="H511" t="n">
        <v>0</v>
      </c>
      <c r="I511" t="n">
        <v>0</v>
      </c>
      <c r="J511" t="n">
        <v>1</v>
      </c>
      <c r="K511" t="n">
        <v>0</v>
      </c>
      <c r="L511" t="n">
        <v>0</v>
      </c>
      <c r="M511" t="n">
        <v>0</v>
      </c>
      <c r="N511" t="n">
        <v>0</v>
      </c>
      <c r="O511" t="n">
        <v>1</v>
      </c>
      <c r="P511" t="n">
        <v>0</v>
      </c>
      <c r="Q511" t="n">
        <v>1</v>
      </c>
      <c r="R511" s="2" t="inlineStr">
        <is>
          <t>Småjungfrukam</t>
        </is>
      </c>
      <c r="S511">
        <f>HYPERLINK("https://klasma.github.io/Logging_HULTSFRED/artfynd/A 49919-2021.xlsx")</f>
        <v/>
      </c>
      <c r="T511">
        <f>HYPERLINK("https://klasma.github.io/Logging_HULTSFRED/kartor/A 49919-2021.png")</f>
        <v/>
      </c>
      <c r="V511">
        <f>HYPERLINK("https://klasma.github.io/Logging_HULTSFRED/klagomål/A 49919-2021.docx")</f>
        <v/>
      </c>
      <c r="W511">
        <f>HYPERLINK("https://klasma.github.io/Logging_HULTSFRED/klagomålsmail/A 49919-2021.docx")</f>
        <v/>
      </c>
      <c r="X511">
        <f>HYPERLINK("https://klasma.github.io/Logging_HULTSFRED/tillsyn/A 49919-2021.docx")</f>
        <v/>
      </c>
      <c r="Y511">
        <f>HYPERLINK("https://klasma.github.io/Logging_HULTSFRED/tillsynsmail/A 49919-2021.docx")</f>
        <v/>
      </c>
    </row>
    <row r="512" ht="15" customHeight="1">
      <c r="A512" t="inlineStr">
        <is>
          <t>A 51244-2021</t>
        </is>
      </c>
      <c r="B512" s="1" t="n">
        <v>44460</v>
      </c>
      <c r="C512" s="1" t="n">
        <v>45175</v>
      </c>
      <c r="D512" t="inlineStr">
        <is>
          <t>KALMAR LÄN</t>
        </is>
      </c>
      <c r="E512" t="inlineStr">
        <is>
          <t>MÖRBYLÅNGA</t>
        </is>
      </c>
      <c r="G512" t="n">
        <v>1.9</v>
      </c>
      <c r="H512" t="n">
        <v>0</v>
      </c>
      <c r="I512" t="n">
        <v>0</v>
      </c>
      <c r="J512" t="n">
        <v>0</v>
      </c>
      <c r="K512" t="n">
        <v>0</v>
      </c>
      <c r="L512" t="n">
        <v>1</v>
      </c>
      <c r="M512" t="n">
        <v>0</v>
      </c>
      <c r="N512" t="n">
        <v>0</v>
      </c>
      <c r="O512" t="n">
        <v>1</v>
      </c>
      <c r="P512" t="n">
        <v>1</v>
      </c>
      <c r="Q512" t="n">
        <v>1</v>
      </c>
      <c r="R512" s="2" t="inlineStr">
        <is>
          <t>Stäppbandbi</t>
        </is>
      </c>
      <c r="S512">
        <f>HYPERLINK("https://klasma.github.io/Logging_MORBYLANGA/artfynd/A 51244-2021.xlsx")</f>
        <v/>
      </c>
      <c r="T512">
        <f>HYPERLINK("https://klasma.github.io/Logging_MORBYLANGA/kartor/A 51244-2021.png")</f>
        <v/>
      </c>
      <c r="V512">
        <f>HYPERLINK("https://klasma.github.io/Logging_MORBYLANGA/klagomål/A 51244-2021.docx")</f>
        <v/>
      </c>
      <c r="W512">
        <f>HYPERLINK("https://klasma.github.io/Logging_MORBYLANGA/klagomålsmail/A 51244-2021.docx")</f>
        <v/>
      </c>
      <c r="X512">
        <f>HYPERLINK("https://klasma.github.io/Logging_MORBYLANGA/tillsyn/A 51244-2021.docx")</f>
        <v/>
      </c>
      <c r="Y512">
        <f>HYPERLINK("https://klasma.github.io/Logging_MORBYLANGA/tillsynsmail/A 51244-2021.docx")</f>
        <v/>
      </c>
    </row>
    <row r="513" ht="15" customHeight="1">
      <c r="A513" t="inlineStr">
        <is>
          <t>A 52162-2021</t>
        </is>
      </c>
      <c r="B513" s="1" t="n">
        <v>44463</v>
      </c>
      <c r="C513" s="1" t="n">
        <v>45175</v>
      </c>
      <c r="D513" t="inlineStr">
        <is>
          <t>KALMAR LÄN</t>
        </is>
      </c>
      <c r="E513" t="inlineStr">
        <is>
          <t>OSKARSHAMN</t>
        </is>
      </c>
      <c r="G513" t="n">
        <v>14.1</v>
      </c>
      <c r="H513" t="n">
        <v>0</v>
      </c>
      <c r="I513" t="n">
        <v>0</v>
      </c>
      <c r="J513" t="n">
        <v>1</v>
      </c>
      <c r="K513" t="n">
        <v>0</v>
      </c>
      <c r="L513" t="n">
        <v>0</v>
      </c>
      <c r="M513" t="n">
        <v>0</v>
      </c>
      <c r="N513" t="n">
        <v>0</v>
      </c>
      <c r="O513" t="n">
        <v>1</v>
      </c>
      <c r="P513" t="n">
        <v>0</v>
      </c>
      <c r="Q513" t="n">
        <v>1</v>
      </c>
      <c r="R513" s="2" t="inlineStr">
        <is>
          <t>Vedskivlav</t>
        </is>
      </c>
      <c r="S513">
        <f>HYPERLINK("https://klasma.github.io/Logging_OSKARSHAMN/artfynd/A 52162-2021.xlsx")</f>
        <v/>
      </c>
      <c r="T513">
        <f>HYPERLINK("https://klasma.github.io/Logging_OSKARSHAMN/kartor/A 52162-2021.png")</f>
        <v/>
      </c>
      <c r="V513">
        <f>HYPERLINK("https://klasma.github.io/Logging_OSKARSHAMN/klagomål/A 52162-2021.docx")</f>
        <v/>
      </c>
      <c r="W513">
        <f>HYPERLINK("https://klasma.github.io/Logging_OSKARSHAMN/klagomålsmail/A 52162-2021.docx")</f>
        <v/>
      </c>
      <c r="X513">
        <f>HYPERLINK("https://klasma.github.io/Logging_OSKARSHAMN/tillsyn/A 52162-2021.docx")</f>
        <v/>
      </c>
      <c r="Y513">
        <f>HYPERLINK("https://klasma.github.io/Logging_OSKARSHAMN/tillsynsmail/A 52162-2021.docx")</f>
        <v/>
      </c>
    </row>
    <row r="514" ht="15" customHeight="1">
      <c r="A514" t="inlineStr">
        <is>
          <t>A 52670-2021</t>
        </is>
      </c>
      <c r="B514" s="1" t="n">
        <v>44466</v>
      </c>
      <c r="C514" s="1" t="n">
        <v>45175</v>
      </c>
      <c r="D514" t="inlineStr">
        <is>
          <t>KALMAR LÄN</t>
        </is>
      </c>
      <c r="E514" t="inlineStr">
        <is>
          <t>KALMAR</t>
        </is>
      </c>
      <c r="G514" t="n">
        <v>5.7</v>
      </c>
      <c r="H514" t="n">
        <v>1</v>
      </c>
      <c r="I514" t="n">
        <v>0</v>
      </c>
      <c r="J514" t="n">
        <v>0</v>
      </c>
      <c r="K514" t="n">
        <v>1</v>
      </c>
      <c r="L514" t="n">
        <v>0</v>
      </c>
      <c r="M514" t="n">
        <v>0</v>
      </c>
      <c r="N514" t="n">
        <v>0</v>
      </c>
      <c r="O514" t="n">
        <v>1</v>
      </c>
      <c r="P514" t="n">
        <v>1</v>
      </c>
      <c r="Q514" t="n">
        <v>1</v>
      </c>
      <c r="R514" s="2" t="inlineStr">
        <is>
          <t>Knärot</t>
        </is>
      </c>
      <c r="S514">
        <f>HYPERLINK("https://klasma.github.io/Logging_KALMAR/artfynd/A 52670-2021.xlsx")</f>
        <v/>
      </c>
      <c r="T514">
        <f>HYPERLINK("https://klasma.github.io/Logging_KALMAR/kartor/A 52670-2021.png")</f>
        <v/>
      </c>
      <c r="U514">
        <f>HYPERLINK("https://klasma.github.io/Logging_KALMAR/knärot/A 52670-2021.png")</f>
        <v/>
      </c>
      <c r="V514">
        <f>HYPERLINK("https://klasma.github.io/Logging_KALMAR/klagomål/A 52670-2021.docx")</f>
        <v/>
      </c>
      <c r="W514">
        <f>HYPERLINK("https://klasma.github.io/Logging_KALMAR/klagomålsmail/A 52670-2021.docx")</f>
        <v/>
      </c>
      <c r="X514">
        <f>HYPERLINK("https://klasma.github.io/Logging_KALMAR/tillsyn/A 52670-2021.docx")</f>
        <v/>
      </c>
      <c r="Y514">
        <f>HYPERLINK("https://klasma.github.io/Logging_KALMAR/tillsynsmail/A 52670-2021.docx")</f>
        <v/>
      </c>
    </row>
    <row r="515" ht="15" customHeight="1">
      <c r="A515" t="inlineStr">
        <is>
          <t>A 52831-2021</t>
        </is>
      </c>
      <c r="B515" s="1" t="n">
        <v>44467</v>
      </c>
      <c r="C515" s="1" t="n">
        <v>45175</v>
      </c>
      <c r="D515" t="inlineStr">
        <is>
          <t>KALMAR LÄN</t>
        </is>
      </c>
      <c r="E515" t="inlineStr">
        <is>
          <t>VÄSTERVIK</t>
        </is>
      </c>
      <c r="G515" t="n">
        <v>0.8</v>
      </c>
      <c r="H515" t="n">
        <v>0</v>
      </c>
      <c r="I515" t="n">
        <v>0</v>
      </c>
      <c r="J515" t="n">
        <v>1</v>
      </c>
      <c r="K515" t="n">
        <v>0</v>
      </c>
      <c r="L515" t="n">
        <v>0</v>
      </c>
      <c r="M515" t="n">
        <v>0</v>
      </c>
      <c r="N515" t="n">
        <v>0</v>
      </c>
      <c r="O515" t="n">
        <v>1</v>
      </c>
      <c r="P515" t="n">
        <v>0</v>
      </c>
      <c r="Q515" t="n">
        <v>1</v>
      </c>
      <c r="R515" s="2" t="inlineStr">
        <is>
          <t>Tallticka</t>
        </is>
      </c>
      <c r="S515">
        <f>HYPERLINK("https://klasma.github.io/Logging_VASTERVIK/artfynd/A 52831-2021.xlsx")</f>
        <v/>
      </c>
      <c r="T515">
        <f>HYPERLINK("https://klasma.github.io/Logging_VASTERVIK/kartor/A 52831-2021.png")</f>
        <v/>
      </c>
      <c r="V515">
        <f>HYPERLINK("https://klasma.github.io/Logging_VASTERVIK/klagomål/A 52831-2021.docx")</f>
        <v/>
      </c>
      <c r="W515">
        <f>HYPERLINK("https://klasma.github.io/Logging_VASTERVIK/klagomålsmail/A 52831-2021.docx")</f>
        <v/>
      </c>
      <c r="X515">
        <f>HYPERLINK("https://klasma.github.io/Logging_VASTERVIK/tillsyn/A 52831-2021.docx")</f>
        <v/>
      </c>
      <c r="Y515">
        <f>HYPERLINK("https://klasma.github.io/Logging_VASTERVIK/tillsynsmail/A 52831-2021.docx")</f>
        <v/>
      </c>
    </row>
    <row r="516" ht="15" customHeight="1">
      <c r="A516" t="inlineStr">
        <is>
          <t>A 53738-2021</t>
        </is>
      </c>
      <c r="B516" s="1" t="n">
        <v>44467</v>
      </c>
      <c r="C516" s="1" t="n">
        <v>45175</v>
      </c>
      <c r="D516" t="inlineStr">
        <is>
          <t>KALMAR LÄN</t>
        </is>
      </c>
      <c r="E516" t="inlineStr">
        <is>
          <t>VÄSTERVIK</t>
        </is>
      </c>
      <c r="G516" t="n">
        <v>2.8</v>
      </c>
      <c r="H516" t="n">
        <v>1</v>
      </c>
      <c r="I516" t="n">
        <v>0</v>
      </c>
      <c r="J516" t="n">
        <v>0</v>
      </c>
      <c r="K516" t="n">
        <v>1</v>
      </c>
      <c r="L516" t="n">
        <v>0</v>
      </c>
      <c r="M516" t="n">
        <v>0</v>
      </c>
      <c r="N516" t="n">
        <v>0</v>
      </c>
      <c r="O516" t="n">
        <v>1</v>
      </c>
      <c r="P516" t="n">
        <v>1</v>
      </c>
      <c r="Q516" t="n">
        <v>1</v>
      </c>
      <c r="R516" s="2" t="inlineStr">
        <is>
          <t>Knärot</t>
        </is>
      </c>
      <c r="S516">
        <f>HYPERLINK("https://klasma.github.io/Logging_VASTERVIK/artfynd/A 53738-2021.xlsx")</f>
        <v/>
      </c>
      <c r="T516">
        <f>HYPERLINK("https://klasma.github.io/Logging_VASTERVIK/kartor/A 53738-2021.png")</f>
        <v/>
      </c>
      <c r="U516">
        <f>HYPERLINK("https://klasma.github.io/Logging_VASTERVIK/knärot/A 53738-2021.png")</f>
        <v/>
      </c>
      <c r="V516">
        <f>HYPERLINK("https://klasma.github.io/Logging_VASTERVIK/klagomål/A 53738-2021.docx")</f>
        <v/>
      </c>
      <c r="W516">
        <f>HYPERLINK("https://klasma.github.io/Logging_VASTERVIK/klagomålsmail/A 53738-2021.docx")</f>
        <v/>
      </c>
      <c r="X516">
        <f>HYPERLINK("https://klasma.github.io/Logging_VASTERVIK/tillsyn/A 53738-2021.docx")</f>
        <v/>
      </c>
      <c r="Y516">
        <f>HYPERLINK("https://klasma.github.io/Logging_VASTERVIK/tillsynsmail/A 53738-2021.docx")</f>
        <v/>
      </c>
    </row>
    <row r="517" ht="15" customHeight="1">
      <c r="A517" t="inlineStr">
        <is>
          <t>A 54192-2021</t>
        </is>
      </c>
      <c r="B517" s="1" t="n">
        <v>44470</v>
      </c>
      <c r="C517" s="1" t="n">
        <v>45175</v>
      </c>
      <c r="D517" t="inlineStr">
        <is>
          <t>KALMAR LÄN</t>
        </is>
      </c>
      <c r="E517" t="inlineStr">
        <is>
          <t>MÖRBYLÅNGA</t>
        </is>
      </c>
      <c r="G517" t="n">
        <v>1.5</v>
      </c>
      <c r="H517" t="n">
        <v>0</v>
      </c>
      <c r="I517" t="n">
        <v>0</v>
      </c>
      <c r="J517" t="n">
        <v>1</v>
      </c>
      <c r="K517" t="n">
        <v>0</v>
      </c>
      <c r="L517" t="n">
        <v>0</v>
      </c>
      <c r="M517" t="n">
        <v>0</v>
      </c>
      <c r="N517" t="n">
        <v>0</v>
      </c>
      <c r="O517" t="n">
        <v>1</v>
      </c>
      <c r="P517" t="n">
        <v>0</v>
      </c>
      <c r="Q517" t="n">
        <v>1</v>
      </c>
      <c r="R517" s="2" t="inlineStr">
        <is>
          <t>Sminkrot</t>
        </is>
      </c>
      <c r="S517">
        <f>HYPERLINK("https://klasma.github.io/Logging_MORBYLANGA/artfynd/A 54192-2021.xlsx")</f>
        <v/>
      </c>
      <c r="T517">
        <f>HYPERLINK("https://klasma.github.io/Logging_MORBYLANGA/kartor/A 54192-2021.png")</f>
        <v/>
      </c>
      <c r="V517">
        <f>HYPERLINK("https://klasma.github.io/Logging_MORBYLANGA/klagomål/A 54192-2021.docx")</f>
        <v/>
      </c>
      <c r="W517">
        <f>HYPERLINK("https://klasma.github.io/Logging_MORBYLANGA/klagomålsmail/A 54192-2021.docx")</f>
        <v/>
      </c>
      <c r="X517">
        <f>HYPERLINK("https://klasma.github.io/Logging_MORBYLANGA/tillsyn/A 54192-2021.docx")</f>
        <v/>
      </c>
      <c r="Y517">
        <f>HYPERLINK("https://klasma.github.io/Logging_MORBYLANGA/tillsynsmail/A 54192-2021.docx")</f>
        <v/>
      </c>
    </row>
    <row r="518" ht="15" customHeight="1">
      <c r="A518" t="inlineStr">
        <is>
          <t>A 56618-2021</t>
        </is>
      </c>
      <c r="B518" s="1" t="n">
        <v>44480</v>
      </c>
      <c r="C518" s="1" t="n">
        <v>45175</v>
      </c>
      <c r="D518" t="inlineStr">
        <is>
          <t>KALMAR LÄN</t>
        </is>
      </c>
      <c r="E518" t="inlineStr">
        <is>
          <t>VÄSTERVIK</t>
        </is>
      </c>
      <c r="G518" t="n">
        <v>1.5</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56618-2021.xlsx")</f>
        <v/>
      </c>
      <c r="T518">
        <f>HYPERLINK("https://klasma.github.io/Logging_VASTERVIK/kartor/A 56618-2021.png")</f>
        <v/>
      </c>
      <c r="V518">
        <f>HYPERLINK("https://klasma.github.io/Logging_VASTERVIK/klagomål/A 56618-2021.docx")</f>
        <v/>
      </c>
      <c r="W518">
        <f>HYPERLINK("https://klasma.github.io/Logging_VASTERVIK/klagomålsmail/A 56618-2021.docx")</f>
        <v/>
      </c>
      <c r="X518">
        <f>HYPERLINK("https://klasma.github.io/Logging_VASTERVIK/tillsyn/A 56618-2021.docx")</f>
        <v/>
      </c>
      <c r="Y518">
        <f>HYPERLINK("https://klasma.github.io/Logging_VASTERVIK/tillsynsmail/A 56618-2021.docx")</f>
        <v/>
      </c>
    </row>
    <row r="519" ht="15" customHeight="1">
      <c r="A519" t="inlineStr">
        <is>
          <t>A 57058-2021</t>
        </is>
      </c>
      <c r="B519" s="1" t="n">
        <v>44482</v>
      </c>
      <c r="C519" s="1" t="n">
        <v>45175</v>
      </c>
      <c r="D519" t="inlineStr">
        <is>
          <t>KALMAR LÄN</t>
        </is>
      </c>
      <c r="E519" t="inlineStr">
        <is>
          <t>KALMAR</t>
        </is>
      </c>
      <c r="G519" t="n">
        <v>7.3</v>
      </c>
      <c r="H519" t="n">
        <v>1</v>
      </c>
      <c r="I519" t="n">
        <v>0</v>
      </c>
      <c r="J519" t="n">
        <v>0</v>
      </c>
      <c r="K519" t="n">
        <v>1</v>
      </c>
      <c r="L519" t="n">
        <v>0</v>
      </c>
      <c r="M519" t="n">
        <v>0</v>
      </c>
      <c r="N519" t="n">
        <v>0</v>
      </c>
      <c r="O519" t="n">
        <v>1</v>
      </c>
      <c r="P519" t="n">
        <v>1</v>
      </c>
      <c r="Q519" t="n">
        <v>1</v>
      </c>
      <c r="R519" s="2" t="inlineStr">
        <is>
          <t>Knärot</t>
        </is>
      </c>
      <c r="S519">
        <f>HYPERLINK("https://klasma.github.io/Logging_KALMAR/artfynd/A 57058-2021.xlsx")</f>
        <v/>
      </c>
      <c r="T519">
        <f>HYPERLINK("https://klasma.github.io/Logging_KALMAR/kartor/A 57058-2021.png")</f>
        <v/>
      </c>
      <c r="U519">
        <f>HYPERLINK("https://klasma.github.io/Logging_KALMAR/knärot/A 57058-2021.png")</f>
        <v/>
      </c>
      <c r="V519">
        <f>HYPERLINK("https://klasma.github.io/Logging_KALMAR/klagomål/A 57058-2021.docx")</f>
        <v/>
      </c>
      <c r="W519">
        <f>HYPERLINK("https://klasma.github.io/Logging_KALMAR/klagomålsmail/A 57058-2021.docx")</f>
        <v/>
      </c>
      <c r="X519">
        <f>HYPERLINK("https://klasma.github.io/Logging_KALMAR/tillsyn/A 57058-2021.docx")</f>
        <v/>
      </c>
      <c r="Y519">
        <f>HYPERLINK("https://klasma.github.io/Logging_KALMAR/tillsynsmail/A 57058-2021.docx")</f>
        <v/>
      </c>
    </row>
    <row r="520" ht="15" customHeight="1">
      <c r="A520" t="inlineStr">
        <is>
          <t>A 58044-2021</t>
        </is>
      </c>
      <c r="B520" s="1" t="n">
        <v>44487</v>
      </c>
      <c r="C520" s="1" t="n">
        <v>45175</v>
      </c>
      <c r="D520" t="inlineStr">
        <is>
          <t>KALMAR LÄN</t>
        </is>
      </c>
      <c r="E520" t="inlineStr">
        <is>
          <t>KALMAR</t>
        </is>
      </c>
      <c r="G520" t="n">
        <v>8.4</v>
      </c>
      <c r="H520" t="n">
        <v>1</v>
      </c>
      <c r="I520" t="n">
        <v>0</v>
      </c>
      <c r="J520" t="n">
        <v>0</v>
      </c>
      <c r="K520" t="n">
        <v>1</v>
      </c>
      <c r="L520" t="n">
        <v>0</v>
      </c>
      <c r="M520" t="n">
        <v>0</v>
      </c>
      <c r="N520" t="n">
        <v>0</v>
      </c>
      <c r="O520" t="n">
        <v>1</v>
      </c>
      <c r="P520" t="n">
        <v>1</v>
      </c>
      <c r="Q520" t="n">
        <v>1</v>
      </c>
      <c r="R520" s="2" t="inlineStr">
        <is>
          <t>Knärot</t>
        </is>
      </c>
      <c r="S520">
        <f>HYPERLINK("https://klasma.github.io/Logging_KALMAR/artfynd/A 58044-2021.xlsx")</f>
        <v/>
      </c>
      <c r="T520">
        <f>HYPERLINK("https://klasma.github.io/Logging_KALMAR/kartor/A 58044-2021.png")</f>
        <v/>
      </c>
      <c r="U520">
        <f>HYPERLINK("https://klasma.github.io/Logging_KALMAR/knärot/A 58044-2021.png")</f>
        <v/>
      </c>
      <c r="V520">
        <f>HYPERLINK("https://klasma.github.io/Logging_KALMAR/klagomål/A 58044-2021.docx")</f>
        <v/>
      </c>
      <c r="W520">
        <f>HYPERLINK("https://klasma.github.io/Logging_KALMAR/klagomålsmail/A 58044-2021.docx")</f>
        <v/>
      </c>
      <c r="X520">
        <f>HYPERLINK("https://klasma.github.io/Logging_KALMAR/tillsyn/A 58044-2021.docx")</f>
        <v/>
      </c>
      <c r="Y520">
        <f>HYPERLINK("https://klasma.github.io/Logging_KALMAR/tillsynsmail/A 58044-2021.docx")</f>
        <v/>
      </c>
    </row>
    <row r="521" ht="15" customHeight="1">
      <c r="A521" t="inlineStr">
        <is>
          <t>A 58297-2021</t>
        </is>
      </c>
      <c r="B521" s="1" t="n">
        <v>44488</v>
      </c>
      <c r="C521" s="1" t="n">
        <v>45175</v>
      </c>
      <c r="D521" t="inlineStr">
        <is>
          <t>KALMAR LÄN</t>
        </is>
      </c>
      <c r="E521" t="inlineStr">
        <is>
          <t>EMMABODA</t>
        </is>
      </c>
      <c r="F521" t="inlineStr">
        <is>
          <t>Kommuner</t>
        </is>
      </c>
      <c r="G521" t="n">
        <v>1.6</v>
      </c>
      <c r="H521" t="n">
        <v>0</v>
      </c>
      <c r="I521" t="n">
        <v>0</v>
      </c>
      <c r="J521" t="n">
        <v>1</v>
      </c>
      <c r="K521" t="n">
        <v>0</v>
      </c>
      <c r="L521" t="n">
        <v>0</v>
      </c>
      <c r="M521" t="n">
        <v>0</v>
      </c>
      <c r="N521" t="n">
        <v>0</v>
      </c>
      <c r="O521" t="n">
        <v>1</v>
      </c>
      <c r="P521" t="n">
        <v>0</v>
      </c>
      <c r="Q521" t="n">
        <v>1</v>
      </c>
      <c r="R521" s="2" t="inlineStr">
        <is>
          <t>Åkerkål</t>
        </is>
      </c>
      <c r="S521">
        <f>HYPERLINK("https://klasma.github.io/Logging_EMMABODA/artfynd/A 58297-2021.xlsx")</f>
        <v/>
      </c>
      <c r="T521">
        <f>HYPERLINK("https://klasma.github.io/Logging_EMMABODA/kartor/A 58297-2021.png")</f>
        <v/>
      </c>
      <c r="V521">
        <f>HYPERLINK("https://klasma.github.io/Logging_EMMABODA/klagomål/A 58297-2021.docx")</f>
        <v/>
      </c>
      <c r="W521">
        <f>HYPERLINK("https://klasma.github.io/Logging_EMMABODA/klagomålsmail/A 58297-2021.docx")</f>
        <v/>
      </c>
      <c r="X521">
        <f>HYPERLINK("https://klasma.github.io/Logging_EMMABODA/tillsyn/A 58297-2021.docx")</f>
        <v/>
      </c>
      <c r="Y521">
        <f>HYPERLINK("https://klasma.github.io/Logging_EMMABODA/tillsynsmail/A 58297-2021.docx")</f>
        <v/>
      </c>
    </row>
    <row r="522" ht="15" customHeight="1">
      <c r="A522" t="inlineStr">
        <is>
          <t>A 58765-2021</t>
        </is>
      </c>
      <c r="B522" s="1" t="n">
        <v>44489</v>
      </c>
      <c r="C522" s="1" t="n">
        <v>45175</v>
      </c>
      <c r="D522" t="inlineStr">
        <is>
          <t>KALMAR LÄN</t>
        </is>
      </c>
      <c r="E522" t="inlineStr">
        <is>
          <t>NYBRO</t>
        </is>
      </c>
      <c r="G522" t="n">
        <v>0.8</v>
      </c>
      <c r="H522" t="n">
        <v>1</v>
      </c>
      <c r="I522" t="n">
        <v>0</v>
      </c>
      <c r="J522" t="n">
        <v>0</v>
      </c>
      <c r="K522" t="n">
        <v>0</v>
      </c>
      <c r="L522" t="n">
        <v>0</v>
      </c>
      <c r="M522" t="n">
        <v>0</v>
      </c>
      <c r="N522" t="n">
        <v>0</v>
      </c>
      <c r="O522" t="n">
        <v>0</v>
      </c>
      <c r="P522" t="n">
        <v>0</v>
      </c>
      <c r="Q522" t="n">
        <v>1</v>
      </c>
      <c r="R522" s="2" t="inlineStr">
        <is>
          <t>Mattlummer</t>
        </is>
      </c>
      <c r="S522">
        <f>HYPERLINK("https://klasma.github.io/Logging_NYBRO/artfynd/A 58765-2021.xlsx")</f>
        <v/>
      </c>
      <c r="T522">
        <f>HYPERLINK("https://klasma.github.io/Logging_NYBRO/kartor/A 58765-2021.png")</f>
        <v/>
      </c>
      <c r="V522">
        <f>HYPERLINK("https://klasma.github.io/Logging_NYBRO/klagomål/A 58765-2021.docx")</f>
        <v/>
      </c>
      <c r="W522">
        <f>HYPERLINK("https://klasma.github.io/Logging_NYBRO/klagomålsmail/A 58765-2021.docx")</f>
        <v/>
      </c>
      <c r="X522">
        <f>HYPERLINK("https://klasma.github.io/Logging_NYBRO/tillsyn/A 58765-2021.docx")</f>
        <v/>
      </c>
      <c r="Y522">
        <f>HYPERLINK("https://klasma.github.io/Logging_NYBRO/tillsynsmail/A 58765-2021.docx")</f>
        <v/>
      </c>
    </row>
    <row r="523" ht="15" customHeight="1">
      <c r="A523" t="inlineStr">
        <is>
          <t>A 58927-2021</t>
        </is>
      </c>
      <c r="B523" s="1" t="n">
        <v>44489</v>
      </c>
      <c r="C523" s="1" t="n">
        <v>45175</v>
      </c>
      <c r="D523" t="inlineStr">
        <is>
          <t>KALMAR LÄN</t>
        </is>
      </c>
      <c r="E523" t="inlineStr">
        <is>
          <t>KALMAR</t>
        </is>
      </c>
      <c r="G523" t="n">
        <v>3.6</v>
      </c>
      <c r="H523" t="n">
        <v>1</v>
      </c>
      <c r="I523" t="n">
        <v>0</v>
      </c>
      <c r="J523" t="n">
        <v>1</v>
      </c>
      <c r="K523" t="n">
        <v>0</v>
      </c>
      <c r="L523" t="n">
        <v>0</v>
      </c>
      <c r="M523" t="n">
        <v>0</v>
      </c>
      <c r="N523" t="n">
        <v>0</v>
      </c>
      <c r="O523" t="n">
        <v>1</v>
      </c>
      <c r="P523" t="n">
        <v>0</v>
      </c>
      <c r="Q523" t="n">
        <v>1</v>
      </c>
      <c r="R523" s="2" t="inlineStr">
        <is>
          <t>Talltita</t>
        </is>
      </c>
      <c r="S523">
        <f>HYPERLINK("https://klasma.github.io/Logging_KALMAR/artfynd/A 58927-2021.xlsx")</f>
        <v/>
      </c>
      <c r="T523">
        <f>HYPERLINK("https://klasma.github.io/Logging_KALMAR/kartor/A 58927-2021.png")</f>
        <v/>
      </c>
      <c r="V523">
        <f>HYPERLINK("https://klasma.github.io/Logging_KALMAR/klagomål/A 58927-2021.docx")</f>
        <v/>
      </c>
      <c r="W523">
        <f>HYPERLINK("https://klasma.github.io/Logging_KALMAR/klagomålsmail/A 58927-2021.docx")</f>
        <v/>
      </c>
      <c r="X523">
        <f>HYPERLINK("https://klasma.github.io/Logging_KALMAR/tillsyn/A 58927-2021.docx")</f>
        <v/>
      </c>
      <c r="Y523">
        <f>HYPERLINK("https://klasma.github.io/Logging_KALMAR/tillsynsmail/A 58927-2021.docx")</f>
        <v/>
      </c>
    </row>
    <row r="524" ht="15" customHeight="1">
      <c r="A524" t="inlineStr">
        <is>
          <t>A 59683-2021</t>
        </is>
      </c>
      <c r="B524" s="1" t="n">
        <v>44494</v>
      </c>
      <c r="C524" s="1" t="n">
        <v>45175</v>
      </c>
      <c r="D524" t="inlineStr">
        <is>
          <t>KALMAR LÄN</t>
        </is>
      </c>
      <c r="E524" t="inlineStr">
        <is>
          <t>OSKARSHAMN</t>
        </is>
      </c>
      <c r="G524" t="n">
        <v>1.6</v>
      </c>
      <c r="H524" t="n">
        <v>1</v>
      </c>
      <c r="I524" t="n">
        <v>0</v>
      </c>
      <c r="J524" t="n">
        <v>1</v>
      </c>
      <c r="K524" t="n">
        <v>0</v>
      </c>
      <c r="L524" t="n">
        <v>0</v>
      </c>
      <c r="M524" t="n">
        <v>0</v>
      </c>
      <c r="N524" t="n">
        <v>0</v>
      </c>
      <c r="O524" t="n">
        <v>1</v>
      </c>
      <c r="P524" t="n">
        <v>0</v>
      </c>
      <c r="Q524" t="n">
        <v>1</v>
      </c>
      <c r="R524" s="2" t="inlineStr">
        <is>
          <t>Talltita</t>
        </is>
      </c>
      <c r="S524">
        <f>HYPERLINK("https://klasma.github.io/Logging_OSKARSHAMN/artfynd/A 59683-2021.xlsx")</f>
        <v/>
      </c>
      <c r="T524">
        <f>HYPERLINK("https://klasma.github.io/Logging_OSKARSHAMN/kartor/A 59683-2021.png")</f>
        <v/>
      </c>
      <c r="V524">
        <f>HYPERLINK("https://klasma.github.io/Logging_OSKARSHAMN/klagomål/A 59683-2021.docx")</f>
        <v/>
      </c>
      <c r="W524">
        <f>HYPERLINK("https://klasma.github.io/Logging_OSKARSHAMN/klagomålsmail/A 59683-2021.docx")</f>
        <v/>
      </c>
      <c r="X524">
        <f>HYPERLINK("https://klasma.github.io/Logging_OSKARSHAMN/tillsyn/A 59683-2021.docx")</f>
        <v/>
      </c>
      <c r="Y524">
        <f>HYPERLINK("https://klasma.github.io/Logging_OSKARSHAMN/tillsynsmail/A 59683-2021.docx")</f>
        <v/>
      </c>
    </row>
    <row r="525" ht="15" customHeight="1">
      <c r="A525" t="inlineStr">
        <is>
          <t>A 60257-2021</t>
        </is>
      </c>
      <c r="B525" s="1" t="n">
        <v>44495</v>
      </c>
      <c r="C525" s="1" t="n">
        <v>45175</v>
      </c>
      <c r="D525" t="inlineStr">
        <is>
          <t>KALMAR LÄN</t>
        </is>
      </c>
      <c r="E525" t="inlineStr">
        <is>
          <t>EMMABODA</t>
        </is>
      </c>
      <c r="G525" t="n">
        <v>0.7</v>
      </c>
      <c r="H525" t="n">
        <v>1</v>
      </c>
      <c r="I525" t="n">
        <v>0</v>
      </c>
      <c r="J525" t="n">
        <v>0</v>
      </c>
      <c r="K525" t="n">
        <v>1</v>
      </c>
      <c r="L525" t="n">
        <v>0</v>
      </c>
      <c r="M525" t="n">
        <v>0</v>
      </c>
      <c r="N525" t="n">
        <v>0</v>
      </c>
      <c r="O525" t="n">
        <v>1</v>
      </c>
      <c r="P525" t="n">
        <v>1</v>
      </c>
      <c r="Q525" t="n">
        <v>1</v>
      </c>
      <c r="R525" s="2" t="inlineStr">
        <is>
          <t>Knärot</t>
        </is>
      </c>
      <c r="S525">
        <f>HYPERLINK("https://klasma.github.io/Logging_EMMABODA/artfynd/A 60257-2021.xlsx")</f>
        <v/>
      </c>
      <c r="T525">
        <f>HYPERLINK("https://klasma.github.io/Logging_EMMABODA/kartor/A 60257-2021.png")</f>
        <v/>
      </c>
      <c r="U525">
        <f>HYPERLINK("https://klasma.github.io/Logging_EMMABODA/knärot/A 60257-2021.png")</f>
        <v/>
      </c>
      <c r="V525">
        <f>HYPERLINK("https://klasma.github.io/Logging_EMMABODA/klagomål/A 60257-2021.docx")</f>
        <v/>
      </c>
      <c r="W525">
        <f>HYPERLINK("https://klasma.github.io/Logging_EMMABODA/klagomålsmail/A 60257-2021.docx")</f>
        <v/>
      </c>
      <c r="X525">
        <f>HYPERLINK("https://klasma.github.io/Logging_EMMABODA/tillsyn/A 60257-2021.docx")</f>
        <v/>
      </c>
      <c r="Y525">
        <f>HYPERLINK("https://klasma.github.io/Logging_EMMABODA/tillsynsmail/A 60257-2021.docx")</f>
        <v/>
      </c>
    </row>
    <row r="526" ht="15" customHeight="1">
      <c r="A526" t="inlineStr">
        <is>
          <t>A 61319-2021</t>
        </is>
      </c>
      <c r="B526" s="1" t="n">
        <v>44498</v>
      </c>
      <c r="C526" s="1" t="n">
        <v>45175</v>
      </c>
      <c r="D526" t="inlineStr">
        <is>
          <t>KALMAR LÄN</t>
        </is>
      </c>
      <c r="E526" t="inlineStr">
        <is>
          <t>VÄSTERVIK</t>
        </is>
      </c>
      <c r="G526" t="n">
        <v>2.2</v>
      </c>
      <c r="H526" t="n">
        <v>1</v>
      </c>
      <c r="I526" t="n">
        <v>1</v>
      </c>
      <c r="J526" t="n">
        <v>0</v>
      </c>
      <c r="K526" t="n">
        <v>0</v>
      </c>
      <c r="L526" t="n">
        <v>0</v>
      </c>
      <c r="M526" t="n">
        <v>0</v>
      </c>
      <c r="N526" t="n">
        <v>0</v>
      </c>
      <c r="O526" t="n">
        <v>0</v>
      </c>
      <c r="P526" t="n">
        <v>0</v>
      </c>
      <c r="Q526" t="n">
        <v>1</v>
      </c>
      <c r="R526" s="2" t="inlineStr">
        <is>
          <t>Ekoxe</t>
        </is>
      </c>
      <c r="S526">
        <f>HYPERLINK("https://klasma.github.io/Logging_VASTERVIK/artfynd/A 61319-2021.xlsx")</f>
        <v/>
      </c>
      <c r="T526">
        <f>HYPERLINK("https://klasma.github.io/Logging_VASTERVIK/kartor/A 61319-2021.png")</f>
        <v/>
      </c>
      <c r="V526">
        <f>HYPERLINK("https://klasma.github.io/Logging_VASTERVIK/klagomål/A 61319-2021.docx")</f>
        <v/>
      </c>
      <c r="W526">
        <f>HYPERLINK("https://klasma.github.io/Logging_VASTERVIK/klagomålsmail/A 61319-2021.docx")</f>
        <v/>
      </c>
      <c r="X526">
        <f>HYPERLINK("https://klasma.github.io/Logging_VASTERVIK/tillsyn/A 61319-2021.docx")</f>
        <v/>
      </c>
      <c r="Y526">
        <f>HYPERLINK("https://klasma.github.io/Logging_VASTERVIK/tillsynsmail/A 61319-2021.docx")</f>
        <v/>
      </c>
    </row>
    <row r="527" ht="15" customHeight="1">
      <c r="A527" t="inlineStr">
        <is>
          <t>A 68096-2021</t>
        </is>
      </c>
      <c r="B527" s="1" t="n">
        <v>44526</v>
      </c>
      <c r="C527" s="1" t="n">
        <v>45175</v>
      </c>
      <c r="D527" t="inlineStr">
        <is>
          <t>KALMAR LÄN</t>
        </is>
      </c>
      <c r="E527" t="inlineStr">
        <is>
          <t>HULTSFRED</t>
        </is>
      </c>
      <c r="G527" t="n">
        <v>5.8</v>
      </c>
      <c r="H527" t="n">
        <v>1</v>
      </c>
      <c r="I527" t="n">
        <v>0</v>
      </c>
      <c r="J527" t="n">
        <v>0</v>
      </c>
      <c r="K527" t="n">
        <v>1</v>
      </c>
      <c r="L527" t="n">
        <v>0</v>
      </c>
      <c r="M527" t="n">
        <v>0</v>
      </c>
      <c r="N527" t="n">
        <v>0</v>
      </c>
      <c r="O527" t="n">
        <v>1</v>
      </c>
      <c r="P527" t="n">
        <v>1</v>
      </c>
      <c r="Q527" t="n">
        <v>1</v>
      </c>
      <c r="R527" s="2" t="inlineStr">
        <is>
          <t>Knärot</t>
        </is>
      </c>
      <c r="S527">
        <f>HYPERLINK("https://klasma.github.io/Logging_HULTSFRED/artfynd/A 68096-2021.xlsx")</f>
        <v/>
      </c>
      <c r="T527">
        <f>HYPERLINK("https://klasma.github.io/Logging_HULTSFRED/kartor/A 68096-2021.png")</f>
        <v/>
      </c>
      <c r="U527">
        <f>HYPERLINK("https://klasma.github.io/Logging_HULTSFRED/knärot/A 68096-2021.png")</f>
        <v/>
      </c>
      <c r="V527">
        <f>HYPERLINK("https://klasma.github.io/Logging_HULTSFRED/klagomål/A 68096-2021.docx")</f>
        <v/>
      </c>
      <c r="W527">
        <f>HYPERLINK("https://klasma.github.io/Logging_HULTSFRED/klagomålsmail/A 68096-2021.docx")</f>
        <v/>
      </c>
      <c r="X527">
        <f>HYPERLINK("https://klasma.github.io/Logging_HULTSFRED/tillsyn/A 68096-2021.docx")</f>
        <v/>
      </c>
      <c r="Y527">
        <f>HYPERLINK("https://klasma.github.io/Logging_HULTSFRED/tillsynsmail/A 68096-2021.docx")</f>
        <v/>
      </c>
    </row>
    <row r="528" ht="15" customHeight="1">
      <c r="A528" t="inlineStr">
        <is>
          <t>A 68563-2021</t>
        </is>
      </c>
      <c r="B528" s="1" t="n">
        <v>44529</v>
      </c>
      <c r="C528" s="1" t="n">
        <v>45175</v>
      </c>
      <c r="D528" t="inlineStr">
        <is>
          <t>KALMAR LÄN</t>
        </is>
      </c>
      <c r="E528" t="inlineStr">
        <is>
          <t>HÖGSBY</t>
        </is>
      </c>
      <c r="F528" t="inlineStr">
        <is>
          <t>Sveaskog</t>
        </is>
      </c>
      <c r="G528" t="n">
        <v>9.1</v>
      </c>
      <c r="H528" t="n">
        <v>0</v>
      </c>
      <c r="I528" t="n">
        <v>0</v>
      </c>
      <c r="J528" t="n">
        <v>0</v>
      </c>
      <c r="K528" t="n">
        <v>0</v>
      </c>
      <c r="L528" t="n">
        <v>1</v>
      </c>
      <c r="M528" t="n">
        <v>0</v>
      </c>
      <c r="N528" t="n">
        <v>0</v>
      </c>
      <c r="O528" t="n">
        <v>1</v>
      </c>
      <c r="P528" t="n">
        <v>1</v>
      </c>
      <c r="Q528" t="n">
        <v>1</v>
      </c>
      <c r="R528" s="2" t="inlineStr">
        <is>
          <t>Ask</t>
        </is>
      </c>
      <c r="S528">
        <f>HYPERLINK("https://klasma.github.io/Logging_HOGSBY/artfynd/A 68563-2021.xlsx")</f>
        <v/>
      </c>
      <c r="T528">
        <f>HYPERLINK("https://klasma.github.io/Logging_HOGSBY/kartor/A 68563-2021.png")</f>
        <v/>
      </c>
      <c r="V528">
        <f>HYPERLINK("https://klasma.github.io/Logging_HOGSBY/klagomål/A 68563-2021.docx")</f>
        <v/>
      </c>
      <c r="W528">
        <f>HYPERLINK("https://klasma.github.io/Logging_HOGSBY/klagomålsmail/A 68563-2021.docx")</f>
        <v/>
      </c>
      <c r="X528">
        <f>HYPERLINK("https://klasma.github.io/Logging_HOGSBY/tillsyn/A 68563-2021.docx")</f>
        <v/>
      </c>
      <c r="Y528">
        <f>HYPERLINK("https://klasma.github.io/Logging_HOGSBY/tillsynsmail/A 68563-2021.docx")</f>
        <v/>
      </c>
    </row>
    <row r="529" ht="15" customHeight="1">
      <c r="A529" t="inlineStr">
        <is>
          <t>A 71785-2021</t>
        </is>
      </c>
      <c r="B529" s="1" t="n">
        <v>44539</v>
      </c>
      <c r="C529" s="1" t="n">
        <v>45175</v>
      </c>
      <c r="D529" t="inlineStr">
        <is>
          <t>KALMAR LÄN</t>
        </is>
      </c>
      <c r="E529" t="inlineStr">
        <is>
          <t>VIMMERBY</t>
        </is>
      </c>
      <c r="G529" t="n">
        <v>1.1</v>
      </c>
      <c r="H529" t="n">
        <v>0</v>
      </c>
      <c r="I529" t="n">
        <v>0</v>
      </c>
      <c r="J529" t="n">
        <v>0</v>
      </c>
      <c r="K529" t="n">
        <v>0</v>
      </c>
      <c r="L529" t="n">
        <v>1</v>
      </c>
      <c r="M529" t="n">
        <v>0</v>
      </c>
      <c r="N529" t="n">
        <v>0</v>
      </c>
      <c r="O529" t="n">
        <v>1</v>
      </c>
      <c r="P529" t="n">
        <v>1</v>
      </c>
      <c r="Q529" t="n">
        <v>1</v>
      </c>
      <c r="R529" s="2" t="inlineStr">
        <is>
          <t>Ryl</t>
        </is>
      </c>
      <c r="S529">
        <f>HYPERLINK("https://klasma.github.io/Logging_VIMMERBY/artfynd/A 71785-2021.xlsx")</f>
        <v/>
      </c>
      <c r="T529">
        <f>HYPERLINK("https://klasma.github.io/Logging_VIMMERBY/kartor/A 71785-2021.png")</f>
        <v/>
      </c>
      <c r="V529">
        <f>HYPERLINK("https://klasma.github.io/Logging_VIMMERBY/klagomål/A 71785-2021.docx")</f>
        <v/>
      </c>
      <c r="W529">
        <f>HYPERLINK("https://klasma.github.io/Logging_VIMMERBY/klagomålsmail/A 71785-2021.docx")</f>
        <v/>
      </c>
      <c r="X529">
        <f>HYPERLINK("https://klasma.github.io/Logging_VIMMERBY/tillsyn/A 71785-2021.docx")</f>
        <v/>
      </c>
      <c r="Y529">
        <f>HYPERLINK("https://klasma.github.io/Logging_VIMMERBY/tillsynsmail/A 71785-2021.docx")</f>
        <v/>
      </c>
    </row>
    <row r="530" ht="15" customHeight="1">
      <c r="A530" t="inlineStr">
        <is>
          <t>A 84-2022</t>
        </is>
      </c>
      <c r="B530" s="1" t="n">
        <v>44564</v>
      </c>
      <c r="C530" s="1" t="n">
        <v>45175</v>
      </c>
      <c r="D530" t="inlineStr">
        <is>
          <t>KALMAR LÄN</t>
        </is>
      </c>
      <c r="E530" t="inlineStr">
        <is>
          <t>NYBRO</t>
        </is>
      </c>
      <c r="F530" t="inlineStr">
        <is>
          <t>Sveaskog</t>
        </is>
      </c>
      <c r="G530" t="n">
        <v>2.2</v>
      </c>
      <c r="H530" t="n">
        <v>0</v>
      </c>
      <c r="I530" t="n">
        <v>1</v>
      </c>
      <c r="J530" t="n">
        <v>0</v>
      </c>
      <c r="K530" t="n">
        <v>0</v>
      </c>
      <c r="L530" t="n">
        <v>0</v>
      </c>
      <c r="M530" t="n">
        <v>0</v>
      </c>
      <c r="N530" t="n">
        <v>0</v>
      </c>
      <c r="O530" t="n">
        <v>0</v>
      </c>
      <c r="P530" t="n">
        <v>0</v>
      </c>
      <c r="Q530" t="n">
        <v>1</v>
      </c>
      <c r="R530" s="2" t="inlineStr">
        <is>
          <t>Blåmossa</t>
        </is>
      </c>
      <c r="S530">
        <f>HYPERLINK("https://klasma.github.io/Logging_NYBRO/artfynd/A 84-2022.xlsx")</f>
        <v/>
      </c>
      <c r="T530">
        <f>HYPERLINK("https://klasma.github.io/Logging_NYBRO/kartor/A 84-2022.png")</f>
        <v/>
      </c>
      <c r="V530">
        <f>HYPERLINK("https://klasma.github.io/Logging_NYBRO/klagomål/A 84-2022.docx")</f>
        <v/>
      </c>
      <c r="W530">
        <f>HYPERLINK("https://klasma.github.io/Logging_NYBRO/klagomålsmail/A 84-2022.docx")</f>
        <v/>
      </c>
      <c r="X530">
        <f>HYPERLINK("https://klasma.github.io/Logging_NYBRO/tillsyn/A 84-2022.docx")</f>
        <v/>
      </c>
      <c r="Y530">
        <f>HYPERLINK("https://klasma.github.io/Logging_NYBRO/tillsynsmail/A 84-2022.docx")</f>
        <v/>
      </c>
    </row>
    <row r="531" ht="15" customHeight="1">
      <c r="A531" t="inlineStr">
        <is>
          <t>A 1519-2022</t>
        </is>
      </c>
      <c r="B531" s="1" t="n">
        <v>44573</v>
      </c>
      <c r="C531" s="1" t="n">
        <v>45175</v>
      </c>
      <c r="D531" t="inlineStr">
        <is>
          <t>KALMAR LÄN</t>
        </is>
      </c>
      <c r="E531" t="inlineStr">
        <is>
          <t>HÖGSBY</t>
        </is>
      </c>
      <c r="G531" t="n">
        <v>2.6</v>
      </c>
      <c r="H531" t="n">
        <v>0</v>
      </c>
      <c r="I531" t="n">
        <v>0</v>
      </c>
      <c r="J531" t="n">
        <v>0</v>
      </c>
      <c r="K531" t="n">
        <v>1</v>
      </c>
      <c r="L531" t="n">
        <v>0</v>
      </c>
      <c r="M531" t="n">
        <v>0</v>
      </c>
      <c r="N531" t="n">
        <v>0</v>
      </c>
      <c r="O531" t="n">
        <v>1</v>
      </c>
      <c r="P531" t="n">
        <v>1</v>
      </c>
      <c r="Q531" t="n">
        <v>1</v>
      </c>
      <c r="R531" s="2" t="inlineStr">
        <is>
          <t>Slåttergubbe</t>
        </is>
      </c>
      <c r="S531">
        <f>HYPERLINK("https://klasma.github.io/Logging_HOGSBY/artfynd/A 1519-2022.xlsx")</f>
        <v/>
      </c>
      <c r="T531">
        <f>HYPERLINK("https://klasma.github.io/Logging_HOGSBY/kartor/A 1519-2022.png")</f>
        <v/>
      </c>
      <c r="V531">
        <f>HYPERLINK("https://klasma.github.io/Logging_HOGSBY/klagomål/A 1519-2022.docx")</f>
        <v/>
      </c>
      <c r="W531">
        <f>HYPERLINK("https://klasma.github.io/Logging_HOGSBY/klagomålsmail/A 1519-2022.docx")</f>
        <v/>
      </c>
      <c r="X531">
        <f>HYPERLINK("https://klasma.github.io/Logging_HOGSBY/tillsyn/A 1519-2022.docx")</f>
        <v/>
      </c>
      <c r="Y531">
        <f>HYPERLINK("https://klasma.github.io/Logging_HOGSBY/tillsynsmail/A 1519-2022.docx")</f>
        <v/>
      </c>
    </row>
    <row r="532" ht="15" customHeight="1">
      <c r="A532" t="inlineStr">
        <is>
          <t>A 1677-2022</t>
        </is>
      </c>
      <c r="B532" s="1" t="n">
        <v>44574</v>
      </c>
      <c r="C532" s="1" t="n">
        <v>45175</v>
      </c>
      <c r="D532" t="inlineStr">
        <is>
          <t>KALMAR LÄN</t>
        </is>
      </c>
      <c r="E532" t="inlineStr">
        <is>
          <t>VÄSTERVIK</t>
        </is>
      </c>
      <c r="G532" t="n">
        <v>3.3</v>
      </c>
      <c r="H532" t="n">
        <v>1</v>
      </c>
      <c r="I532" t="n">
        <v>0</v>
      </c>
      <c r="J532" t="n">
        <v>0</v>
      </c>
      <c r="K532" t="n">
        <v>1</v>
      </c>
      <c r="L532" t="n">
        <v>0</v>
      </c>
      <c r="M532" t="n">
        <v>0</v>
      </c>
      <c r="N532" t="n">
        <v>0</v>
      </c>
      <c r="O532" t="n">
        <v>1</v>
      </c>
      <c r="P532" t="n">
        <v>1</v>
      </c>
      <c r="Q532" t="n">
        <v>1</v>
      </c>
      <c r="R532" s="2" t="inlineStr">
        <is>
          <t>Knärot</t>
        </is>
      </c>
      <c r="S532">
        <f>HYPERLINK("https://klasma.github.io/Logging_VASTERVIK/artfynd/A 1677-2022.xlsx")</f>
        <v/>
      </c>
      <c r="T532">
        <f>HYPERLINK("https://klasma.github.io/Logging_VASTERVIK/kartor/A 1677-2022.png")</f>
        <v/>
      </c>
      <c r="U532">
        <f>HYPERLINK("https://klasma.github.io/Logging_VASTERVIK/knärot/A 1677-2022.png")</f>
        <v/>
      </c>
      <c r="V532">
        <f>HYPERLINK("https://klasma.github.io/Logging_VASTERVIK/klagomål/A 1677-2022.docx")</f>
        <v/>
      </c>
      <c r="W532">
        <f>HYPERLINK("https://klasma.github.io/Logging_VASTERVIK/klagomålsmail/A 1677-2022.docx")</f>
        <v/>
      </c>
      <c r="X532">
        <f>HYPERLINK("https://klasma.github.io/Logging_VASTERVIK/tillsyn/A 1677-2022.docx")</f>
        <v/>
      </c>
      <c r="Y532">
        <f>HYPERLINK("https://klasma.github.io/Logging_VASTERVIK/tillsynsmail/A 1677-2022.docx")</f>
        <v/>
      </c>
    </row>
    <row r="533" ht="15" customHeight="1">
      <c r="A533" t="inlineStr">
        <is>
          <t>A 6849-2022</t>
        </is>
      </c>
      <c r="B533" s="1" t="n">
        <v>44602</v>
      </c>
      <c r="C533" s="1" t="n">
        <v>45175</v>
      </c>
      <c r="D533" t="inlineStr">
        <is>
          <t>KALMAR LÄN</t>
        </is>
      </c>
      <c r="E533" t="inlineStr">
        <is>
          <t>NYBRO</t>
        </is>
      </c>
      <c r="G533" t="n">
        <v>1.8</v>
      </c>
      <c r="H533" t="n">
        <v>0</v>
      </c>
      <c r="I533" t="n">
        <v>1</v>
      </c>
      <c r="J533" t="n">
        <v>0</v>
      </c>
      <c r="K533" t="n">
        <v>0</v>
      </c>
      <c r="L533" t="n">
        <v>0</v>
      </c>
      <c r="M533" t="n">
        <v>0</v>
      </c>
      <c r="N533" t="n">
        <v>0</v>
      </c>
      <c r="O533" t="n">
        <v>0</v>
      </c>
      <c r="P533" t="n">
        <v>0</v>
      </c>
      <c r="Q533" t="n">
        <v>1</v>
      </c>
      <c r="R533" s="2" t="inlineStr">
        <is>
          <t>Vågbandad barkbock</t>
        </is>
      </c>
      <c r="S533">
        <f>HYPERLINK("https://klasma.github.io/Logging_NYBRO/artfynd/A 6849-2022.xlsx")</f>
        <v/>
      </c>
      <c r="T533">
        <f>HYPERLINK("https://klasma.github.io/Logging_NYBRO/kartor/A 6849-2022.png")</f>
        <v/>
      </c>
      <c r="V533">
        <f>HYPERLINK("https://klasma.github.io/Logging_NYBRO/klagomål/A 6849-2022.docx")</f>
        <v/>
      </c>
      <c r="W533">
        <f>HYPERLINK("https://klasma.github.io/Logging_NYBRO/klagomålsmail/A 6849-2022.docx")</f>
        <v/>
      </c>
      <c r="X533">
        <f>HYPERLINK("https://klasma.github.io/Logging_NYBRO/tillsyn/A 6849-2022.docx")</f>
        <v/>
      </c>
      <c r="Y533">
        <f>HYPERLINK("https://klasma.github.io/Logging_NYBRO/tillsynsmail/A 6849-2022.docx")</f>
        <v/>
      </c>
    </row>
    <row r="534" ht="15" customHeight="1">
      <c r="A534" t="inlineStr">
        <is>
          <t>A 7032-2022</t>
        </is>
      </c>
      <c r="B534" s="1" t="n">
        <v>44603</v>
      </c>
      <c r="C534" s="1" t="n">
        <v>45175</v>
      </c>
      <c r="D534" t="inlineStr">
        <is>
          <t>KALMAR LÄN</t>
        </is>
      </c>
      <c r="E534" t="inlineStr">
        <is>
          <t>HÖGSBY</t>
        </is>
      </c>
      <c r="G534" t="n">
        <v>0.7</v>
      </c>
      <c r="H534" t="n">
        <v>1</v>
      </c>
      <c r="I534" t="n">
        <v>0</v>
      </c>
      <c r="J534" t="n">
        <v>0</v>
      </c>
      <c r="K534" t="n">
        <v>1</v>
      </c>
      <c r="L534" t="n">
        <v>0</v>
      </c>
      <c r="M534" t="n">
        <v>0</v>
      </c>
      <c r="N534" t="n">
        <v>0</v>
      </c>
      <c r="O534" t="n">
        <v>1</v>
      </c>
      <c r="P534" t="n">
        <v>1</v>
      </c>
      <c r="Q534" t="n">
        <v>1</v>
      </c>
      <c r="R534" s="2" t="inlineStr">
        <is>
          <t>Sandödla</t>
        </is>
      </c>
      <c r="S534">
        <f>HYPERLINK("https://klasma.github.io/Logging_HOGSBY/artfynd/A 7032-2022.xlsx")</f>
        <v/>
      </c>
      <c r="T534">
        <f>HYPERLINK("https://klasma.github.io/Logging_HOGSBY/kartor/A 7032-2022.png")</f>
        <v/>
      </c>
      <c r="V534">
        <f>HYPERLINK("https://klasma.github.io/Logging_HOGSBY/klagomål/A 7032-2022.docx")</f>
        <v/>
      </c>
      <c r="W534">
        <f>HYPERLINK("https://klasma.github.io/Logging_HOGSBY/klagomålsmail/A 7032-2022.docx")</f>
        <v/>
      </c>
      <c r="X534">
        <f>HYPERLINK("https://klasma.github.io/Logging_HOGSBY/tillsyn/A 7032-2022.docx")</f>
        <v/>
      </c>
      <c r="Y534">
        <f>HYPERLINK("https://klasma.github.io/Logging_HOGSBY/tillsynsmail/A 7032-2022.docx")</f>
        <v/>
      </c>
    </row>
    <row r="535" ht="15" customHeight="1">
      <c r="A535" t="inlineStr">
        <is>
          <t>A 9518-2022</t>
        </is>
      </c>
      <c r="B535" s="1" t="n">
        <v>44616</v>
      </c>
      <c r="C535" s="1" t="n">
        <v>45175</v>
      </c>
      <c r="D535" t="inlineStr">
        <is>
          <t>KALMAR LÄN</t>
        </is>
      </c>
      <c r="E535" t="inlineStr">
        <is>
          <t>OSKARSHAMN</t>
        </is>
      </c>
      <c r="F535" t="inlineStr">
        <is>
          <t>Kyrkan</t>
        </is>
      </c>
      <c r="G535" t="n">
        <v>1.9</v>
      </c>
      <c r="H535" t="n">
        <v>1</v>
      </c>
      <c r="I535" t="n">
        <v>0</v>
      </c>
      <c r="J535" t="n">
        <v>0</v>
      </c>
      <c r="K535" t="n">
        <v>0</v>
      </c>
      <c r="L535" t="n">
        <v>0</v>
      </c>
      <c r="M535" t="n">
        <v>0</v>
      </c>
      <c r="N535" t="n">
        <v>0</v>
      </c>
      <c r="O535" t="n">
        <v>0</v>
      </c>
      <c r="P535" t="n">
        <v>0</v>
      </c>
      <c r="Q535" t="n">
        <v>1</v>
      </c>
      <c r="R535" s="2" t="inlineStr">
        <is>
          <t>Revlummer</t>
        </is>
      </c>
      <c r="S535">
        <f>HYPERLINK("https://klasma.github.io/Logging_OSKARSHAMN/artfynd/A 9518-2022.xlsx")</f>
        <v/>
      </c>
      <c r="T535">
        <f>HYPERLINK("https://klasma.github.io/Logging_OSKARSHAMN/kartor/A 9518-2022.png")</f>
        <v/>
      </c>
      <c r="V535">
        <f>HYPERLINK("https://klasma.github.io/Logging_OSKARSHAMN/klagomål/A 9518-2022.docx")</f>
        <v/>
      </c>
      <c r="W535">
        <f>HYPERLINK("https://klasma.github.io/Logging_OSKARSHAMN/klagomålsmail/A 9518-2022.docx")</f>
        <v/>
      </c>
      <c r="X535">
        <f>HYPERLINK("https://klasma.github.io/Logging_OSKARSHAMN/tillsyn/A 9518-2022.docx")</f>
        <v/>
      </c>
      <c r="Y535">
        <f>HYPERLINK("https://klasma.github.io/Logging_OSKARSHAMN/tillsynsmail/A 9518-2022.docx")</f>
        <v/>
      </c>
    </row>
    <row r="536" ht="15" customHeight="1">
      <c r="A536" t="inlineStr">
        <is>
          <t>A 10292-2022</t>
        </is>
      </c>
      <c r="B536" s="1" t="n">
        <v>44622</v>
      </c>
      <c r="C536" s="1" t="n">
        <v>45175</v>
      </c>
      <c r="D536" t="inlineStr">
        <is>
          <t>KALMAR LÄN</t>
        </is>
      </c>
      <c r="E536" t="inlineStr">
        <is>
          <t>BORGHOLM</t>
        </is>
      </c>
      <c r="G536" t="n">
        <v>4</v>
      </c>
      <c r="H536" t="n">
        <v>1</v>
      </c>
      <c r="I536" t="n">
        <v>0</v>
      </c>
      <c r="J536" t="n">
        <v>0</v>
      </c>
      <c r="K536" t="n">
        <v>0</v>
      </c>
      <c r="L536" t="n">
        <v>0</v>
      </c>
      <c r="M536" t="n">
        <v>0</v>
      </c>
      <c r="N536" t="n">
        <v>0</v>
      </c>
      <c r="O536" t="n">
        <v>0</v>
      </c>
      <c r="P536" t="n">
        <v>0</v>
      </c>
      <c r="Q536" t="n">
        <v>1</v>
      </c>
      <c r="R536" s="2" t="inlineStr">
        <is>
          <t>Sädgås</t>
        </is>
      </c>
      <c r="S536">
        <f>HYPERLINK("https://klasma.github.io/Logging_BORGHOLM/artfynd/A 10292-2022.xlsx")</f>
        <v/>
      </c>
      <c r="T536">
        <f>HYPERLINK("https://klasma.github.io/Logging_BORGHOLM/kartor/A 10292-2022.png")</f>
        <v/>
      </c>
      <c r="V536">
        <f>HYPERLINK("https://klasma.github.io/Logging_BORGHOLM/klagomål/A 10292-2022.docx")</f>
        <v/>
      </c>
      <c r="W536">
        <f>HYPERLINK("https://klasma.github.io/Logging_BORGHOLM/klagomålsmail/A 10292-2022.docx")</f>
        <v/>
      </c>
      <c r="X536">
        <f>HYPERLINK("https://klasma.github.io/Logging_BORGHOLM/tillsyn/A 10292-2022.docx")</f>
        <v/>
      </c>
      <c r="Y536">
        <f>HYPERLINK("https://klasma.github.io/Logging_BORGHOLM/tillsynsmail/A 10292-2022.docx")</f>
        <v/>
      </c>
    </row>
    <row r="537" ht="15" customHeight="1">
      <c r="A537" t="inlineStr">
        <is>
          <t>A 10989-2022</t>
        </is>
      </c>
      <c r="B537" s="1" t="n">
        <v>44628</v>
      </c>
      <c r="C537" s="1" t="n">
        <v>45175</v>
      </c>
      <c r="D537" t="inlineStr">
        <is>
          <t>KALMAR LÄN</t>
        </is>
      </c>
      <c r="E537" t="inlineStr">
        <is>
          <t>HÖGSBY</t>
        </is>
      </c>
      <c r="F537" t="inlineStr">
        <is>
          <t>Kyrkan</t>
        </is>
      </c>
      <c r="G537" t="n">
        <v>6.8</v>
      </c>
      <c r="H537" t="n">
        <v>1</v>
      </c>
      <c r="I537" t="n">
        <v>1</v>
      </c>
      <c r="J537" t="n">
        <v>0</v>
      </c>
      <c r="K537" t="n">
        <v>0</v>
      </c>
      <c r="L537" t="n">
        <v>0</v>
      </c>
      <c r="M537" t="n">
        <v>0</v>
      </c>
      <c r="N537" t="n">
        <v>0</v>
      </c>
      <c r="O537" t="n">
        <v>0</v>
      </c>
      <c r="P537" t="n">
        <v>0</v>
      </c>
      <c r="Q537" t="n">
        <v>1</v>
      </c>
      <c r="R537" s="2" t="inlineStr">
        <is>
          <t>Purpurknipprot</t>
        </is>
      </c>
      <c r="S537">
        <f>HYPERLINK("https://klasma.github.io/Logging_HOGSBY/artfynd/A 10989-2022.xlsx")</f>
        <v/>
      </c>
      <c r="T537">
        <f>HYPERLINK("https://klasma.github.io/Logging_HOGSBY/kartor/A 10989-2022.png")</f>
        <v/>
      </c>
      <c r="V537">
        <f>HYPERLINK("https://klasma.github.io/Logging_HOGSBY/klagomål/A 10989-2022.docx")</f>
        <v/>
      </c>
      <c r="W537">
        <f>HYPERLINK("https://klasma.github.io/Logging_HOGSBY/klagomålsmail/A 10989-2022.docx")</f>
        <v/>
      </c>
      <c r="X537">
        <f>HYPERLINK("https://klasma.github.io/Logging_HOGSBY/tillsyn/A 10989-2022.docx")</f>
        <v/>
      </c>
      <c r="Y537">
        <f>HYPERLINK("https://klasma.github.io/Logging_HOGSBY/tillsynsmail/A 10989-2022.docx")</f>
        <v/>
      </c>
    </row>
    <row r="538" ht="15" customHeight="1">
      <c r="A538" t="inlineStr">
        <is>
          <t>A 11823-2022</t>
        </is>
      </c>
      <c r="B538" s="1" t="n">
        <v>44634</v>
      </c>
      <c r="C538" s="1" t="n">
        <v>45175</v>
      </c>
      <c r="D538" t="inlineStr">
        <is>
          <t>KALMAR LÄN</t>
        </is>
      </c>
      <c r="E538" t="inlineStr">
        <is>
          <t>NYBRO</t>
        </is>
      </c>
      <c r="G538" t="n">
        <v>1.8</v>
      </c>
      <c r="H538" t="n">
        <v>0</v>
      </c>
      <c r="I538" t="n">
        <v>0</v>
      </c>
      <c r="J538" t="n">
        <v>1</v>
      </c>
      <c r="K538" t="n">
        <v>0</v>
      </c>
      <c r="L538" t="n">
        <v>0</v>
      </c>
      <c r="M538" t="n">
        <v>0</v>
      </c>
      <c r="N538" t="n">
        <v>0</v>
      </c>
      <c r="O538" t="n">
        <v>1</v>
      </c>
      <c r="P538" t="n">
        <v>0</v>
      </c>
      <c r="Q538" t="n">
        <v>1</v>
      </c>
      <c r="R538" s="2" t="inlineStr">
        <is>
          <t>Svinrot</t>
        </is>
      </c>
      <c r="S538">
        <f>HYPERLINK("https://klasma.github.io/Logging_NYBRO/artfynd/A 11823-2022.xlsx")</f>
        <v/>
      </c>
      <c r="T538">
        <f>HYPERLINK("https://klasma.github.io/Logging_NYBRO/kartor/A 11823-2022.png")</f>
        <v/>
      </c>
      <c r="V538">
        <f>HYPERLINK("https://klasma.github.io/Logging_NYBRO/klagomål/A 11823-2022.docx")</f>
        <v/>
      </c>
      <c r="W538">
        <f>HYPERLINK("https://klasma.github.io/Logging_NYBRO/klagomålsmail/A 11823-2022.docx")</f>
        <v/>
      </c>
      <c r="X538">
        <f>HYPERLINK("https://klasma.github.io/Logging_NYBRO/tillsyn/A 11823-2022.docx")</f>
        <v/>
      </c>
      <c r="Y538">
        <f>HYPERLINK("https://klasma.github.io/Logging_NYBRO/tillsynsmail/A 11823-2022.docx")</f>
        <v/>
      </c>
    </row>
    <row r="539" ht="15" customHeight="1">
      <c r="A539" t="inlineStr">
        <is>
          <t>A 11995-2022</t>
        </is>
      </c>
      <c r="B539" s="1" t="n">
        <v>44635</v>
      </c>
      <c r="C539" s="1" t="n">
        <v>45175</v>
      </c>
      <c r="D539" t="inlineStr">
        <is>
          <t>KALMAR LÄN</t>
        </is>
      </c>
      <c r="E539" t="inlineStr">
        <is>
          <t>HÖGSBY</t>
        </is>
      </c>
      <c r="G539" t="n">
        <v>2.9</v>
      </c>
      <c r="H539" t="n">
        <v>1</v>
      </c>
      <c r="I539" t="n">
        <v>0</v>
      </c>
      <c r="J539" t="n">
        <v>0</v>
      </c>
      <c r="K539" t="n">
        <v>0</v>
      </c>
      <c r="L539" t="n">
        <v>0</v>
      </c>
      <c r="M539" t="n">
        <v>0</v>
      </c>
      <c r="N539" t="n">
        <v>0</v>
      </c>
      <c r="O539" t="n">
        <v>0</v>
      </c>
      <c r="P539" t="n">
        <v>0</v>
      </c>
      <c r="Q539" t="n">
        <v>1</v>
      </c>
      <c r="R539" s="2" t="inlineStr">
        <is>
          <t>Gullviva</t>
        </is>
      </c>
      <c r="S539">
        <f>HYPERLINK("https://klasma.github.io/Logging_HOGSBY/artfynd/A 11995-2022.xlsx")</f>
        <v/>
      </c>
      <c r="T539">
        <f>HYPERLINK("https://klasma.github.io/Logging_HOGSBY/kartor/A 11995-2022.png")</f>
        <v/>
      </c>
      <c r="V539">
        <f>HYPERLINK("https://klasma.github.io/Logging_HOGSBY/klagomål/A 11995-2022.docx")</f>
        <v/>
      </c>
      <c r="W539">
        <f>HYPERLINK("https://klasma.github.io/Logging_HOGSBY/klagomålsmail/A 11995-2022.docx")</f>
        <v/>
      </c>
      <c r="X539">
        <f>HYPERLINK("https://klasma.github.io/Logging_HOGSBY/tillsyn/A 11995-2022.docx")</f>
        <v/>
      </c>
      <c r="Y539">
        <f>HYPERLINK("https://klasma.github.io/Logging_HOGSBY/tillsynsmail/A 11995-2022.docx")</f>
        <v/>
      </c>
    </row>
    <row r="540" ht="15" customHeight="1">
      <c r="A540" t="inlineStr">
        <is>
          <t>A 12662-2022</t>
        </is>
      </c>
      <c r="B540" s="1" t="n">
        <v>44641</v>
      </c>
      <c r="C540" s="1" t="n">
        <v>45175</v>
      </c>
      <c r="D540" t="inlineStr">
        <is>
          <t>KALMAR LÄN</t>
        </is>
      </c>
      <c r="E540" t="inlineStr">
        <is>
          <t>VÄSTERVIK</t>
        </is>
      </c>
      <c r="G540" t="n">
        <v>2.1</v>
      </c>
      <c r="H540" t="n">
        <v>0</v>
      </c>
      <c r="I540" t="n">
        <v>1</v>
      </c>
      <c r="J540" t="n">
        <v>0</v>
      </c>
      <c r="K540" t="n">
        <v>0</v>
      </c>
      <c r="L540" t="n">
        <v>0</v>
      </c>
      <c r="M540" t="n">
        <v>0</v>
      </c>
      <c r="N540" t="n">
        <v>0</v>
      </c>
      <c r="O540" t="n">
        <v>0</v>
      </c>
      <c r="P540" t="n">
        <v>0</v>
      </c>
      <c r="Q540" t="n">
        <v>1</v>
      </c>
      <c r="R540" s="2" t="inlineStr">
        <is>
          <t>Blåmossa</t>
        </is>
      </c>
      <c r="S540">
        <f>HYPERLINK("https://klasma.github.io/Logging_VASTERVIK/artfynd/A 12662-2022.xlsx")</f>
        <v/>
      </c>
      <c r="T540">
        <f>HYPERLINK("https://klasma.github.io/Logging_VASTERVIK/kartor/A 12662-2022.png")</f>
        <v/>
      </c>
      <c r="V540">
        <f>HYPERLINK("https://klasma.github.io/Logging_VASTERVIK/klagomål/A 12662-2022.docx")</f>
        <v/>
      </c>
      <c r="W540">
        <f>HYPERLINK("https://klasma.github.io/Logging_VASTERVIK/klagomålsmail/A 12662-2022.docx")</f>
        <v/>
      </c>
      <c r="X540">
        <f>HYPERLINK("https://klasma.github.io/Logging_VASTERVIK/tillsyn/A 12662-2022.docx")</f>
        <v/>
      </c>
      <c r="Y540">
        <f>HYPERLINK("https://klasma.github.io/Logging_VASTERVIK/tillsynsmail/A 12662-2022.docx")</f>
        <v/>
      </c>
    </row>
    <row r="541" ht="15" customHeight="1">
      <c r="A541" t="inlineStr">
        <is>
          <t>A 13690-2022</t>
        </is>
      </c>
      <c r="B541" s="1" t="n">
        <v>44648</v>
      </c>
      <c r="C541" s="1" t="n">
        <v>45175</v>
      </c>
      <c r="D541" t="inlineStr">
        <is>
          <t>KALMAR LÄN</t>
        </is>
      </c>
      <c r="E541" t="inlineStr">
        <is>
          <t>NYBRO</t>
        </is>
      </c>
      <c r="F541" t="inlineStr">
        <is>
          <t>Kommuner</t>
        </is>
      </c>
      <c r="G541" t="n">
        <v>8.300000000000001</v>
      </c>
      <c r="H541" t="n">
        <v>1</v>
      </c>
      <c r="I541" t="n">
        <v>0</v>
      </c>
      <c r="J541" t="n">
        <v>0</v>
      </c>
      <c r="K541" t="n">
        <v>1</v>
      </c>
      <c r="L541" t="n">
        <v>0</v>
      </c>
      <c r="M541" t="n">
        <v>0</v>
      </c>
      <c r="N541" t="n">
        <v>0</v>
      </c>
      <c r="O541" t="n">
        <v>1</v>
      </c>
      <c r="P541" t="n">
        <v>1</v>
      </c>
      <c r="Q541" t="n">
        <v>1</v>
      </c>
      <c r="R541" s="2" t="inlineStr">
        <is>
          <t>Knärot</t>
        </is>
      </c>
      <c r="S541">
        <f>HYPERLINK("https://klasma.github.io/Logging_NYBRO/artfynd/A 13690-2022.xlsx")</f>
        <v/>
      </c>
      <c r="T541">
        <f>HYPERLINK("https://klasma.github.io/Logging_NYBRO/kartor/A 13690-2022.png")</f>
        <v/>
      </c>
      <c r="U541">
        <f>HYPERLINK("https://klasma.github.io/Logging_NYBRO/knärot/A 13690-2022.png")</f>
        <v/>
      </c>
      <c r="V541">
        <f>HYPERLINK("https://klasma.github.io/Logging_NYBRO/klagomål/A 13690-2022.docx")</f>
        <v/>
      </c>
      <c r="W541">
        <f>HYPERLINK("https://klasma.github.io/Logging_NYBRO/klagomålsmail/A 13690-2022.docx")</f>
        <v/>
      </c>
      <c r="X541">
        <f>HYPERLINK("https://klasma.github.io/Logging_NYBRO/tillsyn/A 13690-2022.docx")</f>
        <v/>
      </c>
      <c r="Y541">
        <f>HYPERLINK("https://klasma.github.io/Logging_NYBRO/tillsynsmail/A 13690-2022.docx")</f>
        <v/>
      </c>
    </row>
    <row r="542" ht="15" customHeight="1">
      <c r="A542" t="inlineStr">
        <is>
          <t>A 14858-2022</t>
        </is>
      </c>
      <c r="B542" s="1" t="n">
        <v>44656</v>
      </c>
      <c r="C542" s="1" t="n">
        <v>45175</v>
      </c>
      <c r="D542" t="inlineStr">
        <is>
          <t>KALMAR LÄN</t>
        </is>
      </c>
      <c r="E542" t="inlineStr">
        <is>
          <t>NYBRO</t>
        </is>
      </c>
      <c r="F542" t="inlineStr">
        <is>
          <t>Kommuner</t>
        </is>
      </c>
      <c r="G542" t="n">
        <v>4.9</v>
      </c>
      <c r="H542" t="n">
        <v>0</v>
      </c>
      <c r="I542" t="n">
        <v>0</v>
      </c>
      <c r="J542" t="n">
        <v>0</v>
      </c>
      <c r="K542" t="n">
        <v>1</v>
      </c>
      <c r="L542" t="n">
        <v>0</v>
      </c>
      <c r="M542" t="n">
        <v>0</v>
      </c>
      <c r="N542" t="n">
        <v>0</v>
      </c>
      <c r="O542" t="n">
        <v>1</v>
      </c>
      <c r="P542" t="n">
        <v>1</v>
      </c>
      <c r="Q542" t="n">
        <v>1</v>
      </c>
      <c r="R542" s="2" t="inlineStr">
        <is>
          <t>Apelticka</t>
        </is>
      </c>
      <c r="S542">
        <f>HYPERLINK("https://klasma.github.io/Logging_NYBRO/artfynd/A 14858-2022.xlsx")</f>
        <v/>
      </c>
      <c r="T542">
        <f>HYPERLINK("https://klasma.github.io/Logging_NYBRO/kartor/A 14858-2022.png")</f>
        <v/>
      </c>
      <c r="V542">
        <f>HYPERLINK("https://klasma.github.io/Logging_NYBRO/klagomål/A 14858-2022.docx")</f>
        <v/>
      </c>
      <c r="W542">
        <f>HYPERLINK("https://klasma.github.io/Logging_NYBRO/klagomålsmail/A 14858-2022.docx")</f>
        <v/>
      </c>
      <c r="X542">
        <f>HYPERLINK("https://klasma.github.io/Logging_NYBRO/tillsyn/A 14858-2022.docx")</f>
        <v/>
      </c>
      <c r="Y542">
        <f>HYPERLINK("https://klasma.github.io/Logging_NYBRO/tillsynsmail/A 14858-2022.docx")</f>
        <v/>
      </c>
    </row>
    <row r="543" ht="15" customHeight="1">
      <c r="A543" t="inlineStr">
        <is>
          <t>A 15378-2022</t>
        </is>
      </c>
      <c r="B543" s="1" t="n">
        <v>44659</v>
      </c>
      <c r="C543" s="1" t="n">
        <v>45175</v>
      </c>
      <c r="D543" t="inlineStr">
        <is>
          <t>KALMAR LÄN</t>
        </is>
      </c>
      <c r="E543" t="inlineStr">
        <is>
          <t>VÄSTERVIK</t>
        </is>
      </c>
      <c r="G543" t="n">
        <v>1.4</v>
      </c>
      <c r="H543" t="n">
        <v>0</v>
      </c>
      <c r="I543" t="n">
        <v>0</v>
      </c>
      <c r="J543" t="n">
        <v>1</v>
      </c>
      <c r="K543" t="n">
        <v>0</v>
      </c>
      <c r="L543" t="n">
        <v>0</v>
      </c>
      <c r="M543" t="n">
        <v>0</v>
      </c>
      <c r="N543" t="n">
        <v>0</v>
      </c>
      <c r="O543" t="n">
        <v>1</v>
      </c>
      <c r="P543" t="n">
        <v>0</v>
      </c>
      <c r="Q543" t="n">
        <v>1</v>
      </c>
      <c r="R543" s="2" t="inlineStr">
        <is>
          <t>Klofibbla</t>
        </is>
      </c>
      <c r="S543">
        <f>HYPERLINK("https://klasma.github.io/Logging_VASTERVIK/artfynd/A 15378-2022.xlsx")</f>
        <v/>
      </c>
      <c r="T543">
        <f>HYPERLINK("https://klasma.github.io/Logging_VASTERVIK/kartor/A 15378-2022.png")</f>
        <v/>
      </c>
      <c r="V543">
        <f>HYPERLINK("https://klasma.github.io/Logging_VASTERVIK/klagomål/A 15378-2022.docx")</f>
        <v/>
      </c>
      <c r="W543">
        <f>HYPERLINK("https://klasma.github.io/Logging_VASTERVIK/klagomålsmail/A 15378-2022.docx")</f>
        <v/>
      </c>
      <c r="X543">
        <f>HYPERLINK("https://klasma.github.io/Logging_VASTERVIK/tillsyn/A 15378-2022.docx")</f>
        <v/>
      </c>
      <c r="Y543">
        <f>HYPERLINK("https://klasma.github.io/Logging_VASTERVIK/tillsynsmail/A 15378-2022.docx")</f>
        <v/>
      </c>
    </row>
    <row r="544" ht="15" customHeight="1">
      <c r="A544" t="inlineStr">
        <is>
          <t>A 19384-2022</t>
        </is>
      </c>
      <c r="B544" s="1" t="n">
        <v>44692</v>
      </c>
      <c r="C544" s="1" t="n">
        <v>45175</v>
      </c>
      <c r="D544" t="inlineStr">
        <is>
          <t>KALMAR LÄN</t>
        </is>
      </c>
      <c r="E544" t="inlineStr">
        <is>
          <t>NYBRO</t>
        </is>
      </c>
      <c r="G544" t="n">
        <v>3.2</v>
      </c>
      <c r="H544" t="n">
        <v>0</v>
      </c>
      <c r="I544" t="n">
        <v>1</v>
      </c>
      <c r="J544" t="n">
        <v>0</v>
      </c>
      <c r="K544" t="n">
        <v>0</v>
      </c>
      <c r="L544" t="n">
        <v>0</v>
      </c>
      <c r="M544" t="n">
        <v>0</v>
      </c>
      <c r="N544" t="n">
        <v>0</v>
      </c>
      <c r="O544" t="n">
        <v>0</v>
      </c>
      <c r="P544" t="n">
        <v>0</v>
      </c>
      <c r="Q544" t="n">
        <v>1</v>
      </c>
      <c r="R544" s="2" t="inlineStr">
        <is>
          <t>Sotlav</t>
        </is>
      </c>
      <c r="S544">
        <f>HYPERLINK("https://klasma.github.io/Logging_NYBRO/artfynd/A 19384-2022.xlsx")</f>
        <v/>
      </c>
      <c r="T544">
        <f>HYPERLINK("https://klasma.github.io/Logging_NYBRO/kartor/A 19384-2022.png")</f>
        <v/>
      </c>
      <c r="V544">
        <f>HYPERLINK("https://klasma.github.io/Logging_NYBRO/klagomål/A 19384-2022.docx")</f>
        <v/>
      </c>
      <c r="W544">
        <f>HYPERLINK("https://klasma.github.io/Logging_NYBRO/klagomålsmail/A 19384-2022.docx")</f>
        <v/>
      </c>
      <c r="X544">
        <f>HYPERLINK("https://klasma.github.io/Logging_NYBRO/tillsyn/A 19384-2022.docx")</f>
        <v/>
      </c>
      <c r="Y544">
        <f>HYPERLINK("https://klasma.github.io/Logging_NYBRO/tillsynsmail/A 19384-2022.docx")</f>
        <v/>
      </c>
    </row>
    <row r="545" ht="15" customHeight="1">
      <c r="A545" t="inlineStr">
        <is>
          <t>A 19900-2022</t>
        </is>
      </c>
      <c r="B545" s="1" t="n">
        <v>44697</v>
      </c>
      <c r="C545" s="1" t="n">
        <v>45175</v>
      </c>
      <c r="D545" t="inlineStr">
        <is>
          <t>KALMAR LÄN</t>
        </is>
      </c>
      <c r="E545" t="inlineStr">
        <is>
          <t>VÄSTERVIK</t>
        </is>
      </c>
      <c r="G545" t="n">
        <v>2.4</v>
      </c>
      <c r="H545" t="n">
        <v>1</v>
      </c>
      <c r="I545" t="n">
        <v>0</v>
      </c>
      <c r="J545" t="n">
        <v>0</v>
      </c>
      <c r="K545" t="n">
        <v>1</v>
      </c>
      <c r="L545" t="n">
        <v>0</v>
      </c>
      <c r="M545" t="n">
        <v>0</v>
      </c>
      <c r="N545" t="n">
        <v>0</v>
      </c>
      <c r="O545" t="n">
        <v>1</v>
      </c>
      <c r="P545" t="n">
        <v>1</v>
      </c>
      <c r="Q545" t="n">
        <v>1</v>
      </c>
      <c r="R545" s="2" t="inlineStr">
        <is>
          <t>Knärot</t>
        </is>
      </c>
      <c r="S545">
        <f>HYPERLINK("https://klasma.github.io/Logging_VASTERVIK/artfynd/A 19900-2022.xlsx")</f>
        <v/>
      </c>
      <c r="T545">
        <f>HYPERLINK("https://klasma.github.io/Logging_VASTERVIK/kartor/A 19900-2022.png")</f>
        <v/>
      </c>
      <c r="U545">
        <f>HYPERLINK("https://klasma.github.io/Logging_VASTERVIK/knärot/A 19900-2022.png")</f>
        <v/>
      </c>
      <c r="V545">
        <f>HYPERLINK("https://klasma.github.io/Logging_VASTERVIK/klagomål/A 19900-2022.docx")</f>
        <v/>
      </c>
      <c r="W545">
        <f>HYPERLINK("https://klasma.github.io/Logging_VASTERVIK/klagomålsmail/A 19900-2022.docx")</f>
        <v/>
      </c>
      <c r="X545">
        <f>HYPERLINK("https://klasma.github.io/Logging_VASTERVIK/tillsyn/A 19900-2022.docx")</f>
        <v/>
      </c>
      <c r="Y545">
        <f>HYPERLINK("https://klasma.github.io/Logging_VASTERVIK/tillsynsmail/A 19900-2022.docx")</f>
        <v/>
      </c>
    </row>
    <row r="546" ht="15" customHeight="1">
      <c r="A546" t="inlineStr">
        <is>
          <t>A 24096-2022</t>
        </is>
      </c>
      <c r="B546" s="1" t="n">
        <v>44725</v>
      </c>
      <c r="C546" s="1" t="n">
        <v>45175</v>
      </c>
      <c r="D546" t="inlineStr">
        <is>
          <t>KALMAR LÄN</t>
        </is>
      </c>
      <c r="E546" t="inlineStr">
        <is>
          <t>BORGHOLM</t>
        </is>
      </c>
      <c r="G546" t="n">
        <v>1.9</v>
      </c>
      <c r="H546" t="n">
        <v>0</v>
      </c>
      <c r="I546" t="n">
        <v>1</v>
      </c>
      <c r="J546" t="n">
        <v>0</v>
      </c>
      <c r="K546" t="n">
        <v>0</v>
      </c>
      <c r="L546" t="n">
        <v>0</v>
      </c>
      <c r="M546" t="n">
        <v>0</v>
      </c>
      <c r="N546" t="n">
        <v>0</v>
      </c>
      <c r="O546" t="n">
        <v>0</v>
      </c>
      <c r="P546" t="n">
        <v>0</v>
      </c>
      <c r="Q546" t="n">
        <v>1</v>
      </c>
      <c r="R546" s="2" t="inlineStr">
        <is>
          <t>Sårläka</t>
        </is>
      </c>
      <c r="S546">
        <f>HYPERLINK("https://klasma.github.io/Logging_BORGHOLM/artfynd/A 24096-2022.xlsx")</f>
        <v/>
      </c>
      <c r="T546">
        <f>HYPERLINK("https://klasma.github.io/Logging_BORGHOLM/kartor/A 24096-2022.png")</f>
        <v/>
      </c>
      <c r="V546">
        <f>HYPERLINK("https://klasma.github.io/Logging_BORGHOLM/klagomål/A 24096-2022.docx")</f>
        <v/>
      </c>
      <c r="W546">
        <f>HYPERLINK("https://klasma.github.io/Logging_BORGHOLM/klagomålsmail/A 24096-2022.docx")</f>
        <v/>
      </c>
      <c r="X546">
        <f>HYPERLINK("https://klasma.github.io/Logging_BORGHOLM/tillsyn/A 24096-2022.docx")</f>
        <v/>
      </c>
      <c r="Y546">
        <f>HYPERLINK("https://klasma.github.io/Logging_BORGHOLM/tillsynsmail/A 24096-2022.docx")</f>
        <v/>
      </c>
    </row>
    <row r="547" ht="15" customHeight="1">
      <c r="A547" t="inlineStr">
        <is>
          <t>A 24437-2022</t>
        </is>
      </c>
      <c r="B547" s="1" t="n">
        <v>44726</v>
      </c>
      <c r="C547" s="1" t="n">
        <v>45175</v>
      </c>
      <c r="D547" t="inlineStr">
        <is>
          <t>KALMAR LÄN</t>
        </is>
      </c>
      <c r="E547" t="inlineStr">
        <is>
          <t>KALMAR</t>
        </is>
      </c>
      <c r="G547" t="n">
        <v>21.2</v>
      </c>
      <c r="H547" t="n">
        <v>0</v>
      </c>
      <c r="I547" t="n">
        <v>0</v>
      </c>
      <c r="J547" t="n">
        <v>1</v>
      </c>
      <c r="K547" t="n">
        <v>0</v>
      </c>
      <c r="L547" t="n">
        <v>0</v>
      </c>
      <c r="M547" t="n">
        <v>0</v>
      </c>
      <c r="N547" t="n">
        <v>0</v>
      </c>
      <c r="O547" t="n">
        <v>1</v>
      </c>
      <c r="P547" t="n">
        <v>0</v>
      </c>
      <c r="Q547" t="n">
        <v>1</v>
      </c>
      <c r="R547" s="2" t="inlineStr">
        <is>
          <t>Paddfot</t>
        </is>
      </c>
      <c r="S547">
        <f>HYPERLINK("https://klasma.github.io/Logging_KALMAR/artfynd/A 24437-2022.xlsx")</f>
        <v/>
      </c>
      <c r="T547">
        <f>HYPERLINK("https://klasma.github.io/Logging_KALMAR/kartor/A 24437-2022.png")</f>
        <v/>
      </c>
      <c r="V547">
        <f>HYPERLINK("https://klasma.github.io/Logging_KALMAR/klagomål/A 24437-2022.docx")</f>
        <v/>
      </c>
      <c r="W547">
        <f>HYPERLINK("https://klasma.github.io/Logging_KALMAR/klagomålsmail/A 24437-2022.docx")</f>
        <v/>
      </c>
      <c r="X547">
        <f>HYPERLINK("https://klasma.github.io/Logging_KALMAR/tillsyn/A 24437-2022.docx")</f>
        <v/>
      </c>
      <c r="Y547">
        <f>HYPERLINK("https://klasma.github.io/Logging_KALMAR/tillsynsmail/A 24437-2022.docx")</f>
        <v/>
      </c>
    </row>
    <row r="548" ht="15" customHeight="1">
      <c r="A548" t="inlineStr">
        <is>
          <t>A 26056-2022</t>
        </is>
      </c>
      <c r="B548" s="1" t="n">
        <v>44734</v>
      </c>
      <c r="C548" s="1" t="n">
        <v>45175</v>
      </c>
      <c r="D548" t="inlineStr">
        <is>
          <t>KALMAR LÄN</t>
        </is>
      </c>
      <c r="E548" t="inlineStr">
        <is>
          <t>VÄSTERVIK</t>
        </is>
      </c>
      <c r="G548" t="n">
        <v>1.1</v>
      </c>
      <c r="H548" t="n">
        <v>0</v>
      </c>
      <c r="I548" t="n">
        <v>0</v>
      </c>
      <c r="J548" t="n">
        <v>1</v>
      </c>
      <c r="K548" t="n">
        <v>0</v>
      </c>
      <c r="L548" t="n">
        <v>0</v>
      </c>
      <c r="M548" t="n">
        <v>0</v>
      </c>
      <c r="N548" t="n">
        <v>0</v>
      </c>
      <c r="O548" t="n">
        <v>1</v>
      </c>
      <c r="P548" t="n">
        <v>0</v>
      </c>
      <c r="Q548" t="n">
        <v>1</v>
      </c>
      <c r="R548" s="2" t="inlineStr">
        <is>
          <t>Slåtterfibbla</t>
        </is>
      </c>
      <c r="S548">
        <f>HYPERLINK("https://klasma.github.io/Logging_VASTERVIK/artfynd/A 26056-2022.xlsx")</f>
        <v/>
      </c>
      <c r="T548">
        <f>HYPERLINK("https://klasma.github.io/Logging_VASTERVIK/kartor/A 26056-2022.png")</f>
        <v/>
      </c>
      <c r="V548">
        <f>HYPERLINK("https://klasma.github.io/Logging_VASTERVIK/klagomål/A 26056-2022.docx")</f>
        <v/>
      </c>
      <c r="W548">
        <f>HYPERLINK("https://klasma.github.io/Logging_VASTERVIK/klagomålsmail/A 26056-2022.docx")</f>
        <v/>
      </c>
      <c r="X548">
        <f>HYPERLINK("https://klasma.github.io/Logging_VASTERVIK/tillsyn/A 26056-2022.docx")</f>
        <v/>
      </c>
      <c r="Y548">
        <f>HYPERLINK("https://klasma.github.io/Logging_VASTERVIK/tillsynsmail/A 26056-2022.docx")</f>
        <v/>
      </c>
    </row>
    <row r="549" ht="15" customHeight="1">
      <c r="A549" t="inlineStr">
        <is>
          <t>A 30597-2022</t>
        </is>
      </c>
      <c r="B549" s="1" t="n">
        <v>44762</v>
      </c>
      <c r="C549" s="1" t="n">
        <v>45175</v>
      </c>
      <c r="D549" t="inlineStr">
        <is>
          <t>KALMAR LÄN</t>
        </is>
      </c>
      <c r="E549" t="inlineStr">
        <is>
          <t>EMMABODA</t>
        </is>
      </c>
      <c r="G549" t="n">
        <v>0.9</v>
      </c>
      <c r="H549" t="n">
        <v>1</v>
      </c>
      <c r="I549" t="n">
        <v>0</v>
      </c>
      <c r="J549" t="n">
        <v>0</v>
      </c>
      <c r="K549" t="n">
        <v>0</v>
      </c>
      <c r="L549" t="n">
        <v>0</v>
      </c>
      <c r="M549" t="n">
        <v>0</v>
      </c>
      <c r="N549" t="n">
        <v>0</v>
      </c>
      <c r="O549" t="n">
        <v>0</v>
      </c>
      <c r="P549" t="n">
        <v>0</v>
      </c>
      <c r="Q549" t="n">
        <v>1</v>
      </c>
      <c r="R549" s="2" t="inlineStr">
        <is>
          <t>Hasselmus</t>
        </is>
      </c>
      <c r="S549">
        <f>HYPERLINK("https://klasma.github.io/Logging_EMMABODA/artfynd/A 30597-2022.xlsx")</f>
        <v/>
      </c>
      <c r="T549">
        <f>HYPERLINK("https://klasma.github.io/Logging_EMMABODA/kartor/A 30597-2022.png")</f>
        <v/>
      </c>
      <c r="V549">
        <f>HYPERLINK("https://klasma.github.io/Logging_EMMABODA/klagomål/A 30597-2022.docx")</f>
        <v/>
      </c>
      <c r="W549">
        <f>HYPERLINK("https://klasma.github.io/Logging_EMMABODA/klagomålsmail/A 30597-2022.docx")</f>
        <v/>
      </c>
      <c r="X549">
        <f>HYPERLINK("https://klasma.github.io/Logging_EMMABODA/tillsyn/A 30597-2022.docx")</f>
        <v/>
      </c>
      <c r="Y549">
        <f>HYPERLINK("https://klasma.github.io/Logging_EMMABODA/tillsynsmail/A 30597-2022.docx")</f>
        <v/>
      </c>
    </row>
    <row r="550" ht="15" customHeight="1">
      <c r="A550" t="inlineStr">
        <is>
          <t>A 31295-2022</t>
        </is>
      </c>
      <c r="B550" s="1" t="n">
        <v>44772</v>
      </c>
      <c r="C550" s="1" t="n">
        <v>45175</v>
      </c>
      <c r="D550" t="inlineStr">
        <is>
          <t>KALMAR LÄN</t>
        </is>
      </c>
      <c r="E550" t="inlineStr">
        <is>
          <t>BORGHOLM</t>
        </is>
      </c>
      <c r="F550" t="inlineStr">
        <is>
          <t>Sveaskog</t>
        </is>
      </c>
      <c r="G550" t="n">
        <v>6.1</v>
      </c>
      <c r="H550" t="n">
        <v>0</v>
      </c>
      <c r="I550" t="n">
        <v>0</v>
      </c>
      <c r="J550" t="n">
        <v>0</v>
      </c>
      <c r="K550" t="n">
        <v>0</v>
      </c>
      <c r="L550" t="n">
        <v>1</v>
      </c>
      <c r="M550" t="n">
        <v>0</v>
      </c>
      <c r="N550" t="n">
        <v>0</v>
      </c>
      <c r="O550" t="n">
        <v>1</v>
      </c>
      <c r="P550" t="n">
        <v>1</v>
      </c>
      <c r="Q550" t="n">
        <v>1</v>
      </c>
      <c r="R550" s="2" t="inlineStr">
        <is>
          <t>Skärrande gräshoppa</t>
        </is>
      </c>
      <c r="S550">
        <f>HYPERLINK("https://klasma.github.io/Logging_BORGHOLM/artfynd/A 31295-2022.xlsx")</f>
        <v/>
      </c>
      <c r="T550">
        <f>HYPERLINK("https://klasma.github.io/Logging_BORGHOLM/kartor/A 31295-2022.png")</f>
        <v/>
      </c>
      <c r="V550">
        <f>HYPERLINK("https://klasma.github.io/Logging_BORGHOLM/klagomål/A 31295-2022.docx")</f>
        <v/>
      </c>
      <c r="W550">
        <f>HYPERLINK("https://klasma.github.io/Logging_BORGHOLM/klagomålsmail/A 31295-2022.docx")</f>
        <v/>
      </c>
      <c r="X550">
        <f>HYPERLINK("https://klasma.github.io/Logging_BORGHOLM/tillsyn/A 31295-2022.docx")</f>
        <v/>
      </c>
      <c r="Y550">
        <f>HYPERLINK("https://klasma.github.io/Logging_BORGHOLM/tillsynsmail/A 31295-2022.docx")</f>
        <v/>
      </c>
    </row>
    <row r="551" ht="15" customHeight="1">
      <c r="A551" t="inlineStr">
        <is>
          <t>A 32030-2022</t>
        </is>
      </c>
      <c r="B551" s="1" t="n">
        <v>44778</v>
      </c>
      <c r="C551" s="1" t="n">
        <v>45175</v>
      </c>
      <c r="D551" t="inlineStr">
        <is>
          <t>KALMAR LÄN</t>
        </is>
      </c>
      <c r="E551" t="inlineStr">
        <is>
          <t>OSKARSHAMN</t>
        </is>
      </c>
      <c r="G551" t="n">
        <v>2.4</v>
      </c>
      <c r="H551" t="n">
        <v>1</v>
      </c>
      <c r="I551" t="n">
        <v>0</v>
      </c>
      <c r="J551" t="n">
        <v>0</v>
      </c>
      <c r="K551" t="n">
        <v>0</v>
      </c>
      <c r="L551" t="n">
        <v>0</v>
      </c>
      <c r="M551" t="n">
        <v>0</v>
      </c>
      <c r="N551" t="n">
        <v>0</v>
      </c>
      <c r="O551" t="n">
        <v>0</v>
      </c>
      <c r="P551" t="n">
        <v>0</v>
      </c>
      <c r="Q551" t="n">
        <v>1</v>
      </c>
      <c r="R551" s="2" t="inlineStr">
        <is>
          <t>Blåsippa</t>
        </is>
      </c>
      <c r="S551">
        <f>HYPERLINK("https://klasma.github.io/Logging_OSKARSHAMN/artfynd/A 32030-2022.xlsx")</f>
        <v/>
      </c>
      <c r="T551">
        <f>HYPERLINK("https://klasma.github.io/Logging_OSKARSHAMN/kartor/A 32030-2022.png")</f>
        <v/>
      </c>
      <c r="V551">
        <f>HYPERLINK("https://klasma.github.io/Logging_OSKARSHAMN/klagomål/A 32030-2022.docx")</f>
        <v/>
      </c>
      <c r="W551">
        <f>HYPERLINK("https://klasma.github.io/Logging_OSKARSHAMN/klagomålsmail/A 32030-2022.docx")</f>
        <v/>
      </c>
      <c r="X551">
        <f>HYPERLINK("https://klasma.github.io/Logging_OSKARSHAMN/tillsyn/A 32030-2022.docx")</f>
        <v/>
      </c>
      <c r="Y551">
        <f>HYPERLINK("https://klasma.github.io/Logging_OSKARSHAMN/tillsynsmail/A 32030-2022.docx")</f>
        <v/>
      </c>
    </row>
    <row r="552" ht="15" customHeight="1">
      <c r="A552" t="inlineStr">
        <is>
          <t>A 33241-2022</t>
        </is>
      </c>
      <c r="B552" s="1" t="n">
        <v>44786</v>
      </c>
      <c r="C552" s="1" t="n">
        <v>45175</v>
      </c>
      <c r="D552" t="inlineStr">
        <is>
          <t>KALMAR LÄN</t>
        </is>
      </c>
      <c r="E552" t="inlineStr">
        <is>
          <t>OSKARSHAMN</t>
        </is>
      </c>
      <c r="G552" t="n">
        <v>3</v>
      </c>
      <c r="H552" t="n">
        <v>0</v>
      </c>
      <c r="I552" t="n">
        <v>1</v>
      </c>
      <c r="J552" t="n">
        <v>0</v>
      </c>
      <c r="K552" t="n">
        <v>0</v>
      </c>
      <c r="L552" t="n">
        <v>0</v>
      </c>
      <c r="M552" t="n">
        <v>0</v>
      </c>
      <c r="N552" t="n">
        <v>0</v>
      </c>
      <c r="O552" t="n">
        <v>0</v>
      </c>
      <c r="P552" t="n">
        <v>0</v>
      </c>
      <c r="Q552" t="n">
        <v>1</v>
      </c>
      <c r="R552" s="2" t="inlineStr">
        <is>
          <t>Fällmossa</t>
        </is>
      </c>
      <c r="S552">
        <f>HYPERLINK("https://klasma.github.io/Logging_OSKARSHAMN/artfynd/A 33241-2022.xlsx")</f>
        <v/>
      </c>
      <c r="T552">
        <f>HYPERLINK("https://klasma.github.io/Logging_OSKARSHAMN/kartor/A 33241-2022.png")</f>
        <v/>
      </c>
      <c r="V552">
        <f>HYPERLINK("https://klasma.github.io/Logging_OSKARSHAMN/klagomål/A 33241-2022.docx")</f>
        <v/>
      </c>
      <c r="W552">
        <f>HYPERLINK("https://klasma.github.io/Logging_OSKARSHAMN/klagomålsmail/A 33241-2022.docx")</f>
        <v/>
      </c>
      <c r="X552">
        <f>HYPERLINK("https://klasma.github.io/Logging_OSKARSHAMN/tillsyn/A 33241-2022.docx")</f>
        <v/>
      </c>
      <c r="Y552">
        <f>HYPERLINK("https://klasma.github.io/Logging_OSKARSHAMN/tillsynsmail/A 33241-2022.docx")</f>
        <v/>
      </c>
    </row>
    <row r="553" ht="15" customHeight="1">
      <c r="A553" t="inlineStr">
        <is>
          <t>A 34081-2022</t>
        </is>
      </c>
      <c r="B553" s="1" t="n">
        <v>44791</v>
      </c>
      <c r="C553" s="1" t="n">
        <v>45175</v>
      </c>
      <c r="D553" t="inlineStr">
        <is>
          <t>KALMAR LÄN</t>
        </is>
      </c>
      <c r="E553" t="inlineStr">
        <is>
          <t>MÖNSTERÅS</t>
        </is>
      </c>
      <c r="G553" t="n">
        <v>1.9</v>
      </c>
      <c r="H553" t="n">
        <v>1</v>
      </c>
      <c r="I553" t="n">
        <v>0</v>
      </c>
      <c r="J553" t="n">
        <v>0</v>
      </c>
      <c r="K553" t="n">
        <v>1</v>
      </c>
      <c r="L553" t="n">
        <v>0</v>
      </c>
      <c r="M553" t="n">
        <v>0</v>
      </c>
      <c r="N553" t="n">
        <v>0</v>
      </c>
      <c r="O553" t="n">
        <v>1</v>
      </c>
      <c r="P553" t="n">
        <v>1</v>
      </c>
      <c r="Q553" t="n">
        <v>1</v>
      </c>
      <c r="R553" s="2" t="inlineStr">
        <is>
          <t>Knärot</t>
        </is>
      </c>
      <c r="S553">
        <f>HYPERLINK("https://klasma.github.io/Logging_MONSTERAS/artfynd/A 34081-2022.xlsx")</f>
        <v/>
      </c>
      <c r="T553">
        <f>HYPERLINK("https://klasma.github.io/Logging_MONSTERAS/kartor/A 34081-2022.png")</f>
        <v/>
      </c>
      <c r="U553">
        <f>HYPERLINK("https://klasma.github.io/Logging_MONSTERAS/knärot/A 34081-2022.png")</f>
        <v/>
      </c>
      <c r="V553">
        <f>HYPERLINK("https://klasma.github.io/Logging_MONSTERAS/klagomål/A 34081-2022.docx")</f>
        <v/>
      </c>
      <c r="W553">
        <f>HYPERLINK("https://klasma.github.io/Logging_MONSTERAS/klagomålsmail/A 34081-2022.docx")</f>
        <v/>
      </c>
      <c r="X553">
        <f>HYPERLINK("https://klasma.github.io/Logging_MONSTERAS/tillsyn/A 34081-2022.docx")</f>
        <v/>
      </c>
      <c r="Y553">
        <f>HYPERLINK("https://klasma.github.io/Logging_MONSTERAS/tillsynsmail/A 34081-2022.docx")</f>
        <v/>
      </c>
    </row>
    <row r="554" ht="15" customHeight="1">
      <c r="A554" t="inlineStr">
        <is>
          <t>A 36625-2022</t>
        </is>
      </c>
      <c r="B554" s="1" t="n">
        <v>44804</v>
      </c>
      <c r="C554" s="1" t="n">
        <v>45175</v>
      </c>
      <c r="D554" t="inlineStr">
        <is>
          <t>KALMAR LÄN</t>
        </is>
      </c>
      <c r="E554" t="inlineStr">
        <is>
          <t>TORSÅS</t>
        </is>
      </c>
      <c r="G554" t="n">
        <v>7.5</v>
      </c>
      <c r="H554" t="n">
        <v>0</v>
      </c>
      <c r="I554" t="n">
        <v>1</v>
      </c>
      <c r="J554" t="n">
        <v>0</v>
      </c>
      <c r="K554" t="n">
        <v>0</v>
      </c>
      <c r="L554" t="n">
        <v>0</v>
      </c>
      <c r="M554" t="n">
        <v>0</v>
      </c>
      <c r="N554" t="n">
        <v>0</v>
      </c>
      <c r="O554" t="n">
        <v>0</v>
      </c>
      <c r="P554" t="n">
        <v>0</v>
      </c>
      <c r="Q554" t="n">
        <v>1</v>
      </c>
      <c r="R554" s="2" t="inlineStr">
        <is>
          <t>Stor revmossa</t>
        </is>
      </c>
      <c r="S554">
        <f>HYPERLINK("https://klasma.github.io/Logging_TORSAS/artfynd/A 36625-2022.xlsx")</f>
        <v/>
      </c>
      <c r="T554">
        <f>HYPERLINK("https://klasma.github.io/Logging_TORSAS/kartor/A 36625-2022.png")</f>
        <v/>
      </c>
      <c r="V554">
        <f>HYPERLINK("https://klasma.github.io/Logging_TORSAS/klagomål/A 36625-2022.docx")</f>
        <v/>
      </c>
      <c r="W554">
        <f>HYPERLINK("https://klasma.github.io/Logging_TORSAS/klagomålsmail/A 36625-2022.docx")</f>
        <v/>
      </c>
      <c r="X554">
        <f>HYPERLINK("https://klasma.github.io/Logging_TORSAS/tillsyn/A 36625-2022.docx")</f>
        <v/>
      </c>
      <c r="Y554">
        <f>HYPERLINK("https://klasma.github.io/Logging_TORSAS/tillsynsmail/A 36625-2022.docx")</f>
        <v/>
      </c>
    </row>
    <row r="555" ht="15" customHeight="1">
      <c r="A555" t="inlineStr">
        <is>
          <t>A 39199-2022</t>
        </is>
      </c>
      <c r="B555" s="1" t="n">
        <v>44817</v>
      </c>
      <c r="C555" s="1" t="n">
        <v>45175</v>
      </c>
      <c r="D555" t="inlineStr">
        <is>
          <t>KALMAR LÄN</t>
        </is>
      </c>
      <c r="E555" t="inlineStr">
        <is>
          <t>MÖNSTERÅS</t>
        </is>
      </c>
      <c r="G555" t="n">
        <v>5.2</v>
      </c>
      <c r="H555" t="n">
        <v>0</v>
      </c>
      <c r="I555" t="n">
        <v>0</v>
      </c>
      <c r="J555" t="n">
        <v>0</v>
      </c>
      <c r="K555" t="n">
        <v>0</v>
      </c>
      <c r="L555" t="n">
        <v>1</v>
      </c>
      <c r="M555" t="n">
        <v>0</v>
      </c>
      <c r="N555" t="n">
        <v>0</v>
      </c>
      <c r="O555" t="n">
        <v>1</v>
      </c>
      <c r="P555" t="n">
        <v>1</v>
      </c>
      <c r="Q555" t="n">
        <v>1</v>
      </c>
      <c r="R555" s="2" t="inlineStr">
        <is>
          <t>Ask</t>
        </is>
      </c>
      <c r="S555">
        <f>HYPERLINK("https://klasma.github.io/Logging_MONSTERAS/artfynd/A 39199-2022.xlsx")</f>
        <v/>
      </c>
      <c r="T555">
        <f>HYPERLINK("https://klasma.github.io/Logging_MONSTERAS/kartor/A 39199-2022.png")</f>
        <v/>
      </c>
      <c r="V555">
        <f>HYPERLINK("https://klasma.github.io/Logging_MONSTERAS/klagomål/A 39199-2022.docx")</f>
        <v/>
      </c>
      <c r="W555">
        <f>HYPERLINK("https://klasma.github.io/Logging_MONSTERAS/klagomålsmail/A 39199-2022.docx")</f>
        <v/>
      </c>
      <c r="X555">
        <f>HYPERLINK("https://klasma.github.io/Logging_MONSTERAS/tillsyn/A 39199-2022.docx")</f>
        <v/>
      </c>
      <c r="Y555">
        <f>HYPERLINK("https://klasma.github.io/Logging_MONSTERAS/tillsynsmail/A 39199-2022.docx")</f>
        <v/>
      </c>
    </row>
    <row r="556" ht="15" customHeight="1">
      <c r="A556" t="inlineStr">
        <is>
          <t>A 40258-2022</t>
        </is>
      </c>
      <c r="B556" s="1" t="n">
        <v>44820</v>
      </c>
      <c r="C556" s="1" t="n">
        <v>45175</v>
      </c>
      <c r="D556" t="inlineStr">
        <is>
          <t>KALMAR LÄN</t>
        </is>
      </c>
      <c r="E556" t="inlineStr">
        <is>
          <t>OSKARSHAMN</t>
        </is>
      </c>
      <c r="G556" t="n">
        <v>2.8</v>
      </c>
      <c r="H556" t="n">
        <v>0</v>
      </c>
      <c r="I556" t="n">
        <v>0</v>
      </c>
      <c r="J556" t="n">
        <v>1</v>
      </c>
      <c r="K556" t="n">
        <v>0</v>
      </c>
      <c r="L556" t="n">
        <v>0</v>
      </c>
      <c r="M556" t="n">
        <v>0</v>
      </c>
      <c r="N556" t="n">
        <v>0</v>
      </c>
      <c r="O556" t="n">
        <v>1</v>
      </c>
      <c r="P556" t="n">
        <v>0</v>
      </c>
      <c r="Q556" t="n">
        <v>1</v>
      </c>
      <c r="R556" s="2" t="inlineStr">
        <is>
          <t>Orange taggsvamp</t>
        </is>
      </c>
      <c r="S556">
        <f>HYPERLINK("https://klasma.github.io/Logging_OSKARSHAMN/artfynd/A 40258-2022.xlsx")</f>
        <v/>
      </c>
      <c r="T556">
        <f>HYPERLINK("https://klasma.github.io/Logging_OSKARSHAMN/kartor/A 40258-2022.png")</f>
        <v/>
      </c>
      <c r="V556">
        <f>HYPERLINK("https://klasma.github.io/Logging_OSKARSHAMN/klagomål/A 40258-2022.docx")</f>
        <v/>
      </c>
      <c r="W556">
        <f>HYPERLINK("https://klasma.github.io/Logging_OSKARSHAMN/klagomålsmail/A 40258-2022.docx")</f>
        <v/>
      </c>
      <c r="X556">
        <f>HYPERLINK("https://klasma.github.io/Logging_OSKARSHAMN/tillsyn/A 40258-2022.docx")</f>
        <v/>
      </c>
      <c r="Y556">
        <f>HYPERLINK("https://klasma.github.io/Logging_OSKARSHAMN/tillsynsmail/A 40258-2022.docx")</f>
        <v/>
      </c>
    </row>
    <row r="557" ht="15" customHeight="1">
      <c r="A557" t="inlineStr">
        <is>
          <t>A 40924-2022</t>
        </is>
      </c>
      <c r="B557" s="1" t="n">
        <v>44825</v>
      </c>
      <c r="C557" s="1" t="n">
        <v>45175</v>
      </c>
      <c r="D557" t="inlineStr">
        <is>
          <t>KALMAR LÄN</t>
        </is>
      </c>
      <c r="E557" t="inlineStr">
        <is>
          <t>VÄSTERVIK</t>
        </is>
      </c>
      <c r="F557" t="inlineStr">
        <is>
          <t>Sveaskog</t>
        </is>
      </c>
      <c r="G557" t="n">
        <v>0.5</v>
      </c>
      <c r="H557" t="n">
        <v>1</v>
      </c>
      <c r="I557" t="n">
        <v>0</v>
      </c>
      <c r="J557" t="n">
        <v>1</v>
      </c>
      <c r="K557" t="n">
        <v>0</v>
      </c>
      <c r="L557" t="n">
        <v>0</v>
      </c>
      <c r="M557" t="n">
        <v>0</v>
      </c>
      <c r="N557" t="n">
        <v>0</v>
      </c>
      <c r="O557" t="n">
        <v>1</v>
      </c>
      <c r="P557" t="n">
        <v>0</v>
      </c>
      <c r="Q557" t="n">
        <v>1</v>
      </c>
      <c r="R557" s="2" t="inlineStr">
        <is>
          <t>Barbastell</t>
        </is>
      </c>
      <c r="S557">
        <f>HYPERLINK("https://klasma.github.io/Logging_VASTERVIK/artfynd/A 40924-2022.xlsx")</f>
        <v/>
      </c>
      <c r="T557">
        <f>HYPERLINK("https://klasma.github.io/Logging_VASTERVIK/kartor/A 40924-2022.png")</f>
        <v/>
      </c>
      <c r="V557">
        <f>HYPERLINK("https://klasma.github.io/Logging_VASTERVIK/klagomål/A 40924-2022.docx")</f>
        <v/>
      </c>
      <c r="W557">
        <f>HYPERLINK("https://klasma.github.io/Logging_VASTERVIK/klagomålsmail/A 40924-2022.docx")</f>
        <v/>
      </c>
      <c r="X557">
        <f>HYPERLINK("https://klasma.github.io/Logging_VASTERVIK/tillsyn/A 40924-2022.docx")</f>
        <v/>
      </c>
      <c r="Y557">
        <f>HYPERLINK("https://klasma.github.io/Logging_VASTERVIK/tillsynsmail/A 40924-2022.docx")</f>
        <v/>
      </c>
    </row>
    <row r="558" ht="15" customHeight="1">
      <c r="A558" t="inlineStr">
        <is>
          <t>A 41879-2022</t>
        </is>
      </c>
      <c r="B558" s="1" t="n">
        <v>44827</v>
      </c>
      <c r="C558" s="1" t="n">
        <v>45175</v>
      </c>
      <c r="D558" t="inlineStr">
        <is>
          <t>KALMAR LÄN</t>
        </is>
      </c>
      <c r="E558" t="inlineStr">
        <is>
          <t>MÖNSTERÅS</t>
        </is>
      </c>
      <c r="F558" t="inlineStr">
        <is>
          <t>Kyrkan</t>
        </is>
      </c>
      <c r="G558" t="n">
        <v>1</v>
      </c>
      <c r="H558" t="n">
        <v>0</v>
      </c>
      <c r="I558" t="n">
        <v>0</v>
      </c>
      <c r="J558" t="n">
        <v>1</v>
      </c>
      <c r="K558" t="n">
        <v>0</v>
      </c>
      <c r="L558" t="n">
        <v>0</v>
      </c>
      <c r="M558" t="n">
        <v>0</v>
      </c>
      <c r="N558" t="n">
        <v>0</v>
      </c>
      <c r="O558" t="n">
        <v>1</v>
      </c>
      <c r="P558" t="n">
        <v>0</v>
      </c>
      <c r="Q558" t="n">
        <v>1</v>
      </c>
      <c r="R558" s="2" t="inlineStr">
        <is>
          <t>Brunag</t>
        </is>
      </c>
      <c r="S558">
        <f>HYPERLINK("https://klasma.github.io/Logging_MONSTERAS/artfynd/A 41879-2022.xlsx")</f>
        <v/>
      </c>
      <c r="T558">
        <f>HYPERLINK("https://klasma.github.io/Logging_MONSTERAS/kartor/A 41879-2022.png")</f>
        <v/>
      </c>
      <c r="V558">
        <f>HYPERLINK("https://klasma.github.io/Logging_MONSTERAS/klagomål/A 41879-2022.docx")</f>
        <v/>
      </c>
      <c r="W558">
        <f>HYPERLINK("https://klasma.github.io/Logging_MONSTERAS/klagomålsmail/A 41879-2022.docx")</f>
        <v/>
      </c>
      <c r="X558">
        <f>HYPERLINK("https://klasma.github.io/Logging_MONSTERAS/tillsyn/A 41879-2022.docx")</f>
        <v/>
      </c>
      <c r="Y558">
        <f>HYPERLINK("https://klasma.github.io/Logging_MONSTERAS/tillsynsmail/A 41879-2022.docx")</f>
        <v/>
      </c>
    </row>
    <row r="559" ht="15" customHeight="1">
      <c r="A559" t="inlineStr">
        <is>
          <t>A 42052-2022</t>
        </is>
      </c>
      <c r="B559" s="1" t="n">
        <v>44830</v>
      </c>
      <c r="C559" s="1" t="n">
        <v>45175</v>
      </c>
      <c r="D559" t="inlineStr">
        <is>
          <t>KALMAR LÄN</t>
        </is>
      </c>
      <c r="E559" t="inlineStr">
        <is>
          <t>KALMAR</t>
        </is>
      </c>
      <c r="G559" t="n">
        <v>5.1</v>
      </c>
      <c r="H559" t="n">
        <v>1</v>
      </c>
      <c r="I559" t="n">
        <v>0</v>
      </c>
      <c r="J559" t="n">
        <v>0</v>
      </c>
      <c r="K559" t="n">
        <v>0</v>
      </c>
      <c r="L559" t="n">
        <v>0</v>
      </c>
      <c r="M559" t="n">
        <v>0</v>
      </c>
      <c r="N559" t="n">
        <v>0</v>
      </c>
      <c r="O559" t="n">
        <v>0</v>
      </c>
      <c r="P559" t="n">
        <v>0</v>
      </c>
      <c r="Q559" t="n">
        <v>1</v>
      </c>
      <c r="R559" s="2" t="inlineStr">
        <is>
          <t>Brudsporre</t>
        </is>
      </c>
      <c r="S559">
        <f>HYPERLINK("https://klasma.github.io/Logging_KALMAR/artfynd/A 42052-2022.xlsx")</f>
        <v/>
      </c>
      <c r="T559">
        <f>HYPERLINK("https://klasma.github.io/Logging_KALMAR/kartor/A 42052-2022.png")</f>
        <v/>
      </c>
      <c r="V559">
        <f>HYPERLINK("https://klasma.github.io/Logging_KALMAR/klagomål/A 42052-2022.docx")</f>
        <v/>
      </c>
      <c r="W559">
        <f>HYPERLINK("https://klasma.github.io/Logging_KALMAR/klagomålsmail/A 42052-2022.docx")</f>
        <v/>
      </c>
      <c r="X559">
        <f>HYPERLINK("https://klasma.github.io/Logging_KALMAR/tillsyn/A 42052-2022.docx")</f>
        <v/>
      </c>
      <c r="Y559">
        <f>HYPERLINK("https://klasma.github.io/Logging_KALMAR/tillsynsmail/A 42052-2022.docx")</f>
        <v/>
      </c>
    </row>
    <row r="560" ht="15" customHeight="1">
      <c r="A560" t="inlineStr">
        <is>
          <t>A 46556-2022</t>
        </is>
      </c>
      <c r="B560" s="1" t="n">
        <v>44848</v>
      </c>
      <c r="C560" s="1" t="n">
        <v>45175</v>
      </c>
      <c r="D560" t="inlineStr">
        <is>
          <t>KALMAR LÄN</t>
        </is>
      </c>
      <c r="E560" t="inlineStr">
        <is>
          <t>VÄSTERVIK</t>
        </is>
      </c>
      <c r="F560" t="inlineStr">
        <is>
          <t>Sveaskog</t>
        </is>
      </c>
      <c r="G560" t="n">
        <v>1.5</v>
      </c>
      <c r="H560" t="n">
        <v>0</v>
      </c>
      <c r="I560" t="n">
        <v>1</v>
      </c>
      <c r="J560" t="n">
        <v>0</v>
      </c>
      <c r="K560" t="n">
        <v>0</v>
      </c>
      <c r="L560" t="n">
        <v>0</v>
      </c>
      <c r="M560" t="n">
        <v>0</v>
      </c>
      <c r="N560" t="n">
        <v>0</v>
      </c>
      <c r="O560" t="n">
        <v>0</v>
      </c>
      <c r="P560" t="n">
        <v>0</v>
      </c>
      <c r="Q560" t="n">
        <v>1</v>
      </c>
      <c r="R560" s="2" t="inlineStr">
        <is>
          <t>Fjällig taggsvamp s.str.</t>
        </is>
      </c>
      <c r="S560">
        <f>HYPERLINK("https://klasma.github.io/Logging_VASTERVIK/artfynd/A 46556-2022.xlsx")</f>
        <v/>
      </c>
      <c r="T560">
        <f>HYPERLINK("https://klasma.github.io/Logging_VASTERVIK/kartor/A 46556-2022.png")</f>
        <v/>
      </c>
      <c r="V560">
        <f>HYPERLINK("https://klasma.github.io/Logging_VASTERVIK/klagomål/A 46556-2022.docx")</f>
        <v/>
      </c>
      <c r="W560">
        <f>HYPERLINK("https://klasma.github.io/Logging_VASTERVIK/klagomålsmail/A 46556-2022.docx")</f>
        <v/>
      </c>
      <c r="X560">
        <f>HYPERLINK("https://klasma.github.io/Logging_VASTERVIK/tillsyn/A 46556-2022.docx")</f>
        <v/>
      </c>
      <c r="Y560">
        <f>HYPERLINK("https://klasma.github.io/Logging_VASTERVIK/tillsynsmail/A 46556-2022.docx")</f>
        <v/>
      </c>
    </row>
    <row r="561" ht="15" customHeight="1">
      <c r="A561" t="inlineStr">
        <is>
          <t>A 46559-2022</t>
        </is>
      </c>
      <c r="B561" s="1" t="n">
        <v>44848</v>
      </c>
      <c r="C561" s="1" t="n">
        <v>45175</v>
      </c>
      <c r="D561" t="inlineStr">
        <is>
          <t>KALMAR LÄN</t>
        </is>
      </c>
      <c r="E561" t="inlineStr">
        <is>
          <t>VÄSTERVIK</t>
        </is>
      </c>
      <c r="F561" t="inlineStr">
        <is>
          <t>Sveaskog</t>
        </is>
      </c>
      <c r="G561" t="n">
        <v>2.2</v>
      </c>
      <c r="H561" t="n">
        <v>1</v>
      </c>
      <c r="I561" t="n">
        <v>0</v>
      </c>
      <c r="J561" t="n">
        <v>0</v>
      </c>
      <c r="K561" t="n">
        <v>0</v>
      </c>
      <c r="L561" t="n">
        <v>0</v>
      </c>
      <c r="M561" t="n">
        <v>0</v>
      </c>
      <c r="N561" t="n">
        <v>0</v>
      </c>
      <c r="O561" t="n">
        <v>0</v>
      </c>
      <c r="P561" t="n">
        <v>0</v>
      </c>
      <c r="Q561" t="n">
        <v>1</v>
      </c>
      <c r="R561" s="2" t="inlineStr">
        <is>
          <t>Blåsippa</t>
        </is>
      </c>
      <c r="S561">
        <f>HYPERLINK("https://klasma.github.io/Logging_VASTERVIK/artfynd/A 46559-2022.xlsx")</f>
        <v/>
      </c>
      <c r="T561">
        <f>HYPERLINK("https://klasma.github.io/Logging_VASTERVIK/kartor/A 46559-2022.png")</f>
        <v/>
      </c>
      <c r="V561">
        <f>HYPERLINK("https://klasma.github.io/Logging_VASTERVIK/klagomål/A 46559-2022.docx")</f>
        <v/>
      </c>
      <c r="W561">
        <f>HYPERLINK("https://klasma.github.io/Logging_VASTERVIK/klagomålsmail/A 46559-2022.docx")</f>
        <v/>
      </c>
      <c r="X561">
        <f>HYPERLINK("https://klasma.github.io/Logging_VASTERVIK/tillsyn/A 46559-2022.docx")</f>
        <v/>
      </c>
      <c r="Y561">
        <f>HYPERLINK("https://klasma.github.io/Logging_VASTERVIK/tillsynsmail/A 46559-2022.docx")</f>
        <v/>
      </c>
    </row>
    <row r="562" ht="15" customHeight="1">
      <c r="A562" t="inlineStr">
        <is>
          <t>A 48263-2022</t>
        </is>
      </c>
      <c r="B562" s="1" t="n">
        <v>44853</v>
      </c>
      <c r="C562" s="1" t="n">
        <v>45175</v>
      </c>
      <c r="D562" t="inlineStr">
        <is>
          <t>KALMAR LÄN</t>
        </is>
      </c>
      <c r="E562" t="inlineStr">
        <is>
          <t>HÖGSBY</t>
        </is>
      </c>
      <c r="G562" t="n">
        <v>8.199999999999999</v>
      </c>
      <c r="H562" t="n">
        <v>1</v>
      </c>
      <c r="I562" t="n">
        <v>0</v>
      </c>
      <c r="J562" t="n">
        <v>1</v>
      </c>
      <c r="K562" t="n">
        <v>0</v>
      </c>
      <c r="L562" t="n">
        <v>0</v>
      </c>
      <c r="M562" t="n">
        <v>0</v>
      </c>
      <c r="N562" t="n">
        <v>0</v>
      </c>
      <c r="O562" t="n">
        <v>1</v>
      </c>
      <c r="P562" t="n">
        <v>0</v>
      </c>
      <c r="Q562" t="n">
        <v>1</v>
      </c>
      <c r="R562" s="2" t="inlineStr">
        <is>
          <t>Talltita</t>
        </is>
      </c>
      <c r="S562">
        <f>HYPERLINK("https://klasma.github.io/Logging_HOGSBY/artfynd/A 48263-2022.xlsx")</f>
        <v/>
      </c>
      <c r="T562">
        <f>HYPERLINK("https://klasma.github.io/Logging_HOGSBY/kartor/A 48263-2022.png")</f>
        <v/>
      </c>
      <c r="V562">
        <f>HYPERLINK("https://klasma.github.io/Logging_HOGSBY/klagomål/A 48263-2022.docx")</f>
        <v/>
      </c>
      <c r="W562">
        <f>HYPERLINK("https://klasma.github.io/Logging_HOGSBY/klagomålsmail/A 48263-2022.docx")</f>
        <v/>
      </c>
      <c r="X562">
        <f>HYPERLINK("https://klasma.github.io/Logging_HOGSBY/tillsyn/A 48263-2022.docx")</f>
        <v/>
      </c>
      <c r="Y562">
        <f>HYPERLINK("https://klasma.github.io/Logging_HOGSBY/tillsynsmail/A 48263-2022.docx")</f>
        <v/>
      </c>
    </row>
    <row r="563" ht="15" customHeight="1">
      <c r="A563" t="inlineStr">
        <is>
          <t>A 47672-2022</t>
        </is>
      </c>
      <c r="B563" s="1" t="n">
        <v>44854</v>
      </c>
      <c r="C563" s="1" t="n">
        <v>45175</v>
      </c>
      <c r="D563" t="inlineStr">
        <is>
          <t>KALMAR LÄN</t>
        </is>
      </c>
      <c r="E563" t="inlineStr">
        <is>
          <t>MÖNSTERÅS</t>
        </is>
      </c>
      <c r="G563" t="n">
        <v>4.6</v>
      </c>
      <c r="H563" t="n">
        <v>1</v>
      </c>
      <c r="I563" t="n">
        <v>0</v>
      </c>
      <c r="J563" t="n">
        <v>0</v>
      </c>
      <c r="K563" t="n">
        <v>1</v>
      </c>
      <c r="L563" t="n">
        <v>0</v>
      </c>
      <c r="M563" t="n">
        <v>0</v>
      </c>
      <c r="N563" t="n">
        <v>0</v>
      </c>
      <c r="O563" t="n">
        <v>1</v>
      </c>
      <c r="P563" t="n">
        <v>1</v>
      </c>
      <c r="Q563" t="n">
        <v>1</v>
      </c>
      <c r="R563" s="2" t="inlineStr">
        <is>
          <t>Knärot</t>
        </is>
      </c>
      <c r="S563">
        <f>HYPERLINK("https://klasma.github.io/Logging_MONSTERAS/artfynd/A 47672-2022.xlsx")</f>
        <v/>
      </c>
      <c r="T563">
        <f>HYPERLINK("https://klasma.github.io/Logging_MONSTERAS/kartor/A 47672-2022.png")</f>
        <v/>
      </c>
      <c r="U563">
        <f>HYPERLINK("https://klasma.github.io/Logging_MONSTERAS/knärot/A 47672-2022.png")</f>
        <v/>
      </c>
      <c r="V563">
        <f>HYPERLINK("https://klasma.github.io/Logging_MONSTERAS/klagomål/A 47672-2022.docx")</f>
        <v/>
      </c>
      <c r="W563">
        <f>HYPERLINK("https://klasma.github.io/Logging_MONSTERAS/klagomålsmail/A 47672-2022.docx")</f>
        <v/>
      </c>
      <c r="X563">
        <f>HYPERLINK("https://klasma.github.io/Logging_MONSTERAS/tillsyn/A 47672-2022.docx")</f>
        <v/>
      </c>
      <c r="Y563">
        <f>HYPERLINK("https://klasma.github.io/Logging_MONSTERAS/tillsynsmail/A 47672-2022.docx")</f>
        <v/>
      </c>
    </row>
    <row r="564" ht="15" customHeight="1">
      <c r="A564" t="inlineStr">
        <is>
          <t>A 48442-2022</t>
        </is>
      </c>
      <c r="B564" s="1" t="n">
        <v>44858</v>
      </c>
      <c r="C564" s="1" t="n">
        <v>45175</v>
      </c>
      <c r="D564" t="inlineStr">
        <is>
          <t>KALMAR LÄN</t>
        </is>
      </c>
      <c r="E564" t="inlineStr">
        <is>
          <t>OSKARSHAMN</t>
        </is>
      </c>
      <c r="G564" t="n">
        <v>2.9</v>
      </c>
      <c r="H564" t="n">
        <v>1</v>
      </c>
      <c r="I564" t="n">
        <v>1</v>
      </c>
      <c r="J564" t="n">
        <v>0</v>
      </c>
      <c r="K564" t="n">
        <v>0</v>
      </c>
      <c r="L564" t="n">
        <v>0</v>
      </c>
      <c r="M564" t="n">
        <v>0</v>
      </c>
      <c r="N564" t="n">
        <v>0</v>
      </c>
      <c r="O564" t="n">
        <v>0</v>
      </c>
      <c r="P564" t="n">
        <v>0</v>
      </c>
      <c r="Q564" t="n">
        <v>1</v>
      </c>
      <c r="R564" s="2" t="inlineStr">
        <is>
          <t>Ekoxe</t>
        </is>
      </c>
      <c r="S564">
        <f>HYPERLINK("https://klasma.github.io/Logging_OSKARSHAMN/artfynd/A 48442-2022.xlsx")</f>
        <v/>
      </c>
      <c r="T564">
        <f>HYPERLINK("https://klasma.github.io/Logging_OSKARSHAMN/kartor/A 48442-2022.png")</f>
        <v/>
      </c>
      <c r="V564">
        <f>HYPERLINK("https://klasma.github.io/Logging_OSKARSHAMN/klagomål/A 48442-2022.docx")</f>
        <v/>
      </c>
      <c r="W564">
        <f>HYPERLINK("https://klasma.github.io/Logging_OSKARSHAMN/klagomålsmail/A 48442-2022.docx")</f>
        <v/>
      </c>
      <c r="X564">
        <f>HYPERLINK("https://klasma.github.io/Logging_OSKARSHAMN/tillsyn/A 48442-2022.docx")</f>
        <v/>
      </c>
      <c r="Y564">
        <f>HYPERLINK("https://klasma.github.io/Logging_OSKARSHAMN/tillsynsmail/A 48442-2022.docx")</f>
        <v/>
      </c>
    </row>
    <row r="565" ht="15" customHeight="1">
      <c r="A565" t="inlineStr">
        <is>
          <t>A 51024-2022</t>
        </is>
      </c>
      <c r="B565" s="1" t="n">
        <v>44867</v>
      </c>
      <c r="C565" s="1" t="n">
        <v>45175</v>
      </c>
      <c r="D565" t="inlineStr">
        <is>
          <t>KALMAR LÄN</t>
        </is>
      </c>
      <c r="E565" t="inlineStr">
        <is>
          <t>VÄSTERVIK</t>
        </is>
      </c>
      <c r="F565" t="inlineStr">
        <is>
          <t>Holmen skog AB</t>
        </is>
      </c>
      <c r="G565" t="n">
        <v>7.6</v>
      </c>
      <c r="H565" t="n">
        <v>1</v>
      </c>
      <c r="I565" t="n">
        <v>0</v>
      </c>
      <c r="J565" t="n">
        <v>1</v>
      </c>
      <c r="K565" t="n">
        <v>0</v>
      </c>
      <c r="L565" t="n">
        <v>0</v>
      </c>
      <c r="M565" t="n">
        <v>0</v>
      </c>
      <c r="N565" t="n">
        <v>0</v>
      </c>
      <c r="O565" t="n">
        <v>1</v>
      </c>
      <c r="P565" t="n">
        <v>0</v>
      </c>
      <c r="Q565" t="n">
        <v>1</v>
      </c>
      <c r="R565" s="2" t="inlineStr">
        <is>
          <t>Talltita</t>
        </is>
      </c>
      <c r="S565">
        <f>HYPERLINK("https://klasma.github.io/Logging_VASTERVIK/artfynd/A 51024-2022.xlsx")</f>
        <v/>
      </c>
      <c r="T565">
        <f>HYPERLINK("https://klasma.github.io/Logging_VASTERVIK/kartor/A 51024-2022.png")</f>
        <v/>
      </c>
      <c r="V565">
        <f>HYPERLINK("https://klasma.github.io/Logging_VASTERVIK/klagomål/A 51024-2022.docx")</f>
        <v/>
      </c>
      <c r="W565">
        <f>HYPERLINK("https://klasma.github.io/Logging_VASTERVIK/klagomålsmail/A 51024-2022.docx")</f>
        <v/>
      </c>
      <c r="X565">
        <f>HYPERLINK("https://klasma.github.io/Logging_VASTERVIK/tillsyn/A 51024-2022.docx")</f>
        <v/>
      </c>
      <c r="Y565">
        <f>HYPERLINK("https://klasma.github.io/Logging_VASTERVIK/tillsynsmail/A 51024-2022.docx")</f>
        <v/>
      </c>
    </row>
    <row r="566" ht="15" customHeight="1">
      <c r="A566" t="inlineStr">
        <is>
          <t>A 52750-2022</t>
        </is>
      </c>
      <c r="B566" s="1" t="n">
        <v>44874</v>
      </c>
      <c r="C566" s="1" t="n">
        <v>45175</v>
      </c>
      <c r="D566" t="inlineStr">
        <is>
          <t>KALMAR LÄN</t>
        </is>
      </c>
      <c r="E566" t="inlineStr">
        <is>
          <t>NYBRO</t>
        </is>
      </c>
      <c r="G566" t="n">
        <v>15.6</v>
      </c>
      <c r="H566" t="n">
        <v>0</v>
      </c>
      <c r="I566" t="n">
        <v>0</v>
      </c>
      <c r="J566" t="n">
        <v>0</v>
      </c>
      <c r="K566" t="n">
        <v>1</v>
      </c>
      <c r="L566" t="n">
        <v>0</v>
      </c>
      <c r="M566" t="n">
        <v>0</v>
      </c>
      <c r="N566" t="n">
        <v>0</v>
      </c>
      <c r="O566" t="n">
        <v>1</v>
      </c>
      <c r="P566" t="n">
        <v>1</v>
      </c>
      <c r="Q566" t="n">
        <v>1</v>
      </c>
      <c r="R566" s="2" t="inlineStr">
        <is>
          <t>Ljungögontröst</t>
        </is>
      </c>
      <c r="S566">
        <f>HYPERLINK("https://klasma.github.io/Logging_NYBRO/artfynd/A 52750-2022.xlsx")</f>
        <v/>
      </c>
      <c r="T566">
        <f>HYPERLINK("https://klasma.github.io/Logging_NYBRO/kartor/A 52750-2022.png")</f>
        <v/>
      </c>
      <c r="V566">
        <f>HYPERLINK("https://klasma.github.io/Logging_NYBRO/klagomål/A 52750-2022.docx")</f>
        <v/>
      </c>
      <c r="W566">
        <f>HYPERLINK("https://klasma.github.io/Logging_NYBRO/klagomålsmail/A 52750-2022.docx")</f>
        <v/>
      </c>
      <c r="X566">
        <f>HYPERLINK("https://klasma.github.io/Logging_NYBRO/tillsyn/A 52750-2022.docx")</f>
        <v/>
      </c>
      <c r="Y566">
        <f>HYPERLINK("https://klasma.github.io/Logging_NYBRO/tillsynsmail/A 52750-2022.docx")</f>
        <v/>
      </c>
    </row>
    <row r="567" ht="15" customHeight="1">
      <c r="A567" t="inlineStr">
        <is>
          <t>A 53862-2022</t>
        </is>
      </c>
      <c r="B567" s="1" t="n">
        <v>44876</v>
      </c>
      <c r="C567" s="1" t="n">
        <v>45175</v>
      </c>
      <c r="D567" t="inlineStr">
        <is>
          <t>KALMAR LÄN</t>
        </is>
      </c>
      <c r="E567" t="inlineStr">
        <is>
          <t>HULTSFRED</t>
        </is>
      </c>
      <c r="F567" t="inlineStr">
        <is>
          <t>Kommuner</t>
        </is>
      </c>
      <c r="G567" t="n">
        <v>1.7</v>
      </c>
      <c r="H567" t="n">
        <v>1</v>
      </c>
      <c r="I567" t="n">
        <v>0</v>
      </c>
      <c r="J567" t="n">
        <v>0</v>
      </c>
      <c r="K567" t="n">
        <v>0</v>
      </c>
      <c r="L567" t="n">
        <v>0</v>
      </c>
      <c r="M567" t="n">
        <v>0</v>
      </c>
      <c r="N567" t="n">
        <v>0</v>
      </c>
      <c r="O567" t="n">
        <v>0</v>
      </c>
      <c r="P567" t="n">
        <v>0</v>
      </c>
      <c r="Q567" t="n">
        <v>1</v>
      </c>
      <c r="R567" s="2" t="inlineStr">
        <is>
          <t>Blåsippa</t>
        </is>
      </c>
      <c r="S567">
        <f>HYPERLINK("https://klasma.github.io/Logging_HULTSFRED/artfynd/A 53862-2022.xlsx")</f>
        <v/>
      </c>
      <c r="T567">
        <f>HYPERLINK("https://klasma.github.io/Logging_HULTSFRED/kartor/A 53862-2022.png")</f>
        <v/>
      </c>
      <c r="V567">
        <f>HYPERLINK("https://klasma.github.io/Logging_HULTSFRED/klagomål/A 53862-2022.docx")</f>
        <v/>
      </c>
      <c r="W567">
        <f>HYPERLINK("https://klasma.github.io/Logging_HULTSFRED/klagomålsmail/A 53862-2022.docx")</f>
        <v/>
      </c>
      <c r="X567">
        <f>HYPERLINK("https://klasma.github.io/Logging_HULTSFRED/tillsyn/A 53862-2022.docx")</f>
        <v/>
      </c>
      <c r="Y567">
        <f>HYPERLINK("https://klasma.github.io/Logging_HULTSFRED/tillsynsmail/A 53862-2022.docx")</f>
        <v/>
      </c>
    </row>
    <row r="568" ht="15" customHeight="1">
      <c r="A568" t="inlineStr">
        <is>
          <t>A 54193-2022</t>
        </is>
      </c>
      <c r="B568" s="1" t="n">
        <v>44881</v>
      </c>
      <c r="C568" s="1" t="n">
        <v>45175</v>
      </c>
      <c r="D568" t="inlineStr">
        <is>
          <t>KALMAR LÄN</t>
        </is>
      </c>
      <c r="E568" t="inlineStr">
        <is>
          <t>VÄSTERVIK</t>
        </is>
      </c>
      <c r="G568" t="n">
        <v>1.7</v>
      </c>
      <c r="H568" t="n">
        <v>0</v>
      </c>
      <c r="I568" t="n">
        <v>1</v>
      </c>
      <c r="J568" t="n">
        <v>0</v>
      </c>
      <c r="K568" t="n">
        <v>0</v>
      </c>
      <c r="L568" t="n">
        <v>0</v>
      </c>
      <c r="M568" t="n">
        <v>0</v>
      </c>
      <c r="N568" t="n">
        <v>0</v>
      </c>
      <c r="O568" t="n">
        <v>0</v>
      </c>
      <c r="P568" t="n">
        <v>0</v>
      </c>
      <c r="Q568" t="n">
        <v>1</v>
      </c>
      <c r="R568" s="2" t="inlineStr">
        <is>
          <t>Murgröna</t>
        </is>
      </c>
      <c r="S568">
        <f>HYPERLINK("https://klasma.github.io/Logging_VASTERVIK/artfynd/A 54193-2022.xlsx")</f>
        <v/>
      </c>
      <c r="T568">
        <f>HYPERLINK("https://klasma.github.io/Logging_VASTERVIK/kartor/A 54193-2022.png")</f>
        <v/>
      </c>
      <c r="U568">
        <f>HYPERLINK("https://klasma.github.io/Logging_VASTERVIK/knärot/A 54193-2022.png")</f>
        <v/>
      </c>
      <c r="V568">
        <f>HYPERLINK("https://klasma.github.io/Logging_VASTERVIK/klagomål/A 54193-2022.docx")</f>
        <v/>
      </c>
      <c r="W568">
        <f>HYPERLINK("https://klasma.github.io/Logging_VASTERVIK/klagomålsmail/A 54193-2022.docx")</f>
        <v/>
      </c>
      <c r="X568">
        <f>HYPERLINK("https://klasma.github.io/Logging_VASTERVIK/tillsyn/A 54193-2022.docx")</f>
        <v/>
      </c>
      <c r="Y568">
        <f>HYPERLINK("https://klasma.github.io/Logging_VASTERVIK/tillsynsmail/A 54193-2022.docx")</f>
        <v/>
      </c>
    </row>
    <row r="569" ht="15" customHeight="1">
      <c r="A569" t="inlineStr">
        <is>
          <t>A 54924-2022</t>
        </is>
      </c>
      <c r="B569" s="1" t="n">
        <v>44886</v>
      </c>
      <c r="C569" s="1" t="n">
        <v>45175</v>
      </c>
      <c r="D569" t="inlineStr">
        <is>
          <t>KALMAR LÄN</t>
        </is>
      </c>
      <c r="E569" t="inlineStr">
        <is>
          <t>MÖNSTERÅS</t>
        </is>
      </c>
      <c r="G569" t="n">
        <v>5</v>
      </c>
      <c r="H569" t="n">
        <v>1</v>
      </c>
      <c r="I569" t="n">
        <v>0</v>
      </c>
      <c r="J569" t="n">
        <v>0</v>
      </c>
      <c r="K569" t="n">
        <v>1</v>
      </c>
      <c r="L569" t="n">
        <v>0</v>
      </c>
      <c r="M569" t="n">
        <v>0</v>
      </c>
      <c r="N569" t="n">
        <v>0</v>
      </c>
      <c r="O569" t="n">
        <v>1</v>
      </c>
      <c r="P569" t="n">
        <v>1</v>
      </c>
      <c r="Q569" t="n">
        <v>1</v>
      </c>
      <c r="R569" s="2" t="inlineStr">
        <is>
          <t>Knärot</t>
        </is>
      </c>
      <c r="S569">
        <f>HYPERLINK("https://klasma.github.io/Logging_MONSTERAS/artfynd/A 54924-2022.xlsx")</f>
        <v/>
      </c>
      <c r="T569">
        <f>HYPERLINK("https://klasma.github.io/Logging_MONSTERAS/kartor/A 54924-2022.png")</f>
        <v/>
      </c>
      <c r="U569">
        <f>HYPERLINK("https://klasma.github.io/Logging_MONSTERAS/knärot/A 54924-2022.png")</f>
        <v/>
      </c>
      <c r="V569">
        <f>HYPERLINK("https://klasma.github.io/Logging_MONSTERAS/klagomål/A 54924-2022.docx")</f>
        <v/>
      </c>
      <c r="W569">
        <f>HYPERLINK("https://klasma.github.io/Logging_MONSTERAS/klagomålsmail/A 54924-2022.docx")</f>
        <v/>
      </c>
      <c r="X569">
        <f>HYPERLINK("https://klasma.github.io/Logging_MONSTERAS/tillsyn/A 54924-2022.docx")</f>
        <v/>
      </c>
      <c r="Y569">
        <f>HYPERLINK("https://klasma.github.io/Logging_MONSTERAS/tillsynsmail/A 54924-2022.docx")</f>
        <v/>
      </c>
    </row>
    <row r="570" ht="15" customHeight="1">
      <c r="A570" t="inlineStr">
        <is>
          <t>A 59178-2022</t>
        </is>
      </c>
      <c r="B570" s="1" t="n">
        <v>44904</v>
      </c>
      <c r="C570" s="1" t="n">
        <v>45175</v>
      </c>
      <c r="D570" t="inlineStr">
        <is>
          <t>KALMAR LÄN</t>
        </is>
      </c>
      <c r="E570" t="inlineStr">
        <is>
          <t>VÄSTERVIK</t>
        </is>
      </c>
      <c r="G570" t="n">
        <v>3.3</v>
      </c>
      <c r="H570" t="n">
        <v>0</v>
      </c>
      <c r="I570" t="n">
        <v>0</v>
      </c>
      <c r="J570" t="n">
        <v>1</v>
      </c>
      <c r="K570" t="n">
        <v>0</v>
      </c>
      <c r="L570" t="n">
        <v>0</v>
      </c>
      <c r="M570" t="n">
        <v>0</v>
      </c>
      <c r="N570" t="n">
        <v>0</v>
      </c>
      <c r="O570" t="n">
        <v>1</v>
      </c>
      <c r="P570" t="n">
        <v>0</v>
      </c>
      <c r="Q570" t="n">
        <v>1</v>
      </c>
      <c r="R570" s="2" t="inlineStr">
        <is>
          <t>Tallticka</t>
        </is>
      </c>
      <c r="S570">
        <f>HYPERLINK("https://klasma.github.io/Logging_VASTERVIK/artfynd/A 59178-2022.xlsx")</f>
        <v/>
      </c>
      <c r="T570">
        <f>HYPERLINK("https://klasma.github.io/Logging_VASTERVIK/kartor/A 59178-2022.png")</f>
        <v/>
      </c>
      <c r="V570">
        <f>HYPERLINK("https://klasma.github.io/Logging_VASTERVIK/klagomål/A 59178-2022.docx")</f>
        <v/>
      </c>
      <c r="W570">
        <f>HYPERLINK("https://klasma.github.io/Logging_VASTERVIK/klagomålsmail/A 59178-2022.docx")</f>
        <v/>
      </c>
      <c r="X570">
        <f>HYPERLINK("https://klasma.github.io/Logging_VASTERVIK/tillsyn/A 59178-2022.docx")</f>
        <v/>
      </c>
      <c r="Y570">
        <f>HYPERLINK("https://klasma.github.io/Logging_VASTERVIK/tillsynsmail/A 59178-2022.docx")</f>
        <v/>
      </c>
    </row>
    <row r="571" ht="15" customHeight="1">
      <c r="A571" t="inlineStr">
        <is>
          <t>A 59407-2022</t>
        </is>
      </c>
      <c r="B571" s="1" t="n">
        <v>44907</v>
      </c>
      <c r="C571" s="1" t="n">
        <v>45175</v>
      </c>
      <c r="D571" t="inlineStr">
        <is>
          <t>KALMAR LÄN</t>
        </is>
      </c>
      <c r="E571" t="inlineStr">
        <is>
          <t>HÖGSBY</t>
        </is>
      </c>
      <c r="G571" t="n">
        <v>1</v>
      </c>
      <c r="H571" t="n">
        <v>1</v>
      </c>
      <c r="I571" t="n">
        <v>0</v>
      </c>
      <c r="J571" t="n">
        <v>0</v>
      </c>
      <c r="K571" t="n">
        <v>0</v>
      </c>
      <c r="L571" t="n">
        <v>0</v>
      </c>
      <c r="M571" t="n">
        <v>0</v>
      </c>
      <c r="N571" t="n">
        <v>0</v>
      </c>
      <c r="O571" t="n">
        <v>0</v>
      </c>
      <c r="P571" t="n">
        <v>0</v>
      </c>
      <c r="Q571" t="n">
        <v>1</v>
      </c>
      <c r="R571" s="2" t="inlineStr">
        <is>
          <t>Blåsippa</t>
        </is>
      </c>
      <c r="S571">
        <f>HYPERLINK("https://klasma.github.io/Logging_HOGSBY/artfynd/A 59407-2022.xlsx")</f>
        <v/>
      </c>
      <c r="T571">
        <f>HYPERLINK("https://klasma.github.io/Logging_HOGSBY/kartor/A 59407-2022.png")</f>
        <v/>
      </c>
      <c r="V571">
        <f>HYPERLINK("https://klasma.github.io/Logging_HOGSBY/klagomål/A 59407-2022.docx")</f>
        <v/>
      </c>
      <c r="W571">
        <f>HYPERLINK("https://klasma.github.io/Logging_HOGSBY/klagomålsmail/A 59407-2022.docx")</f>
        <v/>
      </c>
      <c r="X571">
        <f>HYPERLINK("https://klasma.github.io/Logging_HOGSBY/tillsyn/A 59407-2022.docx")</f>
        <v/>
      </c>
      <c r="Y571">
        <f>HYPERLINK("https://klasma.github.io/Logging_HOGSBY/tillsynsmail/A 59407-2022.docx")</f>
        <v/>
      </c>
    </row>
    <row r="572" ht="15" customHeight="1">
      <c r="A572" t="inlineStr">
        <is>
          <t>A 60036-2022</t>
        </is>
      </c>
      <c r="B572" s="1" t="n">
        <v>44909</v>
      </c>
      <c r="C572" s="1" t="n">
        <v>45175</v>
      </c>
      <c r="D572" t="inlineStr">
        <is>
          <t>KALMAR LÄN</t>
        </is>
      </c>
      <c r="E572" t="inlineStr">
        <is>
          <t>NYBRO</t>
        </is>
      </c>
      <c r="G572" t="n">
        <v>8.699999999999999</v>
      </c>
      <c r="H572" t="n">
        <v>1</v>
      </c>
      <c r="I572" t="n">
        <v>0</v>
      </c>
      <c r="J572" t="n">
        <v>0</v>
      </c>
      <c r="K572" t="n">
        <v>1</v>
      </c>
      <c r="L572" t="n">
        <v>0</v>
      </c>
      <c r="M572" t="n">
        <v>0</v>
      </c>
      <c r="N572" t="n">
        <v>0</v>
      </c>
      <c r="O572" t="n">
        <v>1</v>
      </c>
      <c r="P572" t="n">
        <v>1</v>
      </c>
      <c r="Q572" t="n">
        <v>1</v>
      </c>
      <c r="R572" s="2" t="inlineStr">
        <is>
          <t>Knärot</t>
        </is>
      </c>
      <c r="S572">
        <f>HYPERLINK("https://klasma.github.io/Logging_NYBRO/artfynd/A 60036-2022.xlsx")</f>
        <v/>
      </c>
      <c r="T572">
        <f>HYPERLINK("https://klasma.github.io/Logging_NYBRO/kartor/A 60036-2022.png")</f>
        <v/>
      </c>
      <c r="U572">
        <f>HYPERLINK("https://klasma.github.io/Logging_NYBRO/knärot/A 60036-2022.png")</f>
        <v/>
      </c>
      <c r="V572">
        <f>HYPERLINK("https://klasma.github.io/Logging_NYBRO/klagomål/A 60036-2022.docx")</f>
        <v/>
      </c>
      <c r="W572">
        <f>HYPERLINK("https://klasma.github.io/Logging_NYBRO/klagomålsmail/A 60036-2022.docx")</f>
        <v/>
      </c>
      <c r="X572">
        <f>HYPERLINK("https://klasma.github.io/Logging_NYBRO/tillsyn/A 60036-2022.docx")</f>
        <v/>
      </c>
      <c r="Y572">
        <f>HYPERLINK("https://klasma.github.io/Logging_NYBRO/tillsynsmail/A 60036-2022.docx")</f>
        <v/>
      </c>
    </row>
    <row r="573" ht="15" customHeight="1">
      <c r="A573" t="inlineStr">
        <is>
          <t>A 61236-2022</t>
        </is>
      </c>
      <c r="B573" s="1" t="n">
        <v>44915</v>
      </c>
      <c r="C573" s="1" t="n">
        <v>45175</v>
      </c>
      <c r="D573" t="inlineStr">
        <is>
          <t>KALMAR LÄN</t>
        </is>
      </c>
      <c r="E573" t="inlineStr">
        <is>
          <t>KALMAR</t>
        </is>
      </c>
      <c r="G573" t="n">
        <v>1.4</v>
      </c>
      <c r="H573" t="n">
        <v>0</v>
      </c>
      <c r="I573" t="n">
        <v>1</v>
      </c>
      <c r="J573" t="n">
        <v>0</v>
      </c>
      <c r="K573" t="n">
        <v>0</v>
      </c>
      <c r="L573" t="n">
        <v>0</v>
      </c>
      <c r="M573" t="n">
        <v>0</v>
      </c>
      <c r="N573" t="n">
        <v>0</v>
      </c>
      <c r="O573" t="n">
        <v>0</v>
      </c>
      <c r="P573" t="n">
        <v>0</v>
      </c>
      <c r="Q573" t="n">
        <v>1</v>
      </c>
      <c r="R573" s="2" t="inlineStr">
        <is>
          <t>Murgröna</t>
        </is>
      </c>
      <c r="S573">
        <f>HYPERLINK("https://klasma.github.io/Logging_KALMAR/artfynd/A 61236-2022.xlsx")</f>
        <v/>
      </c>
      <c r="T573">
        <f>HYPERLINK("https://klasma.github.io/Logging_KALMAR/kartor/A 61236-2022.png")</f>
        <v/>
      </c>
      <c r="V573">
        <f>HYPERLINK("https://klasma.github.io/Logging_KALMAR/klagomål/A 61236-2022.docx")</f>
        <v/>
      </c>
      <c r="W573">
        <f>HYPERLINK("https://klasma.github.io/Logging_KALMAR/klagomålsmail/A 61236-2022.docx")</f>
        <v/>
      </c>
      <c r="X573">
        <f>HYPERLINK("https://klasma.github.io/Logging_KALMAR/tillsyn/A 61236-2022.docx")</f>
        <v/>
      </c>
      <c r="Y573">
        <f>HYPERLINK("https://klasma.github.io/Logging_KALMAR/tillsynsmail/A 61236-2022.docx")</f>
        <v/>
      </c>
    </row>
    <row r="574" ht="15" customHeight="1">
      <c r="A574" t="inlineStr">
        <is>
          <t>A 61771-2022</t>
        </is>
      </c>
      <c r="B574" s="1" t="n">
        <v>44917</v>
      </c>
      <c r="C574" s="1" t="n">
        <v>45175</v>
      </c>
      <c r="D574" t="inlineStr">
        <is>
          <t>KALMAR LÄN</t>
        </is>
      </c>
      <c r="E574" t="inlineStr">
        <is>
          <t>NYBRO</t>
        </is>
      </c>
      <c r="F574" t="inlineStr">
        <is>
          <t>Kommuner</t>
        </is>
      </c>
      <c r="G574" t="n">
        <v>10.4</v>
      </c>
      <c r="H574" t="n">
        <v>1</v>
      </c>
      <c r="I574" t="n">
        <v>0</v>
      </c>
      <c r="J574" t="n">
        <v>1</v>
      </c>
      <c r="K574" t="n">
        <v>0</v>
      </c>
      <c r="L574" t="n">
        <v>0</v>
      </c>
      <c r="M574" t="n">
        <v>0</v>
      </c>
      <c r="N574" t="n">
        <v>0</v>
      </c>
      <c r="O574" t="n">
        <v>1</v>
      </c>
      <c r="P574" t="n">
        <v>0</v>
      </c>
      <c r="Q574" t="n">
        <v>1</v>
      </c>
      <c r="R574" s="2" t="inlineStr">
        <is>
          <t>Talltita</t>
        </is>
      </c>
      <c r="S574">
        <f>HYPERLINK("https://klasma.github.io/Logging_NYBRO/artfynd/A 61771-2022.xlsx")</f>
        <v/>
      </c>
      <c r="T574">
        <f>HYPERLINK("https://klasma.github.io/Logging_NYBRO/kartor/A 61771-2022.png")</f>
        <v/>
      </c>
      <c r="V574">
        <f>HYPERLINK("https://klasma.github.io/Logging_NYBRO/klagomål/A 61771-2022.docx")</f>
        <v/>
      </c>
      <c r="W574">
        <f>HYPERLINK("https://klasma.github.io/Logging_NYBRO/klagomålsmail/A 61771-2022.docx")</f>
        <v/>
      </c>
      <c r="X574">
        <f>HYPERLINK("https://klasma.github.io/Logging_NYBRO/tillsyn/A 61771-2022.docx")</f>
        <v/>
      </c>
      <c r="Y574">
        <f>HYPERLINK("https://klasma.github.io/Logging_NYBRO/tillsynsmail/A 61771-2022.docx")</f>
        <v/>
      </c>
    </row>
    <row r="575" ht="15" customHeight="1">
      <c r="A575" t="inlineStr">
        <is>
          <t>A 61790-2022</t>
        </is>
      </c>
      <c r="B575" s="1" t="n">
        <v>44917</v>
      </c>
      <c r="C575" s="1" t="n">
        <v>45175</v>
      </c>
      <c r="D575" t="inlineStr">
        <is>
          <t>KALMAR LÄN</t>
        </is>
      </c>
      <c r="E575" t="inlineStr">
        <is>
          <t>NYBRO</t>
        </is>
      </c>
      <c r="F575" t="inlineStr">
        <is>
          <t>Kommuner</t>
        </is>
      </c>
      <c r="G575" t="n">
        <v>3.7</v>
      </c>
      <c r="H575" t="n">
        <v>0</v>
      </c>
      <c r="I575" t="n">
        <v>1</v>
      </c>
      <c r="J575" t="n">
        <v>0</v>
      </c>
      <c r="K575" t="n">
        <v>0</v>
      </c>
      <c r="L575" t="n">
        <v>0</v>
      </c>
      <c r="M575" t="n">
        <v>0</v>
      </c>
      <c r="N575" t="n">
        <v>0</v>
      </c>
      <c r="O575" t="n">
        <v>0</v>
      </c>
      <c r="P575" t="n">
        <v>0</v>
      </c>
      <c r="Q575" t="n">
        <v>1</v>
      </c>
      <c r="R575" s="2" t="inlineStr">
        <is>
          <t>Grönpyrola</t>
        </is>
      </c>
      <c r="S575">
        <f>HYPERLINK("https://klasma.github.io/Logging_NYBRO/artfynd/A 61790-2022.xlsx")</f>
        <v/>
      </c>
      <c r="T575">
        <f>HYPERLINK("https://klasma.github.io/Logging_NYBRO/kartor/A 61790-2022.png")</f>
        <v/>
      </c>
      <c r="V575">
        <f>HYPERLINK("https://klasma.github.io/Logging_NYBRO/klagomål/A 61790-2022.docx")</f>
        <v/>
      </c>
      <c r="W575">
        <f>HYPERLINK("https://klasma.github.io/Logging_NYBRO/klagomålsmail/A 61790-2022.docx")</f>
        <v/>
      </c>
      <c r="X575">
        <f>HYPERLINK("https://klasma.github.io/Logging_NYBRO/tillsyn/A 61790-2022.docx")</f>
        <v/>
      </c>
      <c r="Y575">
        <f>HYPERLINK("https://klasma.github.io/Logging_NYBRO/tillsynsmail/A 61790-2022.docx")</f>
        <v/>
      </c>
    </row>
    <row r="576" ht="15" customHeight="1">
      <c r="A576" t="inlineStr">
        <is>
          <t>A 141-2023</t>
        </is>
      </c>
      <c r="B576" s="1" t="n">
        <v>44928</v>
      </c>
      <c r="C576" s="1" t="n">
        <v>45175</v>
      </c>
      <c r="D576" t="inlineStr">
        <is>
          <t>KALMAR LÄN</t>
        </is>
      </c>
      <c r="E576" t="inlineStr">
        <is>
          <t>HULTSFRED</t>
        </is>
      </c>
      <c r="F576" t="inlineStr">
        <is>
          <t>Sveaskog</t>
        </is>
      </c>
      <c r="G576" t="n">
        <v>7.6</v>
      </c>
      <c r="H576" t="n">
        <v>0</v>
      </c>
      <c r="I576" t="n">
        <v>0</v>
      </c>
      <c r="J576" t="n">
        <v>1</v>
      </c>
      <c r="K576" t="n">
        <v>0</v>
      </c>
      <c r="L576" t="n">
        <v>0</v>
      </c>
      <c r="M576" t="n">
        <v>0</v>
      </c>
      <c r="N576" t="n">
        <v>0</v>
      </c>
      <c r="O576" t="n">
        <v>1</v>
      </c>
      <c r="P576" t="n">
        <v>0</v>
      </c>
      <c r="Q576" t="n">
        <v>1</v>
      </c>
      <c r="R576" s="2" t="inlineStr">
        <is>
          <t>Vedtrappmossa</t>
        </is>
      </c>
      <c r="S576">
        <f>HYPERLINK("https://klasma.github.io/Logging_HULTSFRED/artfynd/A 141-2023.xlsx")</f>
        <v/>
      </c>
      <c r="T576">
        <f>HYPERLINK("https://klasma.github.io/Logging_HULTSFRED/kartor/A 141-2023.png")</f>
        <v/>
      </c>
      <c r="V576">
        <f>HYPERLINK("https://klasma.github.io/Logging_HULTSFRED/klagomål/A 141-2023.docx")</f>
        <v/>
      </c>
      <c r="W576">
        <f>HYPERLINK("https://klasma.github.io/Logging_HULTSFRED/klagomålsmail/A 141-2023.docx")</f>
        <v/>
      </c>
      <c r="X576">
        <f>HYPERLINK("https://klasma.github.io/Logging_HULTSFRED/tillsyn/A 141-2023.docx")</f>
        <v/>
      </c>
      <c r="Y576">
        <f>HYPERLINK("https://klasma.github.io/Logging_HULTSFRED/tillsynsmail/A 141-2023.docx")</f>
        <v/>
      </c>
    </row>
    <row r="577" ht="15" customHeight="1">
      <c r="A577" t="inlineStr">
        <is>
          <t>A 183-2023</t>
        </is>
      </c>
      <c r="B577" s="1" t="n">
        <v>44928</v>
      </c>
      <c r="C577" s="1" t="n">
        <v>45175</v>
      </c>
      <c r="D577" t="inlineStr">
        <is>
          <t>KALMAR LÄN</t>
        </is>
      </c>
      <c r="E577" t="inlineStr">
        <is>
          <t>KALMAR</t>
        </is>
      </c>
      <c r="F577" t="inlineStr">
        <is>
          <t>Sveaskog</t>
        </is>
      </c>
      <c r="G577" t="n">
        <v>16.2</v>
      </c>
      <c r="H577" t="n">
        <v>1</v>
      </c>
      <c r="I577" t="n">
        <v>0</v>
      </c>
      <c r="J577" t="n">
        <v>1</v>
      </c>
      <c r="K577" t="n">
        <v>0</v>
      </c>
      <c r="L577" t="n">
        <v>0</v>
      </c>
      <c r="M577" t="n">
        <v>0</v>
      </c>
      <c r="N577" t="n">
        <v>0</v>
      </c>
      <c r="O577" t="n">
        <v>1</v>
      </c>
      <c r="P577" t="n">
        <v>0</v>
      </c>
      <c r="Q577" t="n">
        <v>1</v>
      </c>
      <c r="R577" s="2" t="inlineStr">
        <is>
          <t>Talltita</t>
        </is>
      </c>
      <c r="S577">
        <f>HYPERLINK("https://klasma.github.io/Logging_KALMAR/artfynd/A 183-2023.xlsx")</f>
        <v/>
      </c>
      <c r="T577">
        <f>HYPERLINK("https://klasma.github.io/Logging_KALMAR/kartor/A 183-2023.png")</f>
        <v/>
      </c>
      <c r="V577">
        <f>HYPERLINK("https://klasma.github.io/Logging_KALMAR/klagomål/A 183-2023.docx")</f>
        <v/>
      </c>
      <c r="W577">
        <f>HYPERLINK("https://klasma.github.io/Logging_KALMAR/klagomålsmail/A 183-2023.docx")</f>
        <v/>
      </c>
      <c r="X577">
        <f>HYPERLINK("https://klasma.github.io/Logging_KALMAR/tillsyn/A 183-2023.docx")</f>
        <v/>
      </c>
      <c r="Y577">
        <f>HYPERLINK("https://klasma.github.io/Logging_KALMAR/tillsynsmail/A 183-2023.docx")</f>
        <v/>
      </c>
    </row>
    <row r="578" ht="15" customHeight="1">
      <c r="A578" t="inlineStr">
        <is>
          <t>A 804-2023</t>
        </is>
      </c>
      <c r="B578" s="1" t="n">
        <v>44931</v>
      </c>
      <c r="C578" s="1" t="n">
        <v>45175</v>
      </c>
      <c r="D578" t="inlineStr">
        <is>
          <t>KALMAR LÄN</t>
        </is>
      </c>
      <c r="E578" t="inlineStr">
        <is>
          <t>VÄSTERVIK</t>
        </is>
      </c>
      <c r="F578" t="inlineStr">
        <is>
          <t>Holmen skog AB</t>
        </is>
      </c>
      <c r="G578" t="n">
        <v>5.2</v>
      </c>
      <c r="H578" t="n">
        <v>0</v>
      </c>
      <c r="I578" t="n">
        <v>0</v>
      </c>
      <c r="J578" t="n">
        <v>0</v>
      </c>
      <c r="K578" t="n">
        <v>1</v>
      </c>
      <c r="L578" t="n">
        <v>0</v>
      </c>
      <c r="M578" t="n">
        <v>0</v>
      </c>
      <c r="N578" t="n">
        <v>0</v>
      </c>
      <c r="O578" t="n">
        <v>1</v>
      </c>
      <c r="P578" t="n">
        <v>1</v>
      </c>
      <c r="Q578" t="n">
        <v>1</v>
      </c>
      <c r="R578" s="2" t="inlineStr">
        <is>
          <t>Violett fingersvamp</t>
        </is>
      </c>
      <c r="S578">
        <f>HYPERLINK("https://klasma.github.io/Logging_VASTERVIK/artfynd/A 804-2023.xlsx")</f>
        <v/>
      </c>
      <c r="T578">
        <f>HYPERLINK("https://klasma.github.io/Logging_VASTERVIK/kartor/A 804-2023.png")</f>
        <v/>
      </c>
      <c r="V578">
        <f>HYPERLINK("https://klasma.github.io/Logging_VASTERVIK/klagomål/A 804-2023.docx")</f>
        <v/>
      </c>
      <c r="W578">
        <f>HYPERLINK("https://klasma.github.io/Logging_VASTERVIK/klagomålsmail/A 804-2023.docx")</f>
        <v/>
      </c>
      <c r="X578">
        <f>HYPERLINK("https://klasma.github.io/Logging_VASTERVIK/tillsyn/A 804-2023.docx")</f>
        <v/>
      </c>
      <c r="Y578">
        <f>HYPERLINK("https://klasma.github.io/Logging_VASTERVIK/tillsynsmail/A 804-2023.docx")</f>
        <v/>
      </c>
    </row>
    <row r="579" ht="15" customHeight="1">
      <c r="A579" t="inlineStr">
        <is>
          <t>A 975-2023</t>
        </is>
      </c>
      <c r="B579" s="1" t="n">
        <v>44935</v>
      </c>
      <c r="C579" s="1" t="n">
        <v>45175</v>
      </c>
      <c r="D579" t="inlineStr">
        <is>
          <t>KALMAR LÄN</t>
        </is>
      </c>
      <c r="E579" t="inlineStr">
        <is>
          <t>VÄSTERVIK</t>
        </is>
      </c>
      <c r="G579" t="n">
        <v>1.7</v>
      </c>
      <c r="H579" t="n">
        <v>1</v>
      </c>
      <c r="I579" t="n">
        <v>0</v>
      </c>
      <c r="J579" t="n">
        <v>0</v>
      </c>
      <c r="K579" t="n">
        <v>1</v>
      </c>
      <c r="L579" t="n">
        <v>0</v>
      </c>
      <c r="M579" t="n">
        <v>0</v>
      </c>
      <c r="N579" t="n">
        <v>0</v>
      </c>
      <c r="O579" t="n">
        <v>1</v>
      </c>
      <c r="P579" t="n">
        <v>1</v>
      </c>
      <c r="Q579" t="n">
        <v>1</v>
      </c>
      <c r="R579" s="2" t="inlineStr">
        <is>
          <t>Läderbagge</t>
        </is>
      </c>
      <c r="S579">
        <f>HYPERLINK("https://klasma.github.io/Logging_VASTERVIK/artfynd/A 975-2023.xlsx")</f>
        <v/>
      </c>
      <c r="T579">
        <f>HYPERLINK("https://klasma.github.io/Logging_VASTERVIK/kartor/A 975-2023.png")</f>
        <v/>
      </c>
      <c r="V579">
        <f>HYPERLINK("https://klasma.github.io/Logging_VASTERVIK/klagomål/A 975-2023.docx")</f>
        <v/>
      </c>
      <c r="W579">
        <f>HYPERLINK("https://klasma.github.io/Logging_VASTERVIK/klagomålsmail/A 975-2023.docx")</f>
        <v/>
      </c>
      <c r="X579">
        <f>HYPERLINK("https://klasma.github.io/Logging_VASTERVIK/tillsyn/A 975-2023.docx")</f>
        <v/>
      </c>
      <c r="Y579">
        <f>HYPERLINK("https://klasma.github.io/Logging_VASTERVIK/tillsynsmail/A 975-2023.docx")</f>
        <v/>
      </c>
    </row>
    <row r="580" ht="15" customHeight="1">
      <c r="A580" t="inlineStr">
        <is>
          <t>A 1024-2023</t>
        </is>
      </c>
      <c r="B580" s="1" t="n">
        <v>44935</v>
      </c>
      <c r="C580" s="1" t="n">
        <v>45175</v>
      </c>
      <c r="D580" t="inlineStr">
        <is>
          <t>KALMAR LÄN</t>
        </is>
      </c>
      <c r="E580" t="inlineStr">
        <is>
          <t>VÄSTERVIK</t>
        </is>
      </c>
      <c r="F580" t="inlineStr">
        <is>
          <t>Holmen skog AB</t>
        </is>
      </c>
      <c r="G580" t="n">
        <v>1.9</v>
      </c>
      <c r="H580" t="n">
        <v>0</v>
      </c>
      <c r="I580" t="n">
        <v>0</v>
      </c>
      <c r="J580" t="n">
        <v>1</v>
      </c>
      <c r="K580" t="n">
        <v>0</v>
      </c>
      <c r="L580" t="n">
        <v>0</v>
      </c>
      <c r="M580" t="n">
        <v>0</v>
      </c>
      <c r="N580" t="n">
        <v>0</v>
      </c>
      <c r="O580" t="n">
        <v>1</v>
      </c>
      <c r="P580" t="n">
        <v>0</v>
      </c>
      <c r="Q580" t="n">
        <v>1</v>
      </c>
      <c r="R580" s="2" t="inlineStr">
        <is>
          <t>Ekticka</t>
        </is>
      </c>
      <c r="S580">
        <f>HYPERLINK("https://klasma.github.io/Logging_VASTERVIK/artfynd/A 1024-2023.xlsx")</f>
        <v/>
      </c>
      <c r="T580">
        <f>HYPERLINK("https://klasma.github.io/Logging_VASTERVIK/kartor/A 1024-2023.png")</f>
        <v/>
      </c>
      <c r="V580">
        <f>HYPERLINK("https://klasma.github.io/Logging_VASTERVIK/klagomål/A 1024-2023.docx")</f>
        <v/>
      </c>
      <c r="W580">
        <f>HYPERLINK("https://klasma.github.io/Logging_VASTERVIK/klagomålsmail/A 1024-2023.docx")</f>
        <v/>
      </c>
      <c r="X580">
        <f>HYPERLINK("https://klasma.github.io/Logging_VASTERVIK/tillsyn/A 1024-2023.docx")</f>
        <v/>
      </c>
      <c r="Y580">
        <f>HYPERLINK("https://klasma.github.io/Logging_VASTERVIK/tillsynsmail/A 1024-2023.docx")</f>
        <v/>
      </c>
    </row>
    <row r="581" ht="15" customHeight="1">
      <c r="A581" t="inlineStr">
        <is>
          <t>A 1943-2023</t>
        </is>
      </c>
      <c r="B581" s="1" t="n">
        <v>44939</v>
      </c>
      <c r="C581" s="1" t="n">
        <v>45175</v>
      </c>
      <c r="D581" t="inlineStr">
        <is>
          <t>KALMAR LÄN</t>
        </is>
      </c>
      <c r="E581" t="inlineStr">
        <is>
          <t>VIMMERBY</t>
        </is>
      </c>
      <c r="G581" t="n">
        <v>1.8</v>
      </c>
      <c r="H581" t="n">
        <v>1</v>
      </c>
      <c r="I581" t="n">
        <v>0</v>
      </c>
      <c r="J581" t="n">
        <v>0</v>
      </c>
      <c r="K581" t="n">
        <v>1</v>
      </c>
      <c r="L581" t="n">
        <v>0</v>
      </c>
      <c r="M581" t="n">
        <v>0</v>
      </c>
      <c r="N581" t="n">
        <v>0</v>
      </c>
      <c r="O581" t="n">
        <v>1</v>
      </c>
      <c r="P581" t="n">
        <v>1</v>
      </c>
      <c r="Q581" t="n">
        <v>1</v>
      </c>
      <c r="R581" s="2" t="inlineStr">
        <is>
          <t>Knärot</t>
        </is>
      </c>
      <c r="S581">
        <f>HYPERLINK("https://klasma.github.io/Logging_VIMMERBY/artfynd/A 1943-2023.xlsx")</f>
        <v/>
      </c>
      <c r="T581">
        <f>HYPERLINK("https://klasma.github.io/Logging_VIMMERBY/kartor/A 1943-2023.png")</f>
        <v/>
      </c>
      <c r="U581">
        <f>HYPERLINK("https://klasma.github.io/Logging_VIMMERBY/knärot/A 1943-2023.png")</f>
        <v/>
      </c>
      <c r="V581">
        <f>HYPERLINK("https://klasma.github.io/Logging_VIMMERBY/klagomål/A 1943-2023.docx")</f>
        <v/>
      </c>
      <c r="W581">
        <f>HYPERLINK("https://klasma.github.io/Logging_VIMMERBY/klagomålsmail/A 1943-2023.docx")</f>
        <v/>
      </c>
      <c r="X581">
        <f>HYPERLINK("https://klasma.github.io/Logging_VIMMERBY/tillsyn/A 1943-2023.docx")</f>
        <v/>
      </c>
      <c r="Y581">
        <f>HYPERLINK("https://klasma.github.io/Logging_VIMMERBY/tillsynsmail/A 1943-2023.docx")</f>
        <v/>
      </c>
    </row>
    <row r="582" ht="15" customHeight="1">
      <c r="A582" t="inlineStr">
        <is>
          <t>A 3404-2023</t>
        </is>
      </c>
      <c r="B582" s="1" t="n">
        <v>44949</v>
      </c>
      <c r="C582" s="1" t="n">
        <v>45175</v>
      </c>
      <c r="D582" t="inlineStr">
        <is>
          <t>KALMAR LÄN</t>
        </is>
      </c>
      <c r="E582" t="inlineStr">
        <is>
          <t>KALMAR</t>
        </is>
      </c>
      <c r="G582" t="n">
        <v>2</v>
      </c>
      <c r="H582" t="n">
        <v>0</v>
      </c>
      <c r="I582" t="n">
        <v>1</v>
      </c>
      <c r="J582" t="n">
        <v>0</v>
      </c>
      <c r="K582" t="n">
        <v>0</v>
      </c>
      <c r="L582" t="n">
        <v>0</v>
      </c>
      <c r="M582" t="n">
        <v>0</v>
      </c>
      <c r="N582" t="n">
        <v>0</v>
      </c>
      <c r="O582" t="n">
        <v>0</v>
      </c>
      <c r="P582" t="n">
        <v>0</v>
      </c>
      <c r="Q582" t="n">
        <v>1</v>
      </c>
      <c r="R582" s="2" t="inlineStr">
        <is>
          <t>Murgröna</t>
        </is>
      </c>
      <c r="S582">
        <f>HYPERLINK("https://klasma.github.io/Logging_KALMAR/artfynd/A 3404-2023.xlsx")</f>
        <v/>
      </c>
      <c r="T582">
        <f>HYPERLINK("https://klasma.github.io/Logging_KALMAR/kartor/A 3404-2023.png")</f>
        <v/>
      </c>
      <c r="V582">
        <f>HYPERLINK("https://klasma.github.io/Logging_KALMAR/klagomål/A 3404-2023.docx")</f>
        <v/>
      </c>
      <c r="W582">
        <f>HYPERLINK("https://klasma.github.io/Logging_KALMAR/klagomålsmail/A 3404-2023.docx")</f>
        <v/>
      </c>
      <c r="X582">
        <f>HYPERLINK("https://klasma.github.io/Logging_KALMAR/tillsyn/A 3404-2023.docx")</f>
        <v/>
      </c>
      <c r="Y582">
        <f>HYPERLINK("https://klasma.github.io/Logging_KALMAR/tillsynsmail/A 3404-2023.docx")</f>
        <v/>
      </c>
    </row>
    <row r="583" ht="15" customHeight="1">
      <c r="A583" t="inlineStr">
        <is>
          <t>A 4371-2023</t>
        </is>
      </c>
      <c r="B583" s="1" t="n">
        <v>44955</v>
      </c>
      <c r="C583" s="1" t="n">
        <v>45175</v>
      </c>
      <c r="D583" t="inlineStr">
        <is>
          <t>KALMAR LÄN</t>
        </is>
      </c>
      <c r="E583" t="inlineStr">
        <is>
          <t>MÖNSTERÅS</t>
        </is>
      </c>
      <c r="G583" t="n">
        <v>2.3</v>
      </c>
      <c r="H583" t="n">
        <v>0</v>
      </c>
      <c r="I583" t="n">
        <v>0</v>
      </c>
      <c r="J583" t="n">
        <v>1</v>
      </c>
      <c r="K583" t="n">
        <v>0</v>
      </c>
      <c r="L583" t="n">
        <v>0</v>
      </c>
      <c r="M583" t="n">
        <v>0</v>
      </c>
      <c r="N583" t="n">
        <v>0</v>
      </c>
      <c r="O583" t="n">
        <v>1</v>
      </c>
      <c r="P583" t="n">
        <v>0</v>
      </c>
      <c r="Q583" t="n">
        <v>1</v>
      </c>
      <c r="R583" s="2" t="inlineStr">
        <is>
          <t>Svinrot</t>
        </is>
      </c>
      <c r="S583">
        <f>HYPERLINK("https://klasma.github.io/Logging_MONSTERAS/artfynd/A 4371-2023.xlsx")</f>
        <v/>
      </c>
      <c r="T583">
        <f>HYPERLINK("https://klasma.github.io/Logging_MONSTERAS/kartor/A 4371-2023.png")</f>
        <v/>
      </c>
      <c r="V583">
        <f>HYPERLINK("https://klasma.github.io/Logging_MONSTERAS/klagomål/A 4371-2023.docx")</f>
        <v/>
      </c>
      <c r="W583">
        <f>HYPERLINK("https://klasma.github.io/Logging_MONSTERAS/klagomålsmail/A 4371-2023.docx")</f>
        <v/>
      </c>
      <c r="X583">
        <f>HYPERLINK("https://klasma.github.io/Logging_MONSTERAS/tillsyn/A 4371-2023.docx")</f>
        <v/>
      </c>
      <c r="Y583">
        <f>HYPERLINK("https://klasma.github.io/Logging_MONSTERAS/tillsynsmail/A 4371-2023.docx")</f>
        <v/>
      </c>
    </row>
    <row r="584" ht="15" customHeight="1">
      <c r="A584" t="inlineStr">
        <is>
          <t>A 8886-2023</t>
        </is>
      </c>
      <c r="B584" s="1" t="n">
        <v>44979</v>
      </c>
      <c r="C584" s="1" t="n">
        <v>45175</v>
      </c>
      <c r="D584" t="inlineStr">
        <is>
          <t>KALMAR LÄN</t>
        </is>
      </c>
      <c r="E584" t="inlineStr">
        <is>
          <t>MÖNSTERÅS</t>
        </is>
      </c>
      <c r="G584" t="n">
        <v>3.4</v>
      </c>
      <c r="H584" t="n">
        <v>1</v>
      </c>
      <c r="I584" t="n">
        <v>0</v>
      </c>
      <c r="J584" t="n">
        <v>0</v>
      </c>
      <c r="K584" t="n">
        <v>1</v>
      </c>
      <c r="L584" t="n">
        <v>0</v>
      </c>
      <c r="M584" t="n">
        <v>0</v>
      </c>
      <c r="N584" t="n">
        <v>0</v>
      </c>
      <c r="O584" t="n">
        <v>1</v>
      </c>
      <c r="P584" t="n">
        <v>1</v>
      </c>
      <c r="Q584" t="n">
        <v>1</v>
      </c>
      <c r="R584" s="2" t="inlineStr">
        <is>
          <t>Knärot</t>
        </is>
      </c>
      <c r="S584">
        <f>HYPERLINK("https://klasma.github.io/Logging_MONSTERAS/artfynd/A 8886-2023.xlsx")</f>
        <v/>
      </c>
      <c r="T584">
        <f>HYPERLINK("https://klasma.github.io/Logging_MONSTERAS/kartor/A 8886-2023.png")</f>
        <v/>
      </c>
      <c r="U584">
        <f>HYPERLINK("https://klasma.github.io/Logging_MONSTERAS/knärot/A 8886-2023.png")</f>
        <v/>
      </c>
      <c r="V584">
        <f>HYPERLINK("https://klasma.github.io/Logging_MONSTERAS/klagomål/A 8886-2023.docx")</f>
        <v/>
      </c>
      <c r="W584">
        <f>HYPERLINK("https://klasma.github.io/Logging_MONSTERAS/klagomålsmail/A 8886-2023.docx")</f>
        <v/>
      </c>
      <c r="X584">
        <f>HYPERLINK("https://klasma.github.io/Logging_MONSTERAS/tillsyn/A 8886-2023.docx")</f>
        <v/>
      </c>
      <c r="Y584">
        <f>HYPERLINK("https://klasma.github.io/Logging_MONSTERAS/tillsynsmail/A 8886-2023.docx")</f>
        <v/>
      </c>
    </row>
    <row r="585" ht="15" customHeight="1">
      <c r="A585" t="inlineStr">
        <is>
          <t>A 10333-2023</t>
        </is>
      </c>
      <c r="B585" s="1" t="n">
        <v>44980</v>
      </c>
      <c r="C585" s="1" t="n">
        <v>45175</v>
      </c>
      <c r="D585" t="inlineStr">
        <is>
          <t>KALMAR LÄN</t>
        </is>
      </c>
      <c r="E585" t="inlineStr">
        <is>
          <t>HULTSFRED</t>
        </is>
      </c>
      <c r="G585" t="n">
        <v>5</v>
      </c>
      <c r="H585" t="n">
        <v>1</v>
      </c>
      <c r="I585" t="n">
        <v>0</v>
      </c>
      <c r="J585" t="n">
        <v>0</v>
      </c>
      <c r="K585" t="n">
        <v>0</v>
      </c>
      <c r="L585" t="n">
        <v>0</v>
      </c>
      <c r="M585" t="n">
        <v>0</v>
      </c>
      <c r="N585" t="n">
        <v>0</v>
      </c>
      <c r="O585" t="n">
        <v>0</v>
      </c>
      <c r="P585" t="n">
        <v>0</v>
      </c>
      <c r="Q585" t="n">
        <v>1</v>
      </c>
      <c r="R585" s="2" t="inlineStr">
        <is>
          <t>Blåsippa</t>
        </is>
      </c>
      <c r="S585">
        <f>HYPERLINK("https://klasma.github.io/Logging_HULTSFRED/artfynd/A 10333-2023.xlsx")</f>
        <v/>
      </c>
      <c r="T585">
        <f>HYPERLINK("https://klasma.github.io/Logging_HULTSFRED/kartor/A 10333-2023.png")</f>
        <v/>
      </c>
      <c r="V585">
        <f>HYPERLINK("https://klasma.github.io/Logging_HULTSFRED/klagomål/A 10333-2023.docx")</f>
        <v/>
      </c>
      <c r="W585">
        <f>HYPERLINK("https://klasma.github.io/Logging_HULTSFRED/klagomålsmail/A 10333-2023.docx")</f>
        <v/>
      </c>
      <c r="X585">
        <f>HYPERLINK("https://klasma.github.io/Logging_HULTSFRED/tillsyn/A 10333-2023.docx")</f>
        <v/>
      </c>
      <c r="Y585">
        <f>HYPERLINK("https://klasma.github.io/Logging_HULTSFRED/tillsynsmail/A 10333-2023.docx")</f>
        <v/>
      </c>
    </row>
    <row r="586" ht="15" customHeight="1">
      <c r="A586" t="inlineStr">
        <is>
          <t>A 9745-2023</t>
        </is>
      </c>
      <c r="B586" s="1" t="n">
        <v>44984</v>
      </c>
      <c r="C586" s="1" t="n">
        <v>45175</v>
      </c>
      <c r="D586" t="inlineStr">
        <is>
          <t>KALMAR LÄN</t>
        </is>
      </c>
      <c r="E586" t="inlineStr">
        <is>
          <t>BORGHOLM</t>
        </is>
      </c>
      <c r="G586" t="n">
        <v>1.2</v>
      </c>
      <c r="H586" t="n">
        <v>1</v>
      </c>
      <c r="I586" t="n">
        <v>1</v>
      </c>
      <c r="J586" t="n">
        <v>0</v>
      </c>
      <c r="K586" t="n">
        <v>0</v>
      </c>
      <c r="L586" t="n">
        <v>0</v>
      </c>
      <c r="M586" t="n">
        <v>0</v>
      </c>
      <c r="N586" t="n">
        <v>0</v>
      </c>
      <c r="O586" t="n">
        <v>0</v>
      </c>
      <c r="P586" t="n">
        <v>0</v>
      </c>
      <c r="Q586" t="n">
        <v>1</v>
      </c>
      <c r="R586" s="2" t="inlineStr">
        <is>
          <t>Skogsknipprot</t>
        </is>
      </c>
      <c r="S586">
        <f>HYPERLINK("https://klasma.github.io/Logging_BORGHOLM/artfynd/A 9745-2023.xlsx")</f>
        <v/>
      </c>
      <c r="T586">
        <f>HYPERLINK("https://klasma.github.io/Logging_BORGHOLM/kartor/A 9745-2023.png")</f>
        <v/>
      </c>
      <c r="V586">
        <f>HYPERLINK("https://klasma.github.io/Logging_BORGHOLM/klagomål/A 9745-2023.docx")</f>
        <v/>
      </c>
      <c r="W586">
        <f>HYPERLINK("https://klasma.github.io/Logging_BORGHOLM/klagomålsmail/A 9745-2023.docx")</f>
        <v/>
      </c>
      <c r="X586">
        <f>HYPERLINK("https://klasma.github.io/Logging_BORGHOLM/tillsyn/A 9745-2023.docx")</f>
        <v/>
      </c>
      <c r="Y586">
        <f>HYPERLINK("https://klasma.github.io/Logging_BORGHOLM/tillsynsmail/A 9745-2023.docx")</f>
        <v/>
      </c>
    </row>
    <row r="587" ht="15" customHeight="1">
      <c r="A587" t="inlineStr">
        <is>
          <t>A 11729-2023</t>
        </is>
      </c>
      <c r="B587" s="1" t="n">
        <v>44994</v>
      </c>
      <c r="C587" s="1" t="n">
        <v>45175</v>
      </c>
      <c r="D587" t="inlineStr">
        <is>
          <t>KALMAR LÄN</t>
        </is>
      </c>
      <c r="E587" t="inlineStr">
        <is>
          <t>VÄSTERVIK</t>
        </is>
      </c>
      <c r="F587" t="inlineStr">
        <is>
          <t>Sveaskog</t>
        </is>
      </c>
      <c r="G587" t="n">
        <v>4.1</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HYPERLINK("https://klasma.github.io/Logging_VASTERVIK/artfynd/A 11729-2023.xlsx")</f>
        <v/>
      </c>
      <c r="T587">
        <f>HYPERLINK("https://klasma.github.io/Logging_VASTERVIK/kartor/A 11729-2023.png")</f>
        <v/>
      </c>
      <c r="V587">
        <f>HYPERLINK("https://klasma.github.io/Logging_VASTERVIK/klagomål/A 11729-2023.docx")</f>
        <v/>
      </c>
      <c r="W587">
        <f>HYPERLINK("https://klasma.github.io/Logging_VASTERVIK/klagomålsmail/A 11729-2023.docx")</f>
        <v/>
      </c>
      <c r="X587">
        <f>HYPERLINK("https://klasma.github.io/Logging_VASTERVIK/tillsyn/A 11729-2023.docx")</f>
        <v/>
      </c>
      <c r="Y587">
        <f>HYPERLINK("https://klasma.github.io/Logging_VASTERVIK/tillsynsmail/A 11729-2023.docx")</f>
        <v/>
      </c>
    </row>
    <row r="588" ht="15" customHeight="1">
      <c r="A588" t="inlineStr">
        <is>
          <t>A 13721-2023</t>
        </is>
      </c>
      <c r="B588" s="1" t="n">
        <v>45007</v>
      </c>
      <c r="C588" s="1" t="n">
        <v>45175</v>
      </c>
      <c r="D588" t="inlineStr">
        <is>
          <t>KALMAR LÄN</t>
        </is>
      </c>
      <c r="E588" t="inlineStr">
        <is>
          <t>KALMAR</t>
        </is>
      </c>
      <c r="G588" t="n">
        <v>5.2</v>
      </c>
      <c r="H588" t="n">
        <v>0</v>
      </c>
      <c r="I588" t="n">
        <v>1</v>
      </c>
      <c r="J588" t="n">
        <v>0</v>
      </c>
      <c r="K588" t="n">
        <v>0</v>
      </c>
      <c r="L588" t="n">
        <v>0</v>
      </c>
      <c r="M588" t="n">
        <v>0</v>
      </c>
      <c r="N588" t="n">
        <v>0</v>
      </c>
      <c r="O588" t="n">
        <v>0</v>
      </c>
      <c r="P588" t="n">
        <v>0</v>
      </c>
      <c r="Q588" t="n">
        <v>1</v>
      </c>
      <c r="R588" s="2" t="inlineStr">
        <is>
          <t>Ögonpyrola</t>
        </is>
      </c>
      <c r="S588">
        <f>HYPERLINK("https://klasma.github.io/Logging_KALMAR/artfynd/A 13721-2023.xlsx")</f>
        <v/>
      </c>
      <c r="T588">
        <f>HYPERLINK("https://klasma.github.io/Logging_KALMAR/kartor/A 13721-2023.png")</f>
        <v/>
      </c>
      <c r="V588">
        <f>HYPERLINK("https://klasma.github.io/Logging_KALMAR/klagomål/A 13721-2023.docx")</f>
        <v/>
      </c>
      <c r="W588">
        <f>HYPERLINK("https://klasma.github.io/Logging_KALMAR/klagomålsmail/A 13721-2023.docx")</f>
        <v/>
      </c>
      <c r="X588">
        <f>HYPERLINK("https://klasma.github.io/Logging_KALMAR/tillsyn/A 13721-2023.docx")</f>
        <v/>
      </c>
      <c r="Y588">
        <f>HYPERLINK("https://klasma.github.io/Logging_KALMAR/tillsynsmail/A 13721-2023.docx")</f>
        <v/>
      </c>
    </row>
    <row r="589" ht="15" customHeight="1">
      <c r="A589" t="inlineStr">
        <is>
          <t>A 14720-2023</t>
        </is>
      </c>
      <c r="B589" s="1" t="n">
        <v>45014</v>
      </c>
      <c r="C589" s="1" t="n">
        <v>45175</v>
      </c>
      <c r="D589" t="inlineStr">
        <is>
          <t>KALMAR LÄN</t>
        </is>
      </c>
      <c r="E589" t="inlineStr">
        <is>
          <t>VÄSTERVIK</t>
        </is>
      </c>
      <c r="G589" t="n">
        <v>3.5</v>
      </c>
      <c r="H589" t="n">
        <v>1</v>
      </c>
      <c r="I589" t="n">
        <v>0</v>
      </c>
      <c r="J589" t="n">
        <v>0</v>
      </c>
      <c r="K589" t="n">
        <v>1</v>
      </c>
      <c r="L589" t="n">
        <v>0</v>
      </c>
      <c r="M589" t="n">
        <v>0</v>
      </c>
      <c r="N589" t="n">
        <v>0</v>
      </c>
      <c r="O589" t="n">
        <v>1</v>
      </c>
      <c r="P589" t="n">
        <v>1</v>
      </c>
      <c r="Q589" t="n">
        <v>1</v>
      </c>
      <c r="R589" s="2" t="inlineStr">
        <is>
          <t>Knärot</t>
        </is>
      </c>
      <c r="S589">
        <f>HYPERLINK("https://klasma.github.io/Logging_VASTERVIK/artfynd/A 14720-2023.xlsx")</f>
        <v/>
      </c>
      <c r="T589">
        <f>HYPERLINK("https://klasma.github.io/Logging_VASTERVIK/kartor/A 14720-2023.png")</f>
        <v/>
      </c>
      <c r="U589">
        <f>HYPERLINK("https://klasma.github.io/Logging_VASTERVIK/knärot/A 14720-2023.png")</f>
        <v/>
      </c>
      <c r="V589">
        <f>HYPERLINK("https://klasma.github.io/Logging_VASTERVIK/klagomål/A 14720-2023.docx")</f>
        <v/>
      </c>
      <c r="W589">
        <f>HYPERLINK("https://klasma.github.io/Logging_VASTERVIK/klagomålsmail/A 14720-2023.docx")</f>
        <v/>
      </c>
      <c r="X589">
        <f>HYPERLINK("https://klasma.github.io/Logging_VASTERVIK/tillsyn/A 14720-2023.docx")</f>
        <v/>
      </c>
      <c r="Y589">
        <f>HYPERLINK("https://klasma.github.io/Logging_VASTERVIK/tillsynsmail/A 14720-2023.docx")</f>
        <v/>
      </c>
    </row>
    <row r="590" ht="15" customHeight="1">
      <c r="A590" t="inlineStr">
        <is>
          <t>A 15440-2023</t>
        </is>
      </c>
      <c r="B590" s="1" t="n">
        <v>45016</v>
      </c>
      <c r="C590" s="1" t="n">
        <v>45175</v>
      </c>
      <c r="D590" t="inlineStr">
        <is>
          <t>KALMAR LÄN</t>
        </is>
      </c>
      <c r="E590" t="inlineStr">
        <is>
          <t>HULTSFRED</t>
        </is>
      </c>
      <c r="G590" t="n">
        <v>3.1</v>
      </c>
      <c r="H590" t="n">
        <v>1</v>
      </c>
      <c r="I590" t="n">
        <v>0</v>
      </c>
      <c r="J590" t="n">
        <v>1</v>
      </c>
      <c r="K590" t="n">
        <v>0</v>
      </c>
      <c r="L590" t="n">
        <v>0</v>
      </c>
      <c r="M590" t="n">
        <v>0</v>
      </c>
      <c r="N590" t="n">
        <v>0</v>
      </c>
      <c r="O590" t="n">
        <v>1</v>
      </c>
      <c r="P590" t="n">
        <v>0</v>
      </c>
      <c r="Q590" t="n">
        <v>1</v>
      </c>
      <c r="R590" s="2" t="inlineStr">
        <is>
          <t>Spillkråka</t>
        </is>
      </c>
      <c r="S590">
        <f>HYPERLINK("https://klasma.github.io/Logging_HULTSFRED/artfynd/A 15440-2023.xlsx")</f>
        <v/>
      </c>
      <c r="T590">
        <f>HYPERLINK("https://klasma.github.io/Logging_HULTSFRED/kartor/A 15440-2023.png")</f>
        <v/>
      </c>
      <c r="V590">
        <f>HYPERLINK("https://klasma.github.io/Logging_HULTSFRED/klagomål/A 15440-2023.docx")</f>
        <v/>
      </c>
      <c r="W590">
        <f>HYPERLINK("https://klasma.github.io/Logging_HULTSFRED/klagomålsmail/A 15440-2023.docx")</f>
        <v/>
      </c>
      <c r="X590">
        <f>HYPERLINK("https://klasma.github.io/Logging_HULTSFRED/tillsyn/A 15440-2023.docx")</f>
        <v/>
      </c>
      <c r="Y590">
        <f>HYPERLINK("https://klasma.github.io/Logging_HULTSFRED/tillsynsmail/A 15440-2023.docx")</f>
        <v/>
      </c>
    </row>
    <row r="591" ht="15" customHeight="1">
      <c r="A591" t="inlineStr">
        <is>
          <t>A 15376-2023</t>
        </is>
      </c>
      <c r="B591" s="1" t="n">
        <v>45019</v>
      </c>
      <c r="C591" s="1" t="n">
        <v>45175</v>
      </c>
      <c r="D591" t="inlineStr">
        <is>
          <t>KALMAR LÄN</t>
        </is>
      </c>
      <c r="E591" t="inlineStr">
        <is>
          <t>TORSÅS</t>
        </is>
      </c>
      <c r="G591" t="n">
        <v>1.8</v>
      </c>
      <c r="H591" t="n">
        <v>1</v>
      </c>
      <c r="I591" t="n">
        <v>0</v>
      </c>
      <c r="J591" t="n">
        <v>1</v>
      </c>
      <c r="K591" t="n">
        <v>0</v>
      </c>
      <c r="L591" t="n">
        <v>0</v>
      </c>
      <c r="M591" t="n">
        <v>0</v>
      </c>
      <c r="N591" t="n">
        <v>0</v>
      </c>
      <c r="O591" t="n">
        <v>1</v>
      </c>
      <c r="P591" t="n">
        <v>0</v>
      </c>
      <c r="Q591" t="n">
        <v>1</v>
      </c>
      <c r="R591" s="2" t="inlineStr">
        <is>
          <t>Långbensgroda</t>
        </is>
      </c>
      <c r="S591">
        <f>HYPERLINK("https://klasma.github.io/Logging_TORSAS/artfynd/A 15376-2023.xlsx")</f>
        <v/>
      </c>
      <c r="T591">
        <f>HYPERLINK("https://klasma.github.io/Logging_TORSAS/kartor/A 15376-2023.png")</f>
        <v/>
      </c>
      <c r="V591">
        <f>HYPERLINK("https://klasma.github.io/Logging_TORSAS/klagomål/A 15376-2023.docx")</f>
        <v/>
      </c>
      <c r="W591">
        <f>HYPERLINK("https://klasma.github.io/Logging_TORSAS/klagomålsmail/A 15376-2023.docx")</f>
        <v/>
      </c>
      <c r="X591">
        <f>HYPERLINK("https://klasma.github.io/Logging_TORSAS/tillsyn/A 15376-2023.docx")</f>
        <v/>
      </c>
      <c r="Y591">
        <f>HYPERLINK("https://klasma.github.io/Logging_TORSAS/tillsynsmail/A 15376-2023.docx")</f>
        <v/>
      </c>
    </row>
    <row r="592" ht="15" customHeight="1">
      <c r="A592" t="inlineStr">
        <is>
          <t>A 16173-2023</t>
        </is>
      </c>
      <c r="B592" s="1" t="n">
        <v>45027</v>
      </c>
      <c r="C592" s="1" t="n">
        <v>45175</v>
      </c>
      <c r="D592" t="inlineStr">
        <is>
          <t>KALMAR LÄN</t>
        </is>
      </c>
      <c r="E592" t="inlineStr">
        <is>
          <t>BORGHOLM</t>
        </is>
      </c>
      <c r="G592" t="n">
        <v>1.9</v>
      </c>
      <c r="H592" t="n">
        <v>0</v>
      </c>
      <c r="I592" t="n">
        <v>0</v>
      </c>
      <c r="J592" t="n">
        <v>0</v>
      </c>
      <c r="K592" t="n">
        <v>0</v>
      </c>
      <c r="L592" t="n">
        <v>1</v>
      </c>
      <c r="M592" t="n">
        <v>0</v>
      </c>
      <c r="N592" t="n">
        <v>0</v>
      </c>
      <c r="O592" t="n">
        <v>1</v>
      </c>
      <c r="P592" t="n">
        <v>1</v>
      </c>
      <c r="Q592" t="n">
        <v>1</v>
      </c>
      <c r="R592" s="2" t="inlineStr">
        <is>
          <t>Ädellav</t>
        </is>
      </c>
      <c r="S592">
        <f>HYPERLINK("https://klasma.github.io/Logging_BORGHOLM/artfynd/A 16173-2023.xlsx")</f>
        <v/>
      </c>
      <c r="T592">
        <f>HYPERLINK("https://klasma.github.io/Logging_BORGHOLM/kartor/A 16173-2023.png")</f>
        <v/>
      </c>
      <c r="V592">
        <f>HYPERLINK("https://klasma.github.io/Logging_BORGHOLM/klagomål/A 16173-2023.docx")</f>
        <v/>
      </c>
      <c r="W592">
        <f>HYPERLINK("https://klasma.github.io/Logging_BORGHOLM/klagomålsmail/A 16173-2023.docx")</f>
        <v/>
      </c>
      <c r="X592">
        <f>HYPERLINK("https://klasma.github.io/Logging_BORGHOLM/tillsyn/A 16173-2023.docx")</f>
        <v/>
      </c>
      <c r="Y592">
        <f>HYPERLINK("https://klasma.github.io/Logging_BORGHOLM/tillsynsmail/A 16173-2023.docx")</f>
        <v/>
      </c>
    </row>
    <row r="593" ht="15" customHeight="1">
      <c r="A593" t="inlineStr">
        <is>
          <t>A 16622-2023</t>
        </is>
      </c>
      <c r="B593" s="1" t="n">
        <v>45030</v>
      </c>
      <c r="C593" s="1" t="n">
        <v>45175</v>
      </c>
      <c r="D593" t="inlineStr">
        <is>
          <t>KALMAR LÄN</t>
        </is>
      </c>
      <c r="E593" t="inlineStr">
        <is>
          <t>VÄSTERVIK</t>
        </is>
      </c>
      <c r="G593" t="n">
        <v>1.9</v>
      </c>
      <c r="H593" t="n">
        <v>1</v>
      </c>
      <c r="I593" t="n">
        <v>0</v>
      </c>
      <c r="J593" t="n">
        <v>0</v>
      </c>
      <c r="K593" t="n">
        <v>1</v>
      </c>
      <c r="L593" t="n">
        <v>0</v>
      </c>
      <c r="M593" t="n">
        <v>0</v>
      </c>
      <c r="N593" t="n">
        <v>0</v>
      </c>
      <c r="O593" t="n">
        <v>1</v>
      </c>
      <c r="P593" t="n">
        <v>1</v>
      </c>
      <c r="Q593" t="n">
        <v>1</v>
      </c>
      <c r="R593" s="2" t="inlineStr">
        <is>
          <t>Knärot</t>
        </is>
      </c>
      <c r="S593">
        <f>HYPERLINK("https://klasma.github.io/Logging_VASTERVIK/artfynd/A 16622-2023.xlsx")</f>
        <v/>
      </c>
      <c r="T593">
        <f>HYPERLINK("https://klasma.github.io/Logging_VASTERVIK/kartor/A 16622-2023.png")</f>
        <v/>
      </c>
      <c r="U593">
        <f>HYPERLINK("https://klasma.github.io/Logging_VASTERVIK/knärot/A 16622-2023.png")</f>
        <v/>
      </c>
      <c r="V593">
        <f>HYPERLINK("https://klasma.github.io/Logging_VASTERVIK/klagomål/A 16622-2023.docx")</f>
        <v/>
      </c>
      <c r="W593">
        <f>HYPERLINK("https://klasma.github.io/Logging_VASTERVIK/klagomålsmail/A 16622-2023.docx")</f>
        <v/>
      </c>
      <c r="X593">
        <f>HYPERLINK("https://klasma.github.io/Logging_VASTERVIK/tillsyn/A 16622-2023.docx")</f>
        <v/>
      </c>
      <c r="Y593">
        <f>HYPERLINK("https://klasma.github.io/Logging_VASTERVIK/tillsynsmail/A 16622-2023.docx")</f>
        <v/>
      </c>
    </row>
    <row r="594" ht="15" customHeight="1">
      <c r="A594" t="inlineStr">
        <is>
          <t>A 17193-2023</t>
        </is>
      </c>
      <c r="B594" s="1" t="n">
        <v>45034</v>
      </c>
      <c r="C594" s="1" t="n">
        <v>45175</v>
      </c>
      <c r="D594" t="inlineStr">
        <is>
          <t>KALMAR LÄN</t>
        </is>
      </c>
      <c r="E594" t="inlineStr">
        <is>
          <t>OSKARSHAMN</t>
        </is>
      </c>
      <c r="G594" t="n">
        <v>0.7</v>
      </c>
      <c r="H594" t="n">
        <v>0</v>
      </c>
      <c r="I594" t="n">
        <v>0</v>
      </c>
      <c r="J594" t="n">
        <v>0</v>
      </c>
      <c r="K594" t="n">
        <v>1</v>
      </c>
      <c r="L594" t="n">
        <v>0</v>
      </c>
      <c r="M594" t="n">
        <v>0</v>
      </c>
      <c r="N594" t="n">
        <v>0</v>
      </c>
      <c r="O594" t="n">
        <v>1</v>
      </c>
      <c r="P594" t="n">
        <v>1</v>
      </c>
      <c r="Q594" t="n">
        <v>1</v>
      </c>
      <c r="R594" s="2" t="inlineStr">
        <is>
          <t>Slåttergubbe</t>
        </is>
      </c>
      <c r="S594">
        <f>HYPERLINK("https://klasma.github.io/Logging_OSKARSHAMN/artfynd/A 17193-2023.xlsx")</f>
        <v/>
      </c>
      <c r="T594">
        <f>HYPERLINK("https://klasma.github.io/Logging_OSKARSHAMN/kartor/A 17193-2023.png")</f>
        <v/>
      </c>
      <c r="V594">
        <f>HYPERLINK("https://klasma.github.io/Logging_OSKARSHAMN/klagomål/A 17193-2023.docx")</f>
        <v/>
      </c>
      <c r="W594">
        <f>HYPERLINK("https://klasma.github.io/Logging_OSKARSHAMN/klagomålsmail/A 17193-2023.docx")</f>
        <v/>
      </c>
      <c r="X594">
        <f>HYPERLINK("https://klasma.github.io/Logging_OSKARSHAMN/tillsyn/A 17193-2023.docx")</f>
        <v/>
      </c>
      <c r="Y594">
        <f>HYPERLINK("https://klasma.github.io/Logging_OSKARSHAMN/tillsynsmail/A 17193-2023.docx")</f>
        <v/>
      </c>
    </row>
    <row r="595" ht="15" customHeight="1">
      <c r="A595" t="inlineStr">
        <is>
          <t>A 18475-2023</t>
        </is>
      </c>
      <c r="B595" s="1" t="n">
        <v>45042</v>
      </c>
      <c r="C595" s="1" t="n">
        <v>45175</v>
      </c>
      <c r="D595" t="inlineStr">
        <is>
          <t>KALMAR LÄN</t>
        </is>
      </c>
      <c r="E595" t="inlineStr">
        <is>
          <t>KALMAR</t>
        </is>
      </c>
      <c r="G595" t="n">
        <v>7.8</v>
      </c>
      <c r="H595" t="n">
        <v>0</v>
      </c>
      <c r="I595" t="n">
        <v>1</v>
      </c>
      <c r="J595" t="n">
        <v>0</v>
      </c>
      <c r="K595" t="n">
        <v>0</v>
      </c>
      <c r="L595" t="n">
        <v>0</v>
      </c>
      <c r="M595" t="n">
        <v>0</v>
      </c>
      <c r="N595" t="n">
        <v>0</v>
      </c>
      <c r="O595" t="n">
        <v>0</v>
      </c>
      <c r="P595" t="n">
        <v>0</v>
      </c>
      <c r="Q595" t="n">
        <v>1</v>
      </c>
      <c r="R595" s="2" t="inlineStr">
        <is>
          <t>Grönpyrola</t>
        </is>
      </c>
      <c r="S595">
        <f>HYPERLINK("https://klasma.github.io/Logging_KALMAR/artfynd/A 18475-2023.xlsx")</f>
        <v/>
      </c>
      <c r="T595">
        <f>HYPERLINK("https://klasma.github.io/Logging_KALMAR/kartor/A 18475-2023.png")</f>
        <v/>
      </c>
      <c r="V595">
        <f>HYPERLINK("https://klasma.github.io/Logging_KALMAR/klagomål/A 18475-2023.docx")</f>
        <v/>
      </c>
      <c r="W595">
        <f>HYPERLINK("https://klasma.github.io/Logging_KALMAR/klagomålsmail/A 18475-2023.docx")</f>
        <v/>
      </c>
      <c r="X595">
        <f>HYPERLINK("https://klasma.github.io/Logging_KALMAR/tillsyn/A 18475-2023.docx")</f>
        <v/>
      </c>
      <c r="Y595">
        <f>HYPERLINK("https://klasma.github.io/Logging_KALMAR/tillsynsmail/A 18475-2023.docx")</f>
        <v/>
      </c>
    </row>
    <row r="596" ht="15" customHeight="1">
      <c r="A596" t="inlineStr">
        <is>
          <t>A 18874-2023</t>
        </is>
      </c>
      <c r="B596" s="1" t="n">
        <v>45044</v>
      </c>
      <c r="C596" s="1" t="n">
        <v>45175</v>
      </c>
      <c r="D596" t="inlineStr">
        <is>
          <t>KALMAR LÄN</t>
        </is>
      </c>
      <c r="E596" t="inlineStr">
        <is>
          <t>KALMAR</t>
        </is>
      </c>
      <c r="G596" t="n">
        <v>0.7</v>
      </c>
      <c r="H596" t="n">
        <v>0</v>
      </c>
      <c r="I596" t="n">
        <v>0</v>
      </c>
      <c r="J596" t="n">
        <v>1</v>
      </c>
      <c r="K596" t="n">
        <v>0</v>
      </c>
      <c r="L596" t="n">
        <v>0</v>
      </c>
      <c r="M596" t="n">
        <v>0</v>
      </c>
      <c r="N596" t="n">
        <v>0</v>
      </c>
      <c r="O596" t="n">
        <v>1</v>
      </c>
      <c r="P596" t="n">
        <v>0</v>
      </c>
      <c r="Q596" t="n">
        <v>1</v>
      </c>
      <c r="R596" s="2" t="inlineStr">
        <is>
          <t>Bredbrämad bastardsvärmare</t>
        </is>
      </c>
      <c r="S596">
        <f>HYPERLINK("https://klasma.github.io/Logging_KALMAR/artfynd/A 18874-2023.xlsx")</f>
        <v/>
      </c>
      <c r="T596">
        <f>HYPERLINK("https://klasma.github.io/Logging_KALMAR/kartor/A 18874-2023.png")</f>
        <v/>
      </c>
      <c r="V596">
        <f>HYPERLINK("https://klasma.github.io/Logging_KALMAR/klagomål/A 18874-2023.docx")</f>
        <v/>
      </c>
      <c r="W596">
        <f>HYPERLINK("https://klasma.github.io/Logging_KALMAR/klagomålsmail/A 18874-2023.docx")</f>
        <v/>
      </c>
      <c r="X596">
        <f>HYPERLINK("https://klasma.github.io/Logging_KALMAR/tillsyn/A 18874-2023.docx")</f>
        <v/>
      </c>
      <c r="Y596">
        <f>HYPERLINK("https://klasma.github.io/Logging_KALMAR/tillsynsmail/A 18874-2023.docx")</f>
        <v/>
      </c>
    </row>
    <row r="597" ht="15" customHeight="1">
      <c r="A597" t="inlineStr">
        <is>
          <t>A 19459-2023</t>
        </is>
      </c>
      <c r="B597" s="1" t="n">
        <v>45049</v>
      </c>
      <c r="C597" s="1" t="n">
        <v>45175</v>
      </c>
      <c r="D597" t="inlineStr">
        <is>
          <t>KALMAR LÄN</t>
        </is>
      </c>
      <c r="E597" t="inlineStr">
        <is>
          <t>MÖRBYLÅNGA</t>
        </is>
      </c>
      <c r="G597" t="n">
        <v>1.6</v>
      </c>
      <c r="H597" t="n">
        <v>0</v>
      </c>
      <c r="I597" t="n">
        <v>0</v>
      </c>
      <c r="J597" t="n">
        <v>0</v>
      </c>
      <c r="K597" t="n">
        <v>1</v>
      </c>
      <c r="L597" t="n">
        <v>0</v>
      </c>
      <c r="M597" t="n">
        <v>0</v>
      </c>
      <c r="N597" t="n">
        <v>0</v>
      </c>
      <c r="O597" t="n">
        <v>1</v>
      </c>
      <c r="P597" t="n">
        <v>1</v>
      </c>
      <c r="Q597" t="n">
        <v>1</v>
      </c>
      <c r="R597" s="2" t="inlineStr">
        <is>
          <t>Luddvicker</t>
        </is>
      </c>
      <c r="S597">
        <f>HYPERLINK("https://klasma.github.io/Logging_MORBYLANGA/artfynd/A 19459-2023.xlsx")</f>
        <v/>
      </c>
      <c r="T597">
        <f>HYPERLINK("https://klasma.github.io/Logging_MORBYLANGA/kartor/A 19459-2023.png")</f>
        <v/>
      </c>
      <c r="V597">
        <f>HYPERLINK("https://klasma.github.io/Logging_MORBYLANGA/klagomål/A 19459-2023.docx")</f>
        <v/>
      </c>
      <c r="W597">
        <f>HYPERLINK("https://klasma.github.io/Logging_MORBYLANGA/klagomålsmail/A 19459-2023.docx")</f>
        <v/>
      </c>
      <c r="X597">
        <f>HYPERLINK("https://klasma.github.io/Logging_MORBYLANGA/tillsyn/A 19459-2023.docx")</f>
        <v/>
      </c>
      <c r="Y597">
        <f>HYPERLINK("https://klasma.github.io/Logging_MORBYLANGA/tillsynsmail/A 19459-2023.docx")</f>
        <v/>
      </c>
    </row>
    <row r="598" ht="15" customHeight="1">
      <c r="A598" t="inlineStr">
        <is>
          <t>A 20392-2023</t>
        </is>
      </c>
      <c r="B598" s="1" t="n">
        <v>45056</v>
      </c>
      <c r="C598" s="1" t="n">
        <v>45175</v>
      </c>
      <c r="D598" t="inlineStr">
        <is>
          <t>KALMAR LÄN</t>
        </is>
      </c>
      <c r="E598" t="inlineStr">
        <is>
          <t>NYBRO</t>
        </is>
      </c>
      <c r="G598" t="n">
        <v>7.2</v>
      </c>
      <c r="H598" t="n">
        <v>0</v>
      </c>
      <c r="I598" t="n">
        <v>1</v>
      </c>
      <c r="J598" t="n">
        <v>0</v>
      </c>
      <c r="K598" t="n">
        <v>0</v>
      </c>
      <c r="L598" t="n">
        <v>0</v>
      </c>
      <c r="M598" t="n">
        <v>0</v>
      </c>
      <c r="N598" t="n">
        <v>0</v>
      </c>
      <c r="O598" t="n">
        <v>0</v>
      </c>
      <c r="P598" t="n">
        <v>0</v>
      </c>
      <c r="Q598" t="n">
        <v>1</v>
      </c>
      <c r="R598" s="2" t="inlineStr">
        <is>
          <t>Brandticka</t>
        </is>
      </c>
      <c r="S598">
        <f>HYPERLINK("https://klasma.github.io/Logging_NYBRO/artfynd/A 20392-2023.xlsx")</f>
        <v/>
      </c>
      <c r="T598">
        <f>HYPERLINK("https://klasma.github.io/Logging_NYBRO/kartor/A 20392-2023.png")</f>
        <v/>
      </c>
      <c r="V598">
        <f>HYPERLINK("https://klasma.github.io/Logging_NYBRO/klagomål/A 20392-2023.docx")</f>
        <v/>
      </c>
      <c r="W598">
        <f>HYPERLINK("https://klasma.github.io/Logging_NYBRO/klagomålsmail/A 20392-2023.docx")</f>
        <v/>
      </c>
      <c r="X598">
        <f>HYPERLINK("https://klasma.github.io/Logging_NYBRO/tillsyn/A 20392-2023.docx")</f>
        <v/>
      </c>
      <c r="Y598">
        <f>HYPERLINK("https://klasma.github.io/Logging_NYBRO/tillsynsmail/A 20392-2023.docx")</f>
        <v/>
      </c>
    </row>
    <row r="599" ht="15" customHeight="1">
      <c r="A599" t="inlineStr">
        <is>
          <t>A 21518-2023</t>
        </is>
      </c>
      <c r="B599" s="1" t="n">
        <v>45063</v>
      </c>
      <c r="C599" s="1" t="n">
        <v>45175</v>
      </c>
      <c r="D599" t="inlineStr">
        <is>
          <t>KALMAR LÄN</t>
        </is>
      </c>
      <c r="E599" t="inlineStr">
        <is>
          <t>KALMAR</t>
        </is>
      </c>
      <c r="F599" t="inlineStr">
        <is>
          <t>Sveaskog</t>
        </is>
      </c>
      <c r="G599" t="n">
        <v>16.5</v>
      </c>
      <c r="H599" t="n">
        <v>1</v>
      </c>
      <c r="I599" t="n">
        <v>0</v>
      </c>
      <c r="J599" t="n">
        <v>1</v>
      </c>
      <c r="K599" t="n">
        <v>0</v>
      </c>
      <c r="L599" t="n">
        <v>0</v>
      </c>
      <c r="M599" t="n">
        <v>0</v>
      </c>
      <c r="N599" t="n">
        <v>0</v>
      </c>
      <c r="O599" t="n">
        <v>1</v>
      </c>
      <c r="P599" t="n">
        <v>0</v>
      </c>
      <c r="Q599" t="n">
        <v>1</v>
      </c>
      <c r="R599" s="2" t="inlineStr">
        <is>
          <t>Spillkråka</t>
        </is>
      </c>
      <c r="S599">
        <f>HYPERLINK("https://klasma.github.io/Logging_KALMAR/artfynd/A 21518-2023.xlsx")</f>
        <v/>
      </c>
      <c r="T599">
        <f>HYPERLINK("https://klasma.github.io/Logging_KALMAR/kartor/A 21518-2023.png")</f>
        <v/>
      </c>
      <c r="V599">
        <f>HYPERLINK("https://klasma.github.io/Logging_KALMAR/klagomål/A 21518-2023.docx")</f>
        <v/>
      </c>
      <c r="W599">
        <f>HYPERLINK("https://klasma.github.io/Logging_KALMAR/klagomålsmail/A 21518-2023.docx")</f>
        <v/>
      </c>
      <c r="X599">
        <f>HYPERLINK("https://klasma.github.io/Logging_KALMAR/tillsyn/A 21518-2023.docx")</f>
        <v/>
      </c>
      <c r="Y599">
        <f>HYPERLINK("https://klasma.github.io/Logging_KALMAR/tillsynsmail/A 21518-2023.docx")</f>
        <v/>
      </c>
    </row>
    <row r="600" ht="15" customHeight="1">
      <c r="A600" t="inlineStr">
        <is>
          <t>A 21828-2023</t>
        </is>
      </c>
      <c r="B600" s="1" t="n">
        <v>45068</v>
      </c>
      <c r="C600" s="1" t="n">
        <v>45175</v>
      </c>
      <c r="D600" t="inlineStr">
        <is>
          <t>KALMAR LÄN</t>
        </is>
      </c>
      <c r="E600" t="inlineStr">
        <is>
          <t>VÄSTERVIK</t>
        </is>
      </c>
      <c r="G600" t="n">
        <v>0.7</v>
      </c>
      <c r="H600" t="n">
        <v>0</v>
      </c>
      <c r="I600" t="n">
        <v>1</v>
      </c>
      <c r="J600" t="n">
        <v>0</v>
      </c>
      <c r="K600" t="n">
        <v>0</v>
      </c>
      <c r="L600" t="n">
        <v>0</v>
      </c>
      <c r="M600" t="n">
        <v>0</v>
      </c>
      <c r="N600" t="n">
        <v>0</v>
      </c>
      <c r="O600" t="n">
        <v>0</v>
      </c>
      <c r="P600" t="n">
        <v>0</v>
      </c>
      <c r="Q600" t="n">
        <v>1</v>
      </c>
      <c r="R600" s="2" t="inlineStr">
        <is>
          <t>Grönpyrola</t>
        </is>
      </c>
      <c r="S600">
        <f>HYPERLINK("https://klasma.github.io/Logging_VASTERVIK/artfynd/A 21828-2023.xlsx")</f>
        <v/>
      </c>
      <c r="T600">
        <f>HYPERLINK("https://klasma.github.io/Logging_VASTERVIK/kartor/A 21828-2023.png")</f>
        <v/>
      </c>
      <c r="V600">
        <f>HYPERLINK("https://klasma.github.io/Logging_VASTERVIK/klagomål/A 21828-2023.docx")</f>
        <v/>
      </c>
      <c r="W600">
        <f>HYPERLINK("https://klasma.github.io/Logging_VASTERVIK/klagomålsmail/A 21828-2023.docx")</f>
        <v/>
      </c>
      <c r="X600">
        <f>HYPERLINK("https://klasma.github.io/Logging_VASTERVIK/tillsyn/A 21828-2023.docx")</f>
        <v/>
      </c>
      <c r="Y600">
        <f>HYPERLINK("https://klasma.github.io/Logging_VASTERVIK/tillsynsmail/A 21828-2023.docx")</f>
        <v/>
      </c>
    </row>
    <row r="601" ht="15" customHeight="1">
      <c r="A601" t="inlineStr">
        <is>
          <t>A 22014-2023</t>
        </is>
      </c>
      <c r="B601" s="1" t="n">
        <v>45069</v>
      </c>
      <c r="C601" s="1" t="n">
        <v>45175</v>
      </c>
      <c r="D601" t="inlineStr">
        <is>
          <t>KALMAR LÄN</t>
        </is>
      </c>
      <c r="E601" t="inlineStr">
        <is>
          <t>KALMAR</t>
        </is>
      </c>
      <c r="G601" t="n">
        <v>1.6</v>
      </c>
      <c r="H601" t="n">
        <v>1</v>
      </c>
      <c r="I601" t="n">
        <v>0</v>
      </c>
      <c r="J601" t="n">
        <v>0</v>
      </c>
      <c r="K601" t="n">
        <v>0</v>
      </c>
      <c r="L601" t="n">
        <v>0</v>
      </c>
      <c r="M601" t="n">
        <v>0</v>
      </c>
      <c r="N601" t="n">
        <v>0</v>
      </c>
      <c r="O601" t="n">
        <v>0</v>
      </c>
      <c r="P601" t="n">
        <v>0</v>
      </c>
      <c r="Q601" t="n">
        <v>1</v>
      </c>
      <c r="R601" s="2" t="inlineStr">
        <is>
          <t>Lopplummer</t>
        </is>
      </c>
      <c r="S601">
        <f>HYPERLINK("https://klasma.github.io/Logging_KALMAR/artfynd/A 22014-2023.xlsx")</f>
        <v/>
      </c>
      <c r="T601">
        <f>HYPERLINK("https://klasma.github.io/Logging_KALMAR/kartor/A 22014-2023.png")</f>
        <v/>
      </c>
      <c r="V601">
        <f>HYPERLINK("https://klasma.github.io/Logging_KALMAR/klagomål/A 22014-2023.docx")</f>
        <v/>
      </c>
      <c r="W601">
        <f>HYPERLINK("https://klasma.github.io/Logging_KALMAR/klagomålsmail/A 22014-2023.docx")</f>
        <v/>
      </c>
      <c r="X601">
        <f>HYPERLINK("https://klasma.github.io/Logging_KALMAR/tillsyn/A 22014-2023.docx")</f>
        <v/>
      </c>
      <c r="Y601">
        <f>HYPERLINK("https://klasma.github.io/Logging_KALMAR/tillsynsmail/A 22014-2023.docx")</f>
        <v/>
      </c>
    </row>
    <row r="602" ht="15" customHeight="1">
      <c r="A602" t="inlineStr">
        <is>
          <t>A 23849-2023</t>
        </is>
      </c>
      <c r="B602" s="1" t="n">
        <v>45078</v>
      </c>
      <c r="C602" s="1" t="n">
        <v>45175</v>
      </c>
      <c r="D602" t="inlineStr">
        <is>
          <t>KALMAR LÄN</t>
        </is>
      </c>
      <c r="E602" t="inlineStr">
        <is>
          <t>HÖGSBY</t>
        </is>
      </c>
      <c r="G602" t="n">
        <v>1.5</v>
      </c>
      <c r="H602" t="n">
        <v>0</v>
      </c>
      <c r="I602" t="n">
        <v>0</v>
      </c>
      <c r="J602" t="n">
        <v>1</v>
      </c>
      <c r="K602" t="n">
        <v>0</v>
      </c>
      <c r="L602" t="n">
        <v>0</v>
      </c>
      <c r="M602" t="n">
        <v>0</v>
      </c>
      <c r="N602" t="n">
        <v>0</v>
      </c>
      <c r="O602" t="n">
        <v>1</v>
      </c>
      <c r="P602" t="n">
        <v>0</v>
      </c>
      <c r="Q602" t="n">
        <v>1</v>
      </c>
      <c r="R602" s="2" t="inlineStr">
        <is>
          <t>Vippärt</t>
        </is>
      </c>
      <c r="S602">
        <f>HYPERLINK("https://klasma.github.io/Logging_HOGSBY/artfynd/A 23849-2023.xlsx")</f>
        <v/>
      </c>
      <c r="T602">
        <f>HYPERLINK("https://klasma.github.io/Logging_HOGSBY/kartor/A 23849-2023.png")</f>
        <v/>
      </c>
      <c r="V602">
        <f>HYPERLINK("https://klasma.github.io/Logging_HOGSBY/klagomål/A 23849-2023.docx")</f>
        <v/>
      </c>
      <c r="W602">
        <f>HYPERLINK("https://klasma.github.io/Logging_HOGSBY/klagomålsmail/A 23849-2023.docx")</f>
        <v/>
      </c>
      <c r="X602">
        <f>HYPERLINK("https://klasma.github.io/Logging_HOGSBY/tillsyn/A 23849-2023.docx")</f>
        <v/>
      </c>
      <c r="Y602">
        <f>HYPERLINK("https://klasma.github.io/Logging_HOGSBY/tillsynsmail/A 23849-2023.docx")</f>
        <v/>
      </c>
    </row>
    <row r="603" ht="15" customHeight="1">
      <c r="A603" t="inlineStr">
        <is>
          <t>A 24157-2023</t>
        </is>
      </c>
      <c r="B603" s="1" t="n">
        <v>45079</v>
      </c>
      <c r="C603" s="1" t="n">
        <v>45175</v>
      </c>
      <c r="D603" t="inlineStr">
        <is>
          <t>KALMAR LÄN</t>
        </is>
      </c>
      <c r="E603" t="inlineStr">
        <is>
          <t>TORSÅS</t>
        </is>
      </c>
      <c r="G603" t="n">
        <v>7</v>
      </c>
      <c r="H603" t="n">
        <v>0</v>
      </c>
      <c r="I603" t="n">
        <v>1</v>
      </c>
      <c r="J603" t="n">
        <v>0</v>
      </c>
      <c r="K603" t="n">
        <v>0</v>
      </c>
      <c r="L603" t="n">
        <v>0</v>
      </c>
      <c r="M603" t="n">
        <v>0</v>
      </c>
      <c r="N603" t="n">
        <v>0</v>
      </c>
      <c r="O603" t="n">
        <v>0</v>
      </c>
      <c r="P603" t="n">
        <v>0</v>
      </c>
      <c r="Q603" t="n">
        <v>1</v>
      </c>
      <c r="R603" s="2" t="inlineStr">
        <is>
          <t>Grovticka</t>
        </is>
      </c>
      <c r="S603">
        <f>HYPERLINK("https://klasma.github.io/Logging_TORSAS/artfynd/A 24157-2023.xlsx")</f>
        <v/>
      </c>
      <c r="T603">
        <f>HYPERLINK("https://klasma.github.io/Logging_TORSAS/kartor/A 24157-2023.png")</f>
        <v/>
      </c>
      <c r="V603">
        <f>HYPERLINK("https://klasma.github.io/Logging_TORSAS/klagomål/A 24157-2023.docx")</f>
        <v/>
      </c>
      <c r="W603">
        <f>HYPERLINK("https://klasma.github.io/Logging_TORSAS/klagomålsmail/A 24157-2023.docx")</f>
        <v/>
      </c>
      <c r="X603">
        <f>HYPERLINK("https://klasma.github.io/Logging_TORSAS/tillsyn/A 24157-2023.docx")</f>
        <v/>
      </c>
      <c r="Y603">
        <f>HYPERLINK("https://klasma.github.io/Logging_TORSAS/tillsynsmail/A 24157-2023.docx")</f>
        <v/>
      </c>
    </row>
    <row r="604" ht="15" customHeight="1">
      <c r="A604" t="inlineStr">
        <is>
          <t>A 24698-2023</t>
        </is>
      </c>
      <c r="B604" s="1" t="n">
        <v>45084</v>
      </c>
      <c r="C604" s="1" t="n">
        <v>45175</v>
      </c>
      <c r="D604" t="inlineStr">
        <is>
          <t>KALMAR LÄN</t>
        </is>
      </c>
      <c r="E604" t="inlineStr">
        <is>
          <t>MÖRBYLÅNGA</t>
        </is>
      </c>
      <c r="G604" t="n">
        <v>5.5</v>
      </c>
      <c r="H604" t="n">
        <v>0</v>
      </c>
      <c r="I604" t="n">
        <v>1</v>
      </c>
      <c r="J604" t="n">
        <v>0</v>
      </c>
      <c r="K604" t="n">
        <v>0</v>
      </c>
      <c r="L604" t="n">
        <v>0</v>
      </c>
      <c r="M604" t="n">
        <v>0</v>
      </c>
      <c r="N604" t="n">
        <v>0</v>
      </c>
      <c r="O604" t="n">
        <v>0</v>
      </c>
      <c r="P604" t="n">
        <v>0</v>
      </c>
      <c r="Q604" t="n">
        <v>1</v>
      </c>
      <c r="R604" s="2" t="inlineStr">
        <is>
          <t>Sårläka</t>
        </is>
      </c>
      <c r="S604">
        <f>HYPERLINK("https://klasma.github.io/Logging_MORBYLANGA/artfynd/A 24698-2023.xlsx")</f>
        <v/>
      </c>
      <c r="T604">
        <f>HYPERLINK("https://klasma.github.io/Logging_MORBYLANGA/kartor/A 24698-2023.png")</f>
        <v/>
      </c>
      <c r="V604">
        <f>HYPERLINK("https://klasma.github.io/Logging_MORBYLANGA/klagomål/A 24698-2023.docx")</f>
        <v/>
      </c>
      <c r="W604">
        <f>HYPERLINK("https://klasma.github.io/Logging_MORBYLANGA/klagomålsmail/A 24698-2023.docx")</f>
        <v/>
      </c>
      <c r="X604">
        <f>HYPERLINK("https://klasma.github.io/Logging_MORBYLANGA/tillsyn/A 24698-2023.docx")</f>
        <v/>
      </c>
      <c r="Y604">
        <f>HYPERLINK("https://klasma.github.io/Logging_MORBYLANGA/tillsynsmail/A 24698-2023.docx")</f>
        <v/>
      </c>
    </row>
    <row r="605" ht="15" customHeight="1">
      <c r="A605" t="inlineStr">
        <is>
          <t>A 24704-2023</t>
        </is>
      </c>
      <c r="B605" s="1" t="n">
        <v>45084</v>
      </c>
      <c r="C605" s="1" t="n">
        <v>45175</v>
      </c>
      <c r="D605" t="inlineStr">
        <is>
          <t>KALMAR LÄN</t>
        </is>
      </c>
      <c r="E605" t="inlineStr">
        <is>
          <t>BORGHOLM</t>
        </is>
      </c>
      <c r="G605" t="n">
        <v>3.5</v>
      </c>
      <c r="H605" t="n">
        <v>0</v>
      </c>
      <c r="I605" t="n">
        <v>0</v>
      </c>
      <c r="J605" t="n">
        <v>0</v>
      </c>
      <c r="K605" t="n">
        <v>0</v>
      </c>
      <c r="L605" t="n">
        <v>1</v>
      </c>
      <c r="M605" t="n">
        <v>0</v>
      </c>
      <c r="N605" t="n">
        <v>0</v>
      </c>
      <c r="O605" t="n">
        <v>1</v>
      </c>
      <c r="P605" t="n">
        <v>1</v>
      </c>
      <c r="Q605" t="n">
        <v>1</v>
      </c>
      <c r="R605" s="2" t="inlineStr">
        <is>
          <t>Ask</t>
        </is>
      </c>
      <c r="S605">
        <f>HYPERLINK("https://klasma.github.io/Logging_BORGHOLM/artfynd/A 24704-2023.xlsx")</f>
        <v/>
      </c>
      <c r="T605">
        <f>HYPERLINK("https://klasma.github.io/Logging_BORGHOLM/kartor/A 24704-2023.png")</f>
        <v/>
      </c>
      <c r="V605">
        <f>HYPERLINK("https://klasma.github.io/Logging_BORGHOLM/klagomål/A 24704-2023.docx")</f>
        <v/>
      </c>
      <c r="W605">
        <f>HYPERLINK("https://klasma.github.io/Logging_BORGHOLM/klagomålsmail/A 24704-2023.docx")</f>
        <v/>
      </c>
      <c r="X605">
        <f>HYPERLINK("https://klasma.github.io/Logging_BORGHOLM/tillsyn/A 24704-2023.docx")</f>
        <v/>
      </c>
      <c r="Y605">
        <f>HYPERLINK("https://klasma.github.io/Logging_BORGHOLM/tillsynsmail/A 24704-2023.docx")</f>
        <v/>
      </c>
    </row>
    <row r="606" ht="15" customHeight="1">
      <c r="A606" t="inlineStr">
        <is>
          <t>A 24695-2023</t>
        </is>
      </c>
      <c r="B606" s="1" t="n">
        <v>45084</v>
      </c>
      <c r="C606" s="1" t="n">
        <v>45175</v>
      </c>
      <c r="D606" t="inlineStr">
        <is>
          <t>KALMAR LÄN</t>
        </is>
      </c>
      <c r="E606" t="inlineStr">
        <is>
          <t>MÖRBYLÅNGA</t>
        </is>
      </c>
      <c r="G606" t="n">
        <v>8.5</v>
      </c>
      <c r="H606" t="n">
        <v>0</v>
      </c>
      <c r="I606" t="n">
        <v>0</v>
      </c>
      <c r="J606" t="n">
        <v>0</v>
      </c>
      <c r="K606" t="n">
        <v>0</v>
      </c>
      <c r="L606" t="n">
        <v>1</v>
      </c>
      <c r="M606" t="n">
        <v>0</v>
      </c>
      <c r="N606" t="n">
        <v>0</v>
      </c>
      <c r="O606" t="n">
        <v>1</v>
      </c>
      <c r="P606" t="n">
        <v>1</v>
      </c>
      <c r="Q606" t="n">
        <v>1</v>
      </c>
      <c r="R606" s="2" t="inlineStr">
        <is>
          <t>Ask</t>
        </is>
      </c>
      <c r="S606">
        <f>HYPERLINK("https://klasma.github.io/Logging_MORBYLANGA/artfynd/A 24695-2023.xlsx")</f>
        <v/>
      </c>
      <c r="T606">
        <f>HYPERLINK("https://klasma.github.io/Logging_MORBYLANGA/kartor/A 24695-2023.png")</f>
        <v/>
      </c>
      <c r="V606">
        <f>HYPERLINK("https://klasma.github.io/Logging_MORBYLANGA/klagomål/A 24695-2023.docx")</f>
        <v/>
      </c>
      <c r="W606">
        <f>HYPERLINK("https://klasma.github.io/Logging_MORBYLANGA/klagomålsmail/A 24695-2023.docx")</f>
        <v/>
      </c>
      <c r="X606">
        <f>HYPERLINK("https://klasma.github.io/Logging_MORBYLANGA/tillsyn/A 24695-2023.docx")</f>
        <v/>
      </c>
      <c r="Y606">
        <f>HYPERLINK("https://klasma.github.io/Logging_MORBYLANGA/tillsynsmail/A 24695-2023.docx")</f>
        <v/>
      </c>
    </row>
    <row r="607" ht="15" customHeight="1">
      <c r="A607" t="inlineStr">
        <is>
          <t>A 24700-2023</t>
        </is>
      </c>
      <c r="B607" s="1" t="n">
        <v>45084</v>
      </c>
      <c r="C607" s="1" t="n">
        <v>45175</v>
      </c>
      <c r="D607" t="inlineStr">
        <is>
          <t>KALMAR LÄN</t>
        </is>
      </c>
      <c r="E607" t="inlineStr">
        <is>
          <t>MÖRBYLÅNGA</t>
        </is>
      </c>
      <c r="G607" t="n">
        <v>3</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24700-2023.xlsx")</f>
        <v/>
      </c>
      <c r="T607">
        <f>HYPERLINK("https://klasma.github.io/Logging_MORBYLANGA/kartor/A 24700-2023.png")</f>
        <v/>
      </c>
      <c r="V607">
        <f>HYPERLINK("https://klasma.github.io/Logging_MORBYLANGA/klagomål/A 24700-2023.docx")</f>
        <v/>
      </c>
      <c r="W607">
        <f>HYPERLINK("https://klasma.github.io/Logging_MORBYLANGA/klagomålsmail/A 24700-2023.docx")</f>
        <v/>
      </c>
      <c r="X607">
        <f>HYPERLINK("https://klasma.github.io/Logging_MORBYLANGA/tillsyn/A 24700-2023.docx")</f>
        <v/>
      </c>
      <c r="Y607">
        <f>HYPERLINK("https://klasma.github.io/Logging_MORBYLANGA/tillsynsmail/A 24700-2023.docx")</f>
        <v/>
      </c>
    </row>
    <row r="608" ht="15" customHeight="1">
      <c r="A608" t="inlineStr">
        <is>
          <t>A 24701-2023</t>
        </is>
      </c>
      <c r="B608" s="1" t="n">
        <v>45084</v>
      </c>
      <c r="C608" s="1" t="n">
        <v>45175</v>
      </c>
      <c r="D608" t="inlineStr">
        <is>
          <t>KALMAR LÄN</t>
        </is>
      </c>
      <c r="E608" t="inlineStr">
        <is>
          <t>BORGHOLM</t>
        </is>
      </c>
      <c r="G608" t="n">
        <v>3</v>
      </c>
      <c r="H608" t="n">
        <v>0</v>
      </c>
      <c r="I608" t="n">
        <v>0</v>
      </c>
      <c r="J608" t="n">
        <v>0</v>
      </c>
      <c r="K608" t="n">
        <v>0</v>
      </c>
      <c r="L608" t="n">
        <v>1</v>
      </c>
      <c r="M608" t="n">
        <v>0</v>
      </c>
      <c r="N608" t="n">
        <v>0</v>
      </c>
      <c r="O608" t="n">
        <v>1</v>
      </c>
      <c r="P608" t="n">
        <v>1</v>
      </c>
      <c r="Q608" t="n">
        <v>1</v>
      </c>
      <c r="R608" s="2" t="inlineStr">
        <is>
          <t>Ask</t>
        </is>
      </c>
      <c r="S608">
        <f>HYPERLINK("https://klasma.github.io/Logging_BORGHOLM/artfynd/A 24701-2023.xlsx")</f>
        <v/>
      </c>
      <c r="T608">
        <f>HYPERLINK("https://klasma.github.io/Logging_BORGHOLM/kartor/A 24701-2023.png")</f>
        <v/>
      </c>
      <c r="V608">
        <f>HYPERLINK("https://klasma.github.io/Logging_BORGHOLM/klagomål/A 24701-2023.docx")</f>
        <v/>
      </c>
      <c r="W608">
        <f>HYPERLINK("https://klasma.github.io/Logging_BORGHOLM/klagomålsmail/A 24701-2023.docx")</f>
        <v/>
      </c>
      <c r="X608">
        <f>HYPERLINK("https://klasma.github.io/Logging_BORGHOLM/tillsyn/A 24701-2023.docx")</f>
        <v/>
      </c>
      <c r="Y608">
        <f>HYPERLINK("https://klasma.github.io/Logging_BORGHOLM/tillsynsmail/A 24701-2023.docx")</f>
        <v/>
      </c>
    </row>
    <row r="609" ht="15" customHeight="1">
      <c r="A609" t="inlineStr">
        <is>
          <t>A 25218-2023</t>
        </is>
      </c>
      <c r="B609" s="1" t="n">
        <v>45086</v>
      </c>
      <c r="C609" s="1" t="n">
        <v>45175</v>
      </c>
      <c r="D609" t="inlineStr">
        <is>
          <t>KALMAR LÄN</t>
        </is>
      </c>
      <c r="E609" t="inlineStr">
        <is>
          <t>MÖNSTERÅS</t>
        </is>
      </c>
      <c r="G609" t="n">
        <v>1.5</v>
      </c>
      <c r="H609" t="n">
        <v>1</v>
      </c>
      <c r="I609" t="n">
        <v>0</v>
      </c>
      <c r="J609" t="n">
        <v>0</v>
      </c>
      <c r="K609" t="n">
        <v>0</v>
      </c>
      <c r="L609" t="n">
        <v>0</v>
      </c>
      <c r="M609" t="n">
        <v>0</v>
      </c>
      <c r="N609" t="n">
        <v>0</v>
      </c>
      <c r="O609" t="n">
        <v>0</v>
      </c>
      <c r="P609" t="n">
        <v>0</v>
      </c>
      <c r="Q609" t="n">
        <v>1</v>
      </c>
      <c r="R609" s="2" t="inlineStr">
        <is>
          <t>Hasselmus</t>
        </is>
      </c>
      <c r="S609">
        <f>HYPERLINK("https://klasma.github.io/Logging_MONSTERAS/artfynd/A 25218-2023.xlsx")</f>
        <v/>
      </c>
      <c r="T609">
        <f>HYPERLINK("https://klasma.github.io/Logging_MONSTERAS/kartor/A 25218-2023.png")</f>
        <v/>
      </c>
      <c r="V609">
        <f>HYPERLINK("https://klasma.github.io/Logging_MONSTERAS/klagomål/A 25218-2023.docx")</f>
        <v/>
      </c>
      <c r="W609">
        <f>HYPERLINK("https://klasma.github.io/Logging_MONSTERAS/klagomålsmail/A 25218-2023.docx")</f>
        <v/>
      </c>
      <c r="X609">
        <f>HYPERLINK("https://klasma.github.io/Logging_MONSTERAS/tillsyn/A 25218-2023.docx")</f>
        <v/>
      </c>
      <c r="Y609">
        <f>HYPERLINK("https://klasma.github.io/Logging_MONSTERAS/tillsynsmail/A 25218-2023.docx")</f>
        <v/>
      </c>
    </row>
    <row r="610" ht="15" customHeight="1">
      <c r="A610" t="inlineStr">
        <is>
          <t>A 25231-2023</t>
        </is>
      </c>
      <c r="B610" s="1" t="n">
        <v>45086</v>
      </c>
      <c r="C610" s="1" t="n">
        <v>45175</v>
      </c>
      <c r="D610" t="inlineStr">
        <is>
          <t>KALMAR LÄN</t>
        </is>
      </c>
      <c r="E610" t="inlineStr">
        <is>
          <t>MÖNSTERÅS</t>
        </is>
      </c>
      <c r="G610" t="n">
        <v>6.4</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25231-2023.xlsx")</f>
        <v/>
      </c>
      <c r="T610">
        <f>HYPERLINK("https://klasma.github.io/Logging_MONSTERAS/kartor/A 25231-2023.png")</f>
        <v/>
      </c>
      <c r="V610">
        <f>HYPERLINK("https://klasma.github.io/Logging_MONSTERAS/klagomål/A 25231-2023.docx")</f>
        <v/>
      </c>
      <c r="W610">
        <f>HYPERLINK("https://klasma.github.io/Logging_MONSTERAS/klagomålsmail/A 25231-2023.docx")</f>
        <v/>
      </c>
      <c r="X610">
        <f>HYPERLINK("https://klasma.github.io/Logging_MONSTERAS/tillsyn/A 25231-2023.docx")</f>
        <v/>
      </c>
      <c r="Y610">
        <f>HYPERLINK("https://klasma.github.io/Logging_MONSTERAS/tillsynsmail/A 25231-2023.docx")</f>
        <v/>
      </c>
    </row>
    <row r="611" ht="15" customHeight="1">
      <c r="A611" t="inlineStr">
        <is>
          <t>A 25433-2023</t>
        </is>
      </c>
      <c r="B611" s="1" t="n">
        <v>45089</v>
      </c>
      <c r="C611" s="1" t="n">
        <v>45175</v>
      </c>
      <c r="D611" t="inlineStr">
        <is>
          <t>KALMAR LÄN</t>
        </is>
      </c>
      <c r="E611" t="inlineStr">
        <is>
          <t>VÄSTERVIK</t>
        </is>
      </c>
      <c r="G611" t="n">
        <v>2.3</v>
      </c>
      <c r="H611" t="n">
        <v>1</v>
      </c>
      <c r="I611" t="n">
        <v>0</v>
      </c>
      <c r="J611" t="n">
        <v>0</v>
      </c>
      <c r="K611" t="n">
        <v>1</v>
      </c>
      <c r="L611" t="n">
        <v>0</v>
      </c>
      <c r="M611" t="n">
        <v>0</v>
      </c>
      <c r="N611" t="n">
        <v>0</v>
      </c>
      <c r="O611" t="n">
        <v>1</v>
      </c>
      <c r="P611" t="n">
        <v>1</v>
      </c>
      <c r="Q611" t="n">
        <v>1</v>
      </c>
      <c r="R611" s="2" t="inlineStr">
        <is>
          <t>Knärot</t>
        </is>
      </c>
      <c r="S611">
        <f>HYPERLINK("https://klasma.github.io/Logging_VASTERVIK/artfynd/A 25433-2023.xlsx")</f>
        <v/>
      </c>
      <c r="T611">
        <f>HYPERLINK("https://klasma.github.io/Logging_VASTERVIK/kartor/A 25433-2023.png")</f>
        <v/>
      </c>
      <c r="U611">
        <f>HYPERLINK("https://klasma.github.io/Logging_VASTERVIK/knärot/A 25433-2023.png")</f>
        <v/>
      </c>
      <c r="V611">
        <f>HYPERLINK("https://klasma.github.io/Logging_VASTERVIK/klagomål/A 25433-2023.docx")</f>
        <v/>
      </c>
      <c r="W611">
        <f>HYPERLINK("https://klasma.github.io/Logging_VASTERVIK/klagomålsmail/A 25433-2023.docx")</f>
        <v/>
      </c>
      <c r="X611">
        <f>HYPERLINK("https://klasma.github.io/Logging_VASTERVIK/tillsyn/A 25433-2023.docx")</f>
        <v/>
      </c>
      <c r="Y611">
        <f>HYPERLINK("https://klasma.github.io/Logging_VASTERVIK/tillsynsmail/A 25433-2023.docx")</f>
        <v/>
      </c>
    </row>
    <row r="612" ht="15" customHeight="1">
      <c r="A612" t="inlineStr">
        <is>
          <t>A 25436-2023</t>
        </is>
      </c>
      <c r="B612" s="1" t="n">
        <v>45089</v>
      </c>
      <c r="C612" s="1" t="n">
        <v>45175</v>
      </c>
      <c r="D612" t="inlineStr">
        <is>
          <t>KALMAR LÄN</t>
        </is>
      </c>
      <c r="E612" t="inlineStr">
        <is>
          <t>VÄSTERVIK</t>
        </is>
      </c>
      <c r="G612" t="n">
        <v>1.6</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25436-2023.xlsx")</f>
        <v/>
      </c>
      <c r="T612">
        <f>HYPERLINK("https://klasma.github.io/Logging_VASTERVIK/kartor/A 25436-2023.png")</f>
        <v/>
      </c>
      <c r="U612">
        <f>HYPERLINK("https://klasma.github.io/Logging_VASTERVIK/knärot/A 25436-2023.png")</f>
        <v/>
      </c>
      <c r="V612">
        <f>HYPERLINK("https://klasma.github.io/Logging_VASTERVIK/klagomål/A 25436-2023.docx")</f>
        <v/>
      </c>
      <c r="W612">
        <f>HYPERLINK("https://klasma.github.io/Logging_VASTERVIK/klagomålsmail/A 25436-2023.docx")</f>
        <v/>
      </c>
      <c r="X612">
        <f>HYPERLINK("https://klasma.github.io/Logging_VASTERVIK/tillsyn/A 25436-2023.docx")</f>
        <v/>
      </c>
      <c r="Y612">
        <f>HYPERLINK("https://klasma.github.io/Logging_VASTERVIK/tillsynsmail/A 25436-2023.docx")</f>
        <v/>
      </c>
    </row>
    <row r="613" ht="15" customHeight="1">
      <c r="A613" t="inlineStr">
        <is>
          <t>A 25435-2023</t>
        </is>
      </c>
      <c r="B613" s="1" t="n">
        <v>45089</v>
      </c>
      <c r="C613" s="1" t="n">
        <v>45175</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25435-2023.xlsx")</f>
        <v/>
      </c>
      <c r="T613">
        <f>HYPERLINK("https://klasma.github.io/Logging_VASTERVIK/kartor/A 25435-2023.png")</f>
        <v/>
      </c>
      <c r="U613">
        <f>HYPERLINK("https://klasma.github.io/Logging_VASTERVIK/knärot/A 25435-2023.png")</f>
        <v/>
      </c>
      <c r="V613">
        <f>HYPERLINK("https://klasma.github.io/Logging_VASTERVIK/klagomål/A 25435-2023.docx")</f>
        <v/>
      </c>
      <c r="W613">
        <f>HYPERLINK("https://klasma.github.io/Logging_VASTERVIK/klagomålsmail/A 25435-2023.docx")</f>
        <v/>
      </c>
      <c r="X613">
        <f>HYPERLINK("https://klasma.github.io/Logging_VASTERVIK/tillsyn/A 25435-2023.docx")</f>
        <v/>
      </c>
      <c r="Y613">
        <f>HYPERLINK("https://klasma.github.io/Logging_VASTERVIK/tillsynsmail/A 25435-2023.docx")</f>
        <v/>
      </c>
    </row>
    <row r="614" ht="15" customHeight="1">
      <c r="A614" t="inlineStr">
        <is>
          <t>A 25563-2023</t>
        </is>
      </c>
      <c r="B614" s="1" t="n">
        <v>45089</v>
      </c>
      <c r="C614" s="1" t="n">
        <v>45175</v>
      </c>
      <c r="D614" t="inlineStr">
        <is>
          <t>KALMAR LÄN</t>
        </is>
      </c>
      <c r="E614" t="inlineStr">
        <is>
          <t>VÄSTERVIK</t>
        </is>
      </c>
      <c r="G614" t="n">
        <v>1.6</v>
      </c>
      <c r="H614" t="n">
        <v>1</v>
      </c>
      <c r="I614" t="n">
        <v>0</v>
      </c>
      <c r="J614" t="n">
        <v>1</v>
      </c>
      <c r="K614" t="n">
        <v>0</v>
      </c>
      <c r="L614" t="n">
        <v>0</v>
      </c>
      <c r="M614" t="n">
        <v>0</v>
      </c>
      <c r="N614" t="n">
        <v>0</v>
      </c>
      <c r="O614" t="n">
        <v>1</v>
      </c>
      <c r="P614" t="n">
        <v>0</v>
      </c>
      <c r="Q614" t="n">
        <v>1</v>
      </c>
      <c r="R614" s="2" t="inlineStr">
        <is>
          <t>Talltita</t>
        </is>
      </c>
      <c r="S614">
        <f>HYPERLINK("https://klasma.github.io/Logging_VASTERVIK/artfynd/A 25563-2023.xlsx")</f>
        <v/>
      </c>
      <c r="T614">
        <f>HYPERLINK("https://klasma.github.io/Logging_VASTERVIK/kartor/A 25563-2023.png")</f>
        <v/>
      </c>
      <c r="V614">
        <f>HYPERLINK("https://klasma.github.io/Logging_VASTERVIK/klagomål/A 25563-2023.docx")</f>
        <v/>
      </c>
      <c r="W614">
        <f>HYPERLINK("https://klasma.github.io/Logging_VASTERVIK/klagomålsmail/A 25563-2023.docx")</f>
        <v/>
      </c>
      <c r="X614">
        <f>HYPERLINK("https://klasma.github.io/Logging_VASTERVIK/tillsyn/A 25563-2023.docx")</f>
        <v/>
      </c>
      <c r="Y614">
        <f>HYPERLINK("https://klasma.github.io/Logging_VASTERVIK/tillsynsmail/A 25563-2023.docx")</f>
        <v/>
      </c>
    </row>
    <row r="615" ht="15" customHeight="1">
      <c r="A615" t="inlineStr">
        <is>
          <t>A 26278-2023</t>
        </is>
      </c>
      <c r="B615" s="1" t="n">
        <v>45091</v>
      </c>
      <c r="C615" s="1" t="n">
        <v>45175</v>
      </c>
      <c r="D615" t="inlineStr">
        <is>
          <t>KALMAR LÄN</t>
        </is>
      </c>
      <c r="E615" t="inlineStr">
        <is>
          <t>VÄSTERVIK</t>
        </is>
      </c>
      <c r="G615" t="n">
        <v>3.1</v>
      </c>
      <c r="H615" t="n">
        <v>1</v>
      </c>
      <c r="I615" t="n">
        <v>0</v>
      </c>
      <c r="J615" t="n">
        <v>0</v>
      </c>
      <c r="K615" t="n">
        <v>1</v>
      </c>
      <c r="L615" t="n">
        <v>0</v>
      </c>
      <c r="M615" t="n">
        <v>0</v>
      </c>
      <c r="N615" t="n">
        <v>0</v>
      </c>
      <c r="O615" t="n">
        <v>1</v>
      </c>
      <c r="P615" t="n">
        <v>1</v>
      </c>
      <c r="Q615" t="n">
        <v>1</v>
      </c>
      <c r="R615" s="2" t="inlineStr">
        <is>
          <t>Knärot</t>
        </is>
      </c>
      <c r="S615">
        <f>HYPERLINK("https://klasma.github.io/Logging_VASTERVIK/artfynd/A 26278-2023.xlsx")</f>
        <v/>
      </c>
      <c r="T615">
        <f>HYPERLINK("https://klasma.github.io/Logging_VASTERVIK/kartor/A 26278-2023.png")</f>
        <v/>
      </c>
      <c r="U615">
        <f>HYPERLINK("https://klasma.github.io/Logging_VASTERVIK/knärot/A 26278-2023.png")</f>
        <v/>
      </c>
      <c r="V615">
        <f>HYPERLINK("https://klasma.github.io/Logging_VASTERVIK/klagomål/A 26278-2023.docx")</f>
        <v/>
      </c>
      <c r="W615">
        <f>HYPERLINK("https://klasma.github.io/Logging_VASTERVIK/klagomålsmail/A 26278-2023.docx")</f>
        <v/>
      </c>
      <c r="X615">
        <f>HYPERLINK("https://klasma.github.io/Logging_VASTERVIK/tillsyn/A 26278-2023.docx")</f>
        <v/>
      </c>
      <c r="Y615">
        <f>HYPERLINK("https://klasma.github.io/Logging_VASTERVIK/tillsynsmail/A 26278-2023.docx")</f>
        <v/>
      </c>
    </row>
    <row r="616" ht="15" customHeight="1">
      <c r="A616" t="inlineStr">
        <is>
          <t>A 26685-2023</t>
        </is>
      </c>
      <c r="B616" s="1" t="n">
        <v>45093</v>
      </c>
      <c r="C616" s="1" t="n">
        <v>45175</v>
      </c>
      <c r="D616" t="inlineStr">
        <is>
          <t>KALMAR LÄN</t>
        </is>
      </c>
      <c r="E616" t="inlineStr">
        <is>
          <t>HULTSFRED</t>
        </is>
      </c>
      <c r="G616" t="n">
        <v>2.3</v>
      </c>
      <c r="H616" t="n">
        <v>1</v>
      </c>
      <c r="I616" t="n">
        <v>0</v>
      </c>
      <c r="J616" t="n">
        <v>0</v>
      </c>
      <c r="K616" t="n">
        <v>0</v>
      </c>
      <c r="L616" t="n">
        <v>0</v>
      </c>
      <c r="M616" t="n">
        <v>0</v>
      </c>
      <c r="N616" t="n">
        <v>0</v>
      </c>
      <c r="O616" t="n">
        <v>0</v>
      </c>
      <c r="P616" t="n">
        <v>0</v>
      </c>
      <c r="Q616" t="n">
        <v>1</v>
      </c>
      <c r="R616" s="2" t="inlineStr">
        <is>
          <t>Blåsippa</t>
        </is>
      </c>
      <c r="S616">
        <f>HYPERLINK("https://klasma.github.io/Logging_HULTSFRED/artfynd/A 26685-2023.xlsx")</f>
        <v/>
      </c>
      <c r="T616">
        <f>HYPERLINK("https://klasma.github.io/Logging_HULTSFRED/kartor/A 26685-2023.png")</f>
        <v/>
      </c>
      <c r="V616">
        <f>HYPERLINK("https://klasma.github.io/Logging_HULTSFRED/klagomål/A 26685-2023.docx")</f>
        <v/>
      </c>
      <c r="W616">
        <f>HYPERLINK("https://klasma.github.io/Logging_HULTSFRED/klagomålsmail/A 26685-2023.docx")</f>
        <v/>
      </c>
      <c r="X616">
        <f>HYPERLINK("https://klasma.github.io/Logging_HULTSFRED/tillsyn/A 26685-2023.docx")</f>
        <v/>
      </c>
      <c r="Y616">
        <f>HYPERLINK("https://klasma.github.io/Logging_HULTSFRED/tillsynsmail/A 26685-2023.docx")</f>
        <v/>
      </c>
    </row>
    <row r="617" ht="15" customHeight="1">
      <c r="A617" t="inlineStr">
        <is>
          <t>A 27346-2023</t>
        </is>
      </c>
      <c r="B617" s="1" t="n">
        <v>45096</v>
      </c>
      <c r="C617" s="1" t="n">
        <v>45175</v>
      </c>
      <c r="D617" t="inlineStr">
        <is>
          <t>KALMAR LÄN</t>
        </is>
      </c>
      <c r="E617" t="inlineStr">
        <is>
          <t>NYBRO</t>
        </is>
      </c>
      <c r="G617" t="n">
        <v>1.2</v>
      </c>
      <c r="H617" t="n">
        <v>0</v>
      </c>
      <c r="I617" t="n">
        <v>1</v>
      </c>
      <c r="J617" t="n">
        <v>0</v>
      </c>
      <c r="K617" t="n">
        <v>0</v>
      </c>
      <c r="L617" t="n">
        <v>0</v>
      </c>
      <c r="M617" t="n">
        <v>0</v>
      </c>
      <c r="N617" t="n">
        <v>0</v>
      </c>
      <c r="O617" t="n">
        <v>0</v>
      </c>
      <c r="P617" t="n">
        <v>0</v>
      </c>
      <c r="Q617" t="n">
        <v>1</v>
      </c>
      <c r="R617" s="2" t="inlineStr">
        <is>
          <t>Blanksvart trämyra</t>
        </is>
      </c>
      <c r="S617">
        <f>HYPERLINK("https://klasma.github.io/Logging_NYBRO/artfynd/A 27346-2023.xlsx")</f>
        <v/>
      </c>
      <c r="T617">
        <f>HYPERLINK("https://klasma.github.io/Logging_NYBRO/kartor/A 27346-2023.png")</f>
        <v/>
      </c>
      <c r="V617">
        <f>HYPERLINK("https://klasma.github.io/Logging_NYBRO/klagomål/A 27346-2023.docx")</f>
        <v/>
      </c>
      <c r="W617">
        <f>HYPERLINK("https://klasma.github.io/Logging_NYBRO/klagomålsmail/A 27346-2023.docx")</f>
        <v/>
      </c>
      <c r="X617">
        <f>HYPERLINK("https://klasma.github.io/Logging_NYBRO/tillsyn/A 27346-2023.docx")</f>
        <v/>
      </c>
      <c r="Y617">
        <f>HYPERLINK("https://klasma.github.io/Logging_NYBRO/tillsynsmail/A 27346-2023.docx")</f>
        <v/>
      </c>
    </row>
    <row r="618" ht="15" customHeight="1">
      <c r="A618" t="inlineStr">
        <is>
          <t>A 27546-2023</t>
        </is>
      </c>
      <c r="B618" s="1" t="n">
        <v>45097</v>
      </c>
      <c r="C618" s="1" t="n">
        <v>45175</v>
      </c>
      <c r="D618" t="inlineStr">
        <is>
          <t>KALMAR LÄN</t>
        </is>
      </c>
      <c r="E618" t="inlineStr">
        <is>
          <t>MÖNSTERÅS</t>
        </is>
      </c>
      <c r="G618" t="n">
        <v>1.1</v>
      </c>
      <c r="H618" t="n">
        <v>0</v>
      </c>
      <c r="I618" t="n">
        <v>1</v>
      </c>
      <c r="J618" t="n">
        <v>0</v>
      </c>
      <c r="K618" t="n">
        <v>0</v>
      </c>
      <c r="L618" t="n">
        <v>0</v>
      </c>
      <c r="M618" t="n">
        <v>0</v>
      </c>
      <c r="N618" t="n">
        <v>0</v>
      </c>
      <c r="O618" t="n">
        <v>0</v>
      </c>
      <c r="P618" t="n">
        <v>0</v>
      </c>
      <c r="Q618" t="n">
        <v>1</v>
      </c>
      <c r="R618" s="2" t="inlineStr">
        <is>
          <t>Grovticka</t>
        </is>
      </c>
      <c r="S618">
        <f>HYPERLINK("https://klasma.github.io/Logging_MONSTERAS/artfynd/A 27546-2023.xlsx")</f>
        <v/>
      </c>
      <c r="T618">
        <f>HYPERLINK("https://klasma.github.io/Logging_MONSTERAS/kartor/A 27546-2023.png")</f>
        <v/>
      </c>
      <c r="V618">
        <f>HYPERLINK("https://klasma.github.io/Logging_MONSTERAS/klagomål/A 27546-2023.docx")</f>
        <v/>
      </c>
      <c r="W618">
        <f>HYPERLINK("https://klasma.github.io/Logging_MONSTERAS/klagomålsmail/A 27546-2023.docx")</f>
        <v/>
      </c>
      <c r="X618">
        <f>HYPERLINK("https://klasma.github.io/Logging_MONSTERAS/tillsyn/A 27546-2023.docx")</f>
        <v/>
      </c>
      <c r="Y618">
        <f>HYPERLINK("https://klasma.github.io/Logging_MONSTERAS/tillsynsmail/A 27546-2023.docx")</f>
        <v/>
      </c>
    </row>
    <row r="619" ht="15" customHeight="1">
      <c r="A619" t="inlineStr">
        <is>
          <t>A 28678-2023</t>
        </is>
      </c>
      <c r="B619" s="1" t="n">
        <v>45103</v>
      </c>
      <c r="C619" s="1" t="n">
        <v>45175</v>
      </c>
      <c r="D619" t="inlineStr">
        <is>
          <t>KALMAR LÄN</t>
        </is>
      </c>
      <c r="E619" t="inlineStr">
        <is>
          <t>NYBRO</t>
        </is>
      </c>
      <c r="G619" t="n">
        <v>10.3</v>
      </c>
      <c r="H619" t="n">
        <v>0</v>
      </c>
      <c r="I619" t="n">
        <v>1</v>
      </c>
      <c r="J619" t="n">
        <v>0</v>
      </c>
      <c r="K619" t="n">
        <v>0</v>
      </c>
      <c r="L619" t="n">
        <v>0</v>
      </c>
      <c r="M619" t="n">
        <v>0</v>
      </c>
      <c r="N619" t="n">
        <v>0</v>
      </c>
      <c r="O619" t="n">
        <v>0</v>
      </c>
      <c r="P619" t="n">
        <v>0</v>
      </c>
      <c r="Q619" t="n">
        <v>1</v>
      </c>
      <c r="R619" s="2" t="inlineStr">
        <is>
          <t>Åttafläckig praktbagge</t>
        </is>
      </c>
      <c r="S619">
        <f>HYPERLINK("https://klasma.github.io/Logging_NYBRO/artfynd/A 28678-2023.xlsx")</f>
        <v/>
      </c>
      <c r="T619">
        <f>HYPERLINK("https://klasma.github.io/Logging_NYBRO/kartor/A 28678-2023.png")</f>
        <v/>
      </c>
      <c r="V619">
        <f>HYPERLINK("https://klasma.github.io/Logging_NYBRO/klagomål/A 28678-2023.docx")</f>
        <v/>
      </c>
      <c r="W619">
        <f>HYPERLINK("https://klasma.github.io/Logging_NYBRO/klagomålsmail/A 28678-2023.docx")</f>
        <v/>
      </c>
      <c r="X619">
        <f>HYPERLINK("https://klasma.github.io/Logging_NYBRO/tillsyn/A 28678-2023.docx")</f>
        <v/>
      </c>
      <c r="Y619">
        <f>HYPERLINK("https://klasma.github.io/Logging_NYBRO/tillsynsmail/A 28678-2023.docx")</f>
        <v/>
      </c>
    </row>
    <row r="620" ht="15" customHeight="1">
      <c r="A620" t="inlineStr">
        <is>
          <t>A 28647-2023</t>
        </is>
      </c>
      <c r="B620" s="1" t="n">
        <v>45103</v>
      </c>
      <c r="C620" s="1" t="n">
        <v>45175</v>
      </c>
      <c r="D620" t="inlineStr">
        <is>
          <t>KALMAR LÄN</t>
        </is>
      </c>
      <c r="E620" t="inlineStr">
        <is>
          <t>NYBRO</t>
        </is>
      </c>
      <c r="G620" t="n">
        <v>5.6</v>
      </c>
      <c r="H620" t="n">
        <v>0</v>
      </c>
      <c r="I620" t="n">
        <v>0</v>
      </c>
      <c r="J620" t="n">
        <v>0</v>
      </c>
      <c r="K620" t="n">
        <v>1</v>
      </c>
      <c r="L620" t="n">
        <v>0</v>
      </c>
      <c r="M620" t="n">
        <v>0</v>
      </c>
      <c r="N620" t="n">
        <v>0</v>
      </c>
      <c r="O620" t="n">
        <v>1</v>
      </c>
      <c r="P620" t="n">
        <v>1</v>
      </c>
      <c r="Q620" t="n">
        <v>1</v>
      </c>
      <c r="R620" s="2" t="inlineStr">
        <is>
          <t>Gulfläckig praktbagge</t>
        </is>
      </c>
      <c r="S620">
        <f>HYPERLINK("https://klasma.github.io/Logging_NYBRO/artfynd/A 28647-2023.xlsx")</f>
        <v/>
      </c>
      <c r="T620">
        <f>HYPERLINK("https://klasma.github.io/Logging_NYBRO/kartor/A 28647-2023.png")</f>
        <v/>
      </c>
      <c r="V620">
        <f>HYPERLINK("https://klasma.github.io/Logging_NYBRO/klagomål/A 28647-2023.docx")</f>
        <v/>
      </c>
      <c r="W620">
        <f>HYPERLINK("https://klasma.github.io/Logging_NYBRO/klagomålsmail/A 28647-2023.docx")</f>
        <v/>
      </c>
      <c r="X620">
        <f>HYPERLINK("https://klasma.github.io/Logging_NYBRO/tillsyn/A 28647-2023.docx")</f>
        <v/>
      </c>
      <c r="Y620">
        <f>HYPERLINK("https://klasma.github.io/Logging_NYBRO/tillsynsmail/A 28647-2023.docx")</f>
        <v/>
      </c>
    </row>
    <row r="621" ht="15" customHeight="1">
      <c r="A621" t="inlineStr">
        <is>
          <t>A 28852-2023</t>
        </is>
      </c>
      <c r="B621" s="1" t="n">
        <v>45104</v>
      </c>
      <c r="C621" s="1" t="n">
        <v>45175</v>
      </c>
      <c r="D621" t="inlineStr">
        <is>
          <t>KALMAR LÄN</t>
        </is>
      </c>
      <c r="E621" t="inlineStr">
        <is>
          <t>VIMMERBY</t>
        </is>
      </c>
      <c r="G621" t="n">
        <v>0.7</v>
      </c>
      <c r="H621" t="n">
        <v>0</v>
      </c>
      <c r="I621" t="n">
        <v>1</v>
      </c>
      <c r="J621" t="n">
        <v>0</v>
      </c>
      <c r="K621" t="n">
        <v>0</v>
      </c>
      <c r="L621" t="n">
        <v>0</v>
      </c>
      <c r="M621" t="n">
        <v>0</v>
      </c>
      <c r="N621" t="n">
        <v>0</v>
      </c>
      <c r="O621" t="n">
        <v>0</v>
      </c>
      <c r="P621" t="n">
        <v>0</v>
      </c>
      <c r="Q621" t="n">
        <v>1</v>
      </c>
      <c r="R621" s="2" t="inlineStr">
        <is>
          <t>Tibast</t>
        </is>
      </c>
      <c r="S621">
        <f>HYPERLINK("https://klasma.github.io/Logging_VIMMERBY/artfynd/A 28852-2023.xlsx")</f>
        <v/>
      </c>
      <c r="T621">
        <f>HYPERLINK("https://klasma.github.io/Logging_VIMMERBY/kartor/A 28852-2023.png")</f>
        <v/>
      </c>
      <c r="V621">
        <f>HYPERLINK("https://klasma.github.io/Logging_VIMMERBY/klagomål/A 28852-2023.docx")</f>
        <v/>
      </c>
      <c r="W621">
        <f>HYPERLINK("https://klasma.github.io/Logging_VIMMERBY/klagomålsmail/A 28852-2023.docx")</f>
        <v/>
      </c>
      <c r="X621">
        <f>HYPERLINK("https://klasma.github.io/Logging_VIMMERBY/tillsyn/A 28852-2023.docx")</f>
        <v/>
      </c>
      <c r="Y621">
        <f>HYPERLINK("https://klasma.github.io/Logging_VIMMERBY/tillsynsmail/A 28852-2023.docx")</f>
        <v/>
      </c>
    </row>
    <row r="622" ht="15" customHeight="1">
      <c r="A622" t="inlineStr">
        <is>
          <t>A 32415-2023</t>
        </is>
      </c>
      <c r="B622" s="1" t="n">
        <v>45110</v>
      </c>
      <c r="C622" s="1" t="n">
        <v>45175</v>
      </c>
      <c r="D622" t="inlineStr">
        <is>
          <t>KALMAR LÄN</t>
        </is>
      </c>
      <c r="E622" t="inlineStr">
        <is>
          <t>VÄSTERVIK</t>
        </is>
      </c>
      <c r="G622" t="n">
        <v>1.7</v>
      </c>
      <c r="H622" t="n">
        <v>1</v>
      </c>
      <c r="I622" t="n">
        <v>0</v>
      </c>
      <c r="J622" t="n">
        <v>0</v>
      </c>
      <c r="K622" t="n">
        <v>1</v>
      </c>
      <c r="L622" t="n">
        <v>0</v>
      </c>
      <c r="M622" t="n">
        <v>0</v>
      </c>
      <c r="N622" t="n">
        <v>0</v>
      </c>
      <c r="O622" t="n">
        <v>1</v>
      </c>
      <c r="P622" t="n">
        <v>1</v>
      </c>
      <c r="Q622" t="n">
        <v>1</v>
      </c>
      <c r="R622" s="2" t="inlineStr">
        <is>
          <t>Knärot</t>
        </is>
      </c>
      <c r="S622">
        <f>HYPERLINK("https://klasma.github.io/Logging_VASTERVIK/artfynd/A 32415-2023.xlsx")</f>
        <v/>
      </c>
      <c r="T622">
        <f>HYPERLINK("https://klasma.github.io/Logging_VASTERVIK/kartor/A 32415-2023.png")</f>
        <v/>
      </c>
      <c r="U622">
        <f>HYPERLINK("https://klasma.github.io/Logging_VASTERVIK/knärot/A 32415-2023.png")</f>
        <v/>
      </c>
      <c r="V622">
        <f>HYPERLINK("https://klasma.github.io/Logging_VASTERVIK/klagomål/A 32415-2023.docx")</f>
        <v/>
      </c>
      <c r="W622">
        <f>HYPERLINK("https://klasma.github.io/Logging_VASTERVIK/klagomålsmail/A 32415-2023.docx")</f>
        <v/>
      </c>
      <c r="X622">
        <f>HYPERLINK("https://klasma.github.io/Logging_VASTERVIK/tillsyn/A 32415-2023.docx")</f>
        <v/>
      </c>
      <c r="Y622">
        <f>HYPERLINK("https://klasma.github.io/Logging_VASTERVIK/tillsynsmail/A 32415-2023.docx")</f>
        <v/>
      </c>
    </row>
    <row r="623" ht="15" customHeight="1">
      <c r="A623" t="inlineStr">
        <is>
          <t>A 30121-2023</t>
        </is>
      </c>
      <c r="B623" s="1" t="n">
        <v>45110</v>
      </c>
      <c r="C623" s="1" t="n">
        <v>45175</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f>
        <v/>
      </c>
      <c r="T623">
        <f>HYPERLINK("https://klasma.github.io/Logging_NYBRO/kartor/A 30121-2023.png")</f>
        <v/>
      </c>
      <c r="V623">
        <f>HYPERLINK("https://klasma.github.io/Logging_NYBRO/klagomål/A 30121-2023.docx")</f>
        <v/>
      </c>
      <c r="W623">
        <f>HYPERLINK("https://klasma.github.io/Logging_NYBRO/klagomålsmail/A 30121-2023.docx")</f>
        <v/>
      </c>
      <c r="X623">
        <f>HYPERLINK("https://klasma.github.io/Logging_NYBRO/tillsyn/A 30121-2023.docx")</f>
        <v/>
      </c>
      <c r="Y623">
        <f>HYPERLINK("https://klasma.github.io/Logging_NYBRO/tillsynsmail/A 30121-2023.docx")</f>
        <v/>
      </c>
    </row>
    <row r="624" ht="15" customHeight="1">
      <c r="A624" t="inlineStr">
        <is>
          <t>A 30532-2023</t>
        </is>
      </c>
      <c r="B624" s="1" t="n">
        <v>45111</v>
      </c>
      <c r="C624" s="1" t="n">
        <v>45175</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f>
        <v/>
      </c>
      <c r="T624">
        <f>HYPERLINK("https://klasma.github.io/Logging_NYBRO/kartor/A 30532-2023.png")</f>
        <v/>
      </c>
      <c r="V624">
        <f>HYPERLINK("https://klasma.github.io/Logging_NYBRO/klagomål/A 30532-2023.docx")</f>
        <v/>
      </c>
      <c r="W624">
        <f>HYPERLINK("https://klasma.github.io/Logging_NYBRO/klagomålsmail/A 30532-2023.docx")</f>
        <v/>
      </c>
      <c r="X624">
        <f>HYPERLINK("https://klasma.github.io/Logging_NYBRO/tillsyn/A 30532-2023.docx")</f>
        <v/>
      </c>
      <c r="Y624">
        <f>HYPERLINK("https://klasma.github.io/Logging_NYBRO/tillsynsmail/A 30532-2023.docx")</f>
        <v/>
      </c>
    </row>
    <row r="625" ht="15" customHeight="1">
      <c r="A625" t="inlineStr">
        <is>
          <t>A 32653-2023</t>
        </is>
      </c>
      <c r="B625" s="1" t="n">
        <v>45121</v>
      </c>
      <c r="C625" s="1" t="n">
        <v>45175</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f>
        <v/>
      </c>
      <c r="T625">
        <f>HYPERLINK("https://klasma.github.io/Logging_VASTERVIK/kartor/A 32653-2023.png")</f>
        <v/>
      </c>
      <c r="U625">
        <f>HYPERLINK("https://klasma.github.io/Logging_VASTERVIK/knärot/A 32653-2023.png")</f>
        <v/>
      </c>
      <c r="V625">
        <f>HYPERLINK("https://klasma.github.io/Logging_VASTERVIK/klagomål/A 32653-2023.docx")</f>
        <v/>
      </c>
      <c r="W625">
        <f>HYPERLINK("https://klasma.github.io/Logging_VASTERVIK/klagomålsmail/A 32653-2023.docx")</f>
        <v/>
      </c>
      <c r="X625">
        <f>HYPERLINK("https://klasma.github.io/Logging_VASTERVIK/tillsyn/A 32653-2023.docx")</f>
        <v/>
      </c>
      <c r="Y625">
        <f>HYPERLINK("https://klasma.github.io/Logging_VASTERVIK/tillsynsmail/A 32653-2023.docx")</f>
        <v/>
      </c>
    </row>
    <row r="626" ht="15" customHeight="1">
      <c r="A626" t="inlineStr">
        <is>
          <t>A 32985-2023</t>
        </is>
      </c>
      <c r="B626" s="1" t="n">
        <v>45125</v>
      </c>
      <c r="C626" s="1" t="n">
        <v>45175</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f>
        <v/>
      </c>
      <c r="T626">
        <f>HYPERLINK("https://klasma.github.io/Logging_VIMMERBY/kartor/A 32985-2023.png")</f>
        <v/>
      </c>
      <c r="V626">
        <f>HYPERLINK("https://klasma.github.io/Logging_VIMMERBY/klagomål/A 32985-2023.docx")</f>
        <v/>
      </c>
      <c r="W626">
        <f>HYPERLINK("https://klasma.github.io/Logging_VIMMERBY/klagomålsmail/A 32985-2023.docx")</f>
        <v/>
      </c>
      <c r="X626">
        <f>HYPERLINK("https://klasma.github.io/Logging_VIMMERBY/tillsyn/A 32985-2023.docx")</f>
        <v/>
      </c>
      <c r="Y626">
        <f>HYPERLINK("https://klasma.github.io/Logging_VIMMERBY/tillsynsmail/A 32985-2023.docx")</f>
        <v/>
      </c>
    </row>
    <row r="627" ht="15" customHeight="1">
      <c r="A627" t="inlineStr">
        <is>
          <t>A 39745-2023</t>
        </is>
      </c>
      <c r="B627" s="1" t="n">
        <v>45167</v>
      </c>
      <c r="C627" s="1" t="n">
        <v>45175</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f>
        <v/>
      </c>
      <c r="T627">
        <f>HYPERLINK("https://klasma.github.io/Logging_KALMAR/kartor/A 39745-2023.png")</f>
        <v/>
      </c>
      <c r="V627">
        <f>HYPERLINK("https://klasma.github.io/Logging_KALMAR/klagomål/A 39745-2023.docx")</f>
        <v/>
      </c>
      <c r="W627">
        <f>HYPERLINK("https://klasma.github.io/Logging_KALMAR/klagomålsmail/A 39745-2023.docx")</f>
        <v/>
      </c>
      <c r="X627">
        <f>HYPERLINK("https://klasma.github.io/Logging_KALMAR/tillsyn/A 39745-2023.docx")</f>
        <v/>
      </c>
      <c r="Y627">
        <f>HYPERLINK("https://klasma.github.io/Logging_KALMAR/tillsynsmail/A 39745-2023.docx")</f>
        <v/>
      </c>
    </row>
    <row r="628" ht="15" customHeight="1">
      <c r="A628" t="inlineStr">
        <is>
          <t>A 34043-2018</t>
        </is>
      </c>
      <c r="B628" s="1" t="n">
        <v>43315</v>
      </c>
      <c r="C628" s="1" t="n">
        <v>45175</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45175</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c r="U629">
        <f>HYPERLINK("https://klasma.github.io/Logging_KALMAR/knärot/A 34030-2018.png")</f>
        <v/>
      </c>
      <c r="V629">
        <f>HYPERLINK("https://klasma.github.io/Logging_KALMAR/klagomål/A 34030-2018.docx")</f>
        <v/>
      </c>
      <c r="W629">
        <f>HYPERLINK("https://klasma.github.io/Logging_KALMAR/klagomålsmail/A 34030-2018.docx")</f>
        <v/>
      </c>
      <c r="X629">
        <f>HYPERLINK("https://klasma.github.io/Logging_KALMAR/tillsyn/A 34030-2018.docx")</f>
        <v/>
      </c>
      <c r="Y629">
        <f>HYPERLINK("https://klasma.github.io/Logging_KALMAR/tillsynsmail/A 34030-2018.docx")</f>
        <v/>
      </c>
    </row>
    <row r="630" ht="15" customHeight="1">
      <c r="A630" t="inlineStr">
        <is>
          <t>A 34783-2018</t>
        </is>
      </c>
      <c r="B630" s="1" t="n">
        <v>43321</v>
      </c>
      <c r="C630" s="1" t="n">
        <v>45175</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45175</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45175</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45175</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45175</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45175</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45175</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45175</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45175</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45175</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45175</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45175</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45175</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45175</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45175</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45175</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45175</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45175</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45175</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45175</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45175</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45175</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45175</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45175</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45175</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45175</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45175</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45175</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45175</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45175</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45175</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45175</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45175</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45175</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45175</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45175</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45175</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45175</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45175</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45175</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45175</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45175</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45175</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45175</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45175</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45175</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45175</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45175</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45175</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45175</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45175</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45175</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45175</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45175</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45175</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45175</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45175</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45175</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45175</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45175</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45175</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45175</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45175</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45175</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45175</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45175</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45175</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45175</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45175</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45175</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45175</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45175</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45175</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45175</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45175</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45175</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45175</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45175</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45175</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45175</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45175</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45175</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45175</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c r="U712">
        <f>HYPERLINK("https://klasma.github.io/Logging_VASTERVIK/knärot/A 37566-2018.png")</f>
        <v/>
      </c>
      <c r="V712">
        <f>HYPERLINK("https://klasma.github.io/Logging_VASTERVIK/klagomål/A 37566-2018.docx")</f>
        <v/>
      </c>
      <c r="W712">
        <f>HYPERLINK("https://klasma.github.io/Logging_VASTERVIK/klagomålsmail/A 37566-2018.docx")</f>
        <v/>
      </c>
      <c r="X712">
        <f>HYPERLINK("https://klasma.github.io/Logging_VASTERVIK/tillsyn/A 37566-2018.docx")</f>
        <v/>
      </c>
      <c r="Y712">
        <f>HYPERLINK("https://klasma.github.io/Logging_VASTERVIK/tillsynsmail/A 37566-2018.docx")</f>
        <v/>
      </c>
    </row>
    <row r="713" ht="15" customHeight="1">
      <c r="A713" t="inlineStr">
        <is>
          <t>A 37595-2018</t>
        </is>
      </c>
      <c r="B713" s="1" t="n">
        <v>43334</v>
      </c>
      <c r="C713" s="1" t="n">
        <v>45175</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45175</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45175</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45175</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45175</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45175</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45175</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45175</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45175</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45175</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45175</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45175</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45175</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45175</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45175</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45175</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45175</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45175</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45175</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45175</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45175</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45175</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45175</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45175</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45175</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45175</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45175</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45175</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45175</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45175</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45175</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45175</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45175</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45175</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45175</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45175</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45175</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45175</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45175</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45175</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45175</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45175</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45175</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45175</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45175</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45175</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45175</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45175</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45175</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45175</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45175</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45175</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45175</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45175</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45175</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45175</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45175</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45175</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45175</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45175</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45175</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45175</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45175</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45175</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45175</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45175</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45175</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45175</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45175</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45175</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45175</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45175</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45175</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45175</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45175</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45175</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45175</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45175</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45175</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45175</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45175</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45175</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45175</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45175</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45175</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45175</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45175</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45175</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45175</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45175</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45175</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45175</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45175</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45175</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45175</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45175</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45175</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45175</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45175</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45175</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45175</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45175</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45175</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45175</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45175</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45175</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45175</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45175</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45175</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45175</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45175</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45175</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45175</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45175</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45175</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45175</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45175</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45175</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45175</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45175</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45175</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45175</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45175</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45175</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45175</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45175</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45175</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45175</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45175</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45175</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45175</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45175</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45175</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45175</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45175</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45175</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45175</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45175</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45175</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45175</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45175</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45175</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45175</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45175</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45175</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45175</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45175</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45175</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45175</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45175</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45175</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45175</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45175</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45175</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45175</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45175</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45175</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45175</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45175</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45175</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45175</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45175</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45175</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45175</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45175</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45175</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45175</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45175</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45175</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45175</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45175</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45175</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45175</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45175</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45175</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45175</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45175</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45175</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45175</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45175</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45175</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45175</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45175</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45175</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45175</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45175</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45175</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45175</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45175</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45175</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45175</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45175</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45175</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45175</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45175</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45175</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45175</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45175</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45175</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45175</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45175</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45175</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45175</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45175</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45175</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45175</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45175</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45175</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45175</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45175</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45175</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45175</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45175</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45175</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45175</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45175</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45175</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45175</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45175</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45175</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45175</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45175</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45175</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45175</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45175</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45175</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45175</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45175</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45175</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45175</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45175</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45175</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45175</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45175</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45175</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45175</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45175</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45175</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45175</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45175</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45175</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45175</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45175</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45175</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45175</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45175</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45175</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45175</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45175</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45175</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45175</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45175</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45175</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45175</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45175</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45175</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45175</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45175</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45175</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45175</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45175</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45175</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45175</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45175</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45175</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45175</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45175</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45175</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45175</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45175</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45175</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45175</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45175</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45175</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45175</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45175</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45175</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45175</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45175</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45175</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45175</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45175</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45175</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45175</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45175</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45175</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45175</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45175</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45175</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45175</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45175</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45175</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45175</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45175</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45175</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45175</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45175</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45175</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45175</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45175</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45175</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45175</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45175</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45175</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45175</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45175</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45175</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45175</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45175</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45175</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45175</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45175</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45175</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45175</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45175</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45175</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45175</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45175</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45175</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45175</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45175</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45175</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45175</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45175</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45175</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45175</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45175</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45175</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45175</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45175</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45175</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45175</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45175</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45175</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45175</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45175</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45175</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45175</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45175</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45175</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45175</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45175</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45175</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45175</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45175</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45175</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45175</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45175</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45175</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45175</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45175</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45175</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45175</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45175</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45175</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45175</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45175</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45175</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45175</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45175</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45175</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45175</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45175</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45175</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45175</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45175</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45175</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45175</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45175</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45175</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45175</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45175</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45175</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45175</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45175</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45175</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45175</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45175</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45175</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45175</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45175</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45175</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45175</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45175</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45175</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45175</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45175</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45175</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45175</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45175</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45175</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45175</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45175</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45175</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45175</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45175</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45175</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45175</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45175</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45175</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45175</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45175</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45175</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45175</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45175</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45175</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45175</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45175</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45175</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45175</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45175</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45175</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45175</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45175</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45175</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45175</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45175</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45175</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45175</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45175</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45175</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45175</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45175</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45175</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45175</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45175</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45175</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45175</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45175</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45175</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45175</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45175</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45175</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45175</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45175</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45175</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45175</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45175</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45175</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45175</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45175</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45175</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45175</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45175</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45175</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45175</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45175</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45175</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45175</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45175</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45175</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45175</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45175</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45175</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45175</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45175</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45175</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45175</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45175</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45175</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45175</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45175</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45175</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45175</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45175</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45175</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45175</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45175</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45175</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45175</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45175</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45175</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45175</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45175</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45175</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45175</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45175</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45175</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45175</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45175</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45175</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45175</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45175</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45175</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45175</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45175</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45175</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45175</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45175</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45175</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45175</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45175</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45175</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45175</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45175</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45175</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45175</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45175</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c r="U1210">
        <f>HYPERLINK("https://klasma.github.io/Logging_HOGSBY/knärot/A 2525-2019.png")</f>
        <v/>
      </c>
      <c r="V1210">
        <f>HYPERLINK("https://klasma.github.io/Logging_HOGSBY/klagomål/A 2525-2019.docx")</f>
        <v/>
      </c>
      <c r="W1210">
        <f>HYPERLINK("https://klasma.github.io/Logging_HOGSBY/klagomålsmail/A 2525-2019.docx")</f>
        <v/>
      </c>
      <c r="X1210">
        <f>HYPERLINK("https://klasma.github.io/Logging_HOGSBY/tillsyn/A 2525-2019.docx")</f>
        <v/>
      </c>
      <c r="Y1210">
        <f>HYPERLINK("https://klasma.github.io/Logging_HOGSBY/tillsynsmail/A 2525-2019.docx")</f>
        <v/>
      </c>
    </row>
    <row r="1211" ht="15" customHeight="1">
      <c r="A1211" t="inlineStr">
        <is>
          <t>A 437-2019</t>
        </is>
      </c>
      <c r="B1211" s="1" t="n">
        <v>43468</v>
      </c>
      <c r="C1211" s="1" t="n">
        <v>45175</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45175</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45175</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45175</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45175</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45175</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45175</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45175</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45175</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45175</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45175</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45175</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45175</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45175</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45175</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45175</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45175</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45175</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45175</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45175</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45175</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45175</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45175</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45175</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45175</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45175</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45175</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45175</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45175</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45175</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45175</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45175</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45175</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45175</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45175</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45175</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45175</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45175</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45175</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45175</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45175</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45175</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45175</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45175</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45175</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45175</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45175</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45175</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45175</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45175</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45175</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45175</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45175</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45175</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45175</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45175</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45175</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45175</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45175</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45175</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45175</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45175</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45175</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45175</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45175</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45175</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45175</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45175</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45175</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45175</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45175</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45175</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45175</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45175</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45175</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45175</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45175</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45175</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45175</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45175</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45175</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45175</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45175</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45175</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45175</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45175</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45175</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45175</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45175</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45175</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45175</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45175</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45175</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45175</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45175</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45175</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45175</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45175</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45175</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45175</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45175</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45175</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45175</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45175</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45175</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45175</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45175</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45175</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45175</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45175</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45175</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45175</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45175</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45175</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45175</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45175</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45175</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45175</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45175</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45175</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45175</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45175</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45175</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45175</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45175</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45175</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45175</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45175</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45175</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45175</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45175</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45175</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45175</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45175</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45175</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45175</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45175</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45175</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45175</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45175</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45175</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45175</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45175</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45175</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45175</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45175</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45175</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45175</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45175</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45175</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45175</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45175</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45175</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45175</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45175</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45175</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45175</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45175</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45175</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45175</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45175</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45175</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45175</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45175</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45175</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45175</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45175</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45175</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45175</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45175</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45175</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45175</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45175</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45175</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45175</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45175</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45175</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45175</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45175</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45175</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45175</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45175</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45175</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45175</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45175</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45175</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45175</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45175</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45175</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45175</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45175</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45175</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45175</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45175</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45175</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45175</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45175</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45175</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45175</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45175</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45175</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45175</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45175</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45175</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45175</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45175</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45175</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45175</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45175</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45175</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45175</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45175</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45175</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45175</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45175</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45175</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45175</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45175</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45175</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45175</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45175</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45175</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45175</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45175</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45175</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45175</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45175</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45175</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45175</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45175</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45175</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45175</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45175</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45175</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45175</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45175</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45175</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45175</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45175</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45175</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45175</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45175</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45175</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45175</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45175</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45175</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45175</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45175</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45175</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45175</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45175</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45175</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45175</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45175</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45175</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45175</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45175</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45175</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45175</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45175</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45175</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45175</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45175</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45175</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45175</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45175</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45175</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45175</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45175</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45175</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45175</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45175</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45175</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45175</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45175</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45175</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45175</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45175</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45175</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45175</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45175</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45175</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45175</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45175</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45175</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45175</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45175</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45175</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45175</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45175</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45175</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45175</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45175</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45175</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45175</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45175</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45175</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45175</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45175</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45175</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45175</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45175</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45175</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45175</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45175</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45175</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45175</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45175</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45175</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45175</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45175</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45175</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45175</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45175</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45175</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45175</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45175</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45175</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45175</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45175</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45175</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45175</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45175</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45175</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45175</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45175</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45175</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45175</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45175</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45175</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45175</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45175</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45175</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45175</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45175</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45175</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45175</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45175</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45175</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45175</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45175</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45175</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45175</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45175</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45175</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45175</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45175</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45175</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45175</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45175</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45175</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45175</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45175</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45175</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45175</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45175</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45175</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45175</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45175</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45175</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45175</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45175</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45175</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45175</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45175</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45175</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45175</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45175</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45175</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45175</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45175</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45175</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45175</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45175</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45175</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45175</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45175</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45175</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45175</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45175</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45175</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45175</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45175</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45175</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45175</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45175</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45175</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45175</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45175</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45175</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45175</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45175</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45175</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45175</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45175</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45175</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45175</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45175</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45175</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45175</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45175</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45175</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45175</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45175</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45175</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45175</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45175</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45175</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45175</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45175</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45175</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45175</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45175</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45175</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45175</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45175</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45175</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45175</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45175</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45175</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45175</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45175</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45175</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45175</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45175</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45175</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45175</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45175</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45175</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45175</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45175</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45175</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45175</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45175</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45175</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45175</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45175</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45175</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45175</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45175</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45175</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45175</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45175</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45175</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45175</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45175</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45175</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45175</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45175</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45175</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45175</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45175</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45175</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45175</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45175</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45175</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45175</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45175</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45175</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45175</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45175</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45175</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45175</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45175</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45175</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45175</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45175</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45175</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45175</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45175</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45175</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45175</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45175</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45175</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45175</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45175</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45175</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45175</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45175</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45175</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45175</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45175</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45175</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45175</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45175</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45175</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45175</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45175</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45175</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45175</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45175</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45175</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45175</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45175</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45175</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45175</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45175</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45175</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45175</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45175</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45175</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45175</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45175</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45175</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45175</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45175</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45175</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45175</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45175</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45175</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45175</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45175</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45175</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45175</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45175</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45175</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45175</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45175</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45175</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45175</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45175</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45175</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45175</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45175</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45175</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45175</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45175</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45175</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45175</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45175</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45175</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45175</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45175</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45175</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45175</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45175</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45175</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45175</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45175</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45175</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45175</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45175</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45175</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45175</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45175</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45175</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45175</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45175</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45175</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45175</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45175</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45175</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45175</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45175</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45175</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45175</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45175</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45175</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45175</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45175</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45175</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45175</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45175</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45175</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45175</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45175</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45175</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45175</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45175</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45175</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45175</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45175</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45175</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45175</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45175</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45175</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45175</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45175</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45175</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45175</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45175</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45175</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45175</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45175</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45175</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45175</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45175</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45175</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45175</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45175</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45175</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45175</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45175</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45175</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45175</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45175</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45175</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45175</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45175</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45175</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45175</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45175</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45175</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45175</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45175</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45175</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45175</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45175</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45175</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45175</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45175</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45175</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45175</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45175</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45175</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45175</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45175</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45175</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45175</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45175</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45175</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45175</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45175</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45175</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45175</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45175</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45175</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45175</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45175</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45175</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45175</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45175</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45175</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45175</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45175</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45175</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45175</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45175</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45175</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45175</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45175</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45175</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45175</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45175</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45175</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45175</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45175</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45175</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45175</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45175</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45175</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45175</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45175</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45175</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45175</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45175</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45175</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45175</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45175</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45175</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45175</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45175</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45175</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45175</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45175</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45175</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45175</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45175</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45175</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45175</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45175</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45175</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45175</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45175</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45175</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45175</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45175</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45175</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45175</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45175</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45175</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45175</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45175</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45175</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45175</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45175</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45175</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45175</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45175</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45175</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45175</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45175</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45175</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45175</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45175</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45175</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45175</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45175</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45175</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45175</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45175</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45175</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45175</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45175</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45175</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45175</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45175</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45175</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45175</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45175</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45175</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45175</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45175</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45175</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45175</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45175</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45175</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45175</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45175</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45175</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45175</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45175</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45175</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45175</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45175</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45175</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45175</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45175</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45175</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45175</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45175</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45175</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45175</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45175</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45175</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45175</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45175</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45175</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45175</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45175</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45175</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45175</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45175</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45175</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45175</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45175</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45175</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45175</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45175</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45175</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45175</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45175</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45175</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45175</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45175</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45175</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45175</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45175</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45175</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45175</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45175</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45175</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45175</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45175</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45175</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45175</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45175</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45175</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45175</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45175</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45175</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45175</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45175</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45175</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45175</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45175</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45175</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45175</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45175</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45175</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45175</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45175</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45175</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45175</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45175</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45175</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45175</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45175</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45175</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45175</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45175</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45175</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45175</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45175</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45175</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45175</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45175</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45175</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45175</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45175</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45175</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45175</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45175</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45175</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45175</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45175</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45175</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45175</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45175</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45175</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45175</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45175</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45175</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45175</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45175</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45175</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45175</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45175</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45175</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45175</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45175</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45175</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45175</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45175</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45175</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45175</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45175</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45175</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45175</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45175</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45175</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45175</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45175</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45175</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45175</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45175</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45175</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45175</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45175</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45175</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45175</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45175</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45175</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45175</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45175</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45175</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45175</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45175</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45175</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45175</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45175</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45175</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45175</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45175</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45175</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45175</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45175</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45175</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45175</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45175</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45175</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45175</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45175</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45175</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45175</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45175</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45175</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45175</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45175</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45175</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45175</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45175</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45175</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45175</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45175</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45175</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45175</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45175</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45175</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45175</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45175</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45175</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45175</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45175</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45175</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45175</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45175</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45175</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45175</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45175</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45175</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45175</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45175</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45175</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45175</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45175</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45175</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45175</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45175</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45175</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45175</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45175</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45175</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45175</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45175</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45175</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45175</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45175</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45175</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45175</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45175</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45175</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45175</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45175</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45175</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45175</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45175</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45175</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45175</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45175</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45175</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45175</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45175</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45175</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45175</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45175</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45175</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45175</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45175</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45175</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45175</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45175</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45175</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45175</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45175</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45175</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45175</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45175</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45175</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45175</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45175</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45175</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45175</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45175</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45175</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45175</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45175</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45175</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45175</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45175</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45175</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45175</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45175</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45175</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45175</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45175</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45175</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45175</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45175</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45175</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45175</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45175</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45175</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45175</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45175</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45175</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45175</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45175</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45175</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45175</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45175</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45175</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45175</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45175</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45175</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45175</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45175</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45175</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45175</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45175</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45175</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45175</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45175</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45175</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45175</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45175</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45175</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45175</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45175</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45175</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45175</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45175</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45175</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45175</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45175</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45175</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45175</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45175</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45175</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45175</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45175</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45175</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45175</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45175</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45175</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45175</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45175</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45175</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45175</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45175</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45175</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45175</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45175</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45175</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45175</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45175</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45175</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45175</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45175</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45175</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45175</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45175</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45175</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45175</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45175</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45175</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45175</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45175</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45175</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45175</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45175</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45175</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45175</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45175</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45175</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45175</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45175</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45175</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45175</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45175</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45175</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45175</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45175</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45175</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45175</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45175</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45175</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45175</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45175</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45175</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45175</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45175</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45175</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45175</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45175</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45175</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45175</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45175</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45175</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45175</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45175</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45175</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45175</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45175</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45175</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45175</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45175</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45175</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45175</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45175</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45175</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45175</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45175</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45175</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45175</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45175</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45175</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45175</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45175</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45175</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45175</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45175</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45175</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45175</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45175</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45175</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45175</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45175</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45175</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45175</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45175</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45175</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45175</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45175</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45175</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45175</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45175</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45175</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45175</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45175</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45175</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45175</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45175</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45175</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45175</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45175</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45175</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45175</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45175</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45175</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45175</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45175</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45175</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45175</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45175</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45175</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45175</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45175</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45175</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45175</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45175</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45175</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45175</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45175</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45175</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45175</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45175</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45175</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45175</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45175</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45175</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45175</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45175</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45175</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45175</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45175</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45175</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45175</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45175</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45175</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45175</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45175</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45175</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45175</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45175</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45175</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45175</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45175</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45175</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45175</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45175</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45175</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45175</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45175</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45175</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45175</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45175</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45175</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45175</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45175</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45175</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45175</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45175</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45175</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45175</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45175</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45175</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45175</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45175</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45175</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45175</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45175</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45175</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45175</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45175</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45175</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45175</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45175</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45175</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45175</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45175</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45175</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45175</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45175</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45175</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45175</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45175</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45175</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45175</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45175</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45175</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45175</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45175</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45175</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45175</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45175</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45175</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45175</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45175</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45175</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45175</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45175</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45175</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45175</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45175</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45175</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45175</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45175</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45175</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45175</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45175</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45175</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45175</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45175</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45175</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45175</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45175</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45175</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45175</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45175</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45175</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45175</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45175</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45175</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45175</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45175</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45175</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45175</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45175</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45175</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45175</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45175</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45175</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45175</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45175</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45175</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45175</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45175</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45175</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45175</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45175</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45175</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45175</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45175</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45175</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45175</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45175</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45175</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45175</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45175</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45175</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45175</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45175</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45175</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45175</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45175</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45175</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45175</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45175</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45175</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45175</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45175</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45175</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45175</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45175</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45175</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45175</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45175</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45175</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45175</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45175</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45175</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45175</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45175</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45175</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45175</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45175</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45175</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45175</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45175</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45175</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45175</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45175</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45175</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45175</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45175</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45175</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45175</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45175</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45175</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45175</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45175</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45175</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45175</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45175</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45175</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45175</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45175</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45175</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45175</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45175</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45175</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45175</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45175</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45175</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45175</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45175</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45175</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45175</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45175</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45175</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45175</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45175</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45175</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45175</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45175</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45175</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45175</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45175</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45175</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45175</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45175</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45175</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45175</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45175</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45175</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45175</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45175</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45175</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45175</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45175</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45175</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45175</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45175</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45175</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45175</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45175</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45175</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45175</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45175</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45175</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45175</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45175</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45175</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45175</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45175</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45175</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45175</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45175</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45175</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45175</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45175</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c r="U2562">
        <f>HYPERLINK("https://klasma.github.io/Logging_KALMAR/knärot/A 44761-2019.png")</f>
        <v/>
      </c>
      <c r="V2562">
        <f>HYPERLINK("https://klasma.github.io/Logging_KALMAR/klagomål/A 44761-2019.docx")</f>
        <v/>
      </c>
      <c r="W2562">
        <f>HYPERLINK("https://klasma.github.io/Logging_KALMAR/klagomålsmail/A 44761-2019.docx")</f>
        <v/>
      </c>
      <c r="X2562">
        <f>HYPERLINK("https://klasma.github.io/Logging_KALMAR/tillsyn/A 44761-2019.docx")</f>
        <v/>
      </c>
      <c r="Y2562">
        <f>HYPERLINK("https://klasma.github.io/Logging_KALMAR/tillsynsmail/A 44761-2019.docx")</f>
        <v/>
      </c>
    </row>
    <row r="2563" ht="15" customHeight="1">
      <c r="A2563" t="inlineStr">
        <is>
          <t>A 46173-2019</t>
        </is>
      </c>
      <c r="B2563" s="1" t="n">
        <v>43712</v>
      </c>
      <c r="C2563" s="1" t="n">
        <v>45175</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45175</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45175</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45175</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45175</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45175</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45175</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45175</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45175</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45175</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45175</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45175</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45175</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45175</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45175</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45175</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45175</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45175</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45175</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45175</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45175</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45175</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45175</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45175</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45175</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45175</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45175</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45175</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45175</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45175</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45175</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45175</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45175</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45175</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45175</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45175</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45175</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45175</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45175</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45175</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45175</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45175</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45175</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45175</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45175</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45175</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45175</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45175</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45175</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45175</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45175</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45175</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45175</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45175</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45175</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45175</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45175</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45175</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45175</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45175</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45175</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45175</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45175</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45175</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45175</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45175</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45175</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45175</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45175</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45175</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45175</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45175</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45175</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45175</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45175</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45175</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45175</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45175</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45175</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45175</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45175</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45175</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45175</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45175</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45175</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45175</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45175</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45175</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45175</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45175</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45175</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45175</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45175</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45175</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45175</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45175</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45175</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45175</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45175</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45175</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45175</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45175</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45175</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45175</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45175</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45175</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45175</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45175</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45175</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45175</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45175</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45175</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45175</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45175</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45175</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45175</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45175</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45175</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45175</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45175</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45175</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45175</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45175</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45175</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45175</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45175</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45175</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45175</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45175</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45175</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45175</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45175</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45175</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45175</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45175</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45175</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45175</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45175</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45175</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45175</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45175</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45175</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45175</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45175</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45175</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45175</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45175</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45175</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45175</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45175</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45175</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45175</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45175</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45175</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45175</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45175</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45175</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45175</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45175</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45175</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45175</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45175</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45175</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45175</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45175</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45175</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45175</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45175</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45175</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45175</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45175</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45175</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45175</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45175</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45175</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45175</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45175</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45175</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45175</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45175</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45175</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45175</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45175</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45175</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45175</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45175</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45175</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45175</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45175</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45175</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45175</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45175</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45175</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45175</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45175</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45175</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45175</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45175</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45175</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45175</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45175</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45175</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45175</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45175</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45175</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45175</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45175</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45175</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45175</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45175</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45175</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45175</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45175</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45175</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45175</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45175</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45175</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45175</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45175</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45175</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45175</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45175</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45175</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45175</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45175</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45175</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45175</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45175</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45175</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45175</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45175</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45175</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45175</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45175</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45175</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45175</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45175</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45175</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45175</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45175</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45175</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45175</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45175</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45175</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45175</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45175</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45175</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45175</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45175</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45175</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45175</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45175</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45175</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45175</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45175</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45175</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45175</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45175</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45175</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45175</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45175</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45175</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45175</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45175</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45175</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45175</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45175</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45175</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45175</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45175</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45175</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45175</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45175</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45175</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45175</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45175</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45175</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45175</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45175</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45175</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45175</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45175</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45175</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45175</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45175</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45175</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45175</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45175</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45175</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45175</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45175</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45175</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45175</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45175</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45175</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45175</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45175</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45175</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45175</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45175</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45175</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45175</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45175</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45175</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45175</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45175</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45175</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45175</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45175</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45175</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45175</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45175</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45175</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45175</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45175</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45175</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45175</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45175</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45175</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45175</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45175</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45175</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45175</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45175</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45175</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45175</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45175</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45175</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45175</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45175</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45175</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45175</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45175</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45175</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45175</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45175</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45175</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45175</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45175</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45175</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45175</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45175</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45175</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45175</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45175</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45175</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45175</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45175</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45175</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45175</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45175</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45175</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45175</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45175</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45175</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45175</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45175</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45175</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45175</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45175</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45175</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45175</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45175</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45175</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45175</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45175</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45175</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45175</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45175</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45175</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45175</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45175</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45175</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45175</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45175</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45175</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45175</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45175</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45175</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45175</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45175</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45175</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45175</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45175</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45175</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45175</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45175</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45175</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45175</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45175</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45175</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45175</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45175</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45175</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45175</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45175</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45175</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45175</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45175</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45175</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45175</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45175</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45175</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45175</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45175</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45175</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45175</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45175</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45175</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45175</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45175</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45175</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45175</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45175</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45175</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45175</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45175</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45175</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45175</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45175</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45175</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45175</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45175</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45175</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45175</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45175</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45175</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45175</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45175</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45175</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45175</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45175</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45175</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45175</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45175</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45175</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45175</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45175</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45175</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45175</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45175</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45175</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45175</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45175</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45175</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45175</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45175</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45175</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45175</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45175</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45175</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45175</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45175</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45175</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45175</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45175</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45175</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45175</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45175</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45175</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45175</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45175</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45175</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45175</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45175</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45175</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45175</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45175</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45175</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45175</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45175</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45175</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45175</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45175</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45175</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45175</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45175</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45175</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45175</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45175</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45175</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45175</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45175</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45175</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45175</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45175</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45175</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45175</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45175</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45175</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45175</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45175</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45175</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45175</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45175</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45175</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45175</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45175</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45175</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45175</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45175</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45175</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45175</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45175</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45175</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c r="U3067">
        <f>HYPERLINK("https://klasma.github.io/Logging_VASTERVIK/knärot/A 66743-2019.png")</f>
        <v/>
      </c>
      <c r="V3067">
        <f>HYPERLINK("https://klasma.github.io/Logging_VASTERVIK/klagomål/A 66743-2019.docx")</f>
        <v/>
      </c>
      <c r="W3067">
        <f>HYPERLINK("https://klasma.github.io/Logging_VASTERVIK/klagomålsmail/A 66743-2019.docx")</f>
        <v/>
      </c>
      <c r="X3067">
        <f>HYPERLINK("https://klasma.github.io/Logging_VASTERVIK/tillsyn/A 66743-2019.docx")</f>
        <v/>
      </c>
      <c r="Y3067">
        <f>HYPERLINK("https://klasma.github.io/Logging_VASTERVIK/tillsynsmail/A 66743-2019.docx")</f>
        <v/>
      </c>
    </row>
    <row r="3068" ht="15" customHeight="1">
      <c r="A3068" t="inlineStr">
        <is>
          <t>A 65756-2019</t>
        </is>
      </c>
      <c r="B3068" s="1" t="n">
        <v>43804</v>
      </c>
      <c r="C3068" s="1" t="n">
        <v>45175</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45175</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45175</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45175</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45175</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45175</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45175</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45175</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45175</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45175</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45175</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45175</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45175</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45175</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45175</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45175</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45175</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45175</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45175</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45175</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45175</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45175</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45175</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45175</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45175</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45175</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45175</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45175</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45175</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45175</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45175</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45175</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45175</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45175</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45175</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45175</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45175</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45175</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45175</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45175</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45175</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45175</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45175</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45175</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45175</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45175</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45175</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45175</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45175</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45175</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45175</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45175</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45175</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45175</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45175</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45175</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45175</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45175</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45175</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45175</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45175</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45175</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45175</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45175</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45175</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45175</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45175</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45175</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45175</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45175</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45175</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45175</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45175</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45175</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45175</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45175</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45175</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45175</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45175</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45175</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45175</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45175</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45175</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45175</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45175</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45175</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45175</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45175</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45175</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45175</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45175</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45175</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45175</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45175</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45175</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45175</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45175</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45175</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45175</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45175</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45175</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45175</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45175</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45175</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45175</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45175</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45175</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45175</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45175</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45175</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45175</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45175</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45175</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45175</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45175</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45175</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45175</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45175</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45175</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45175</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45175</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45175</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45175</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45175</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45175</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45175</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45175</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45175</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45175</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45175</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45175</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45175</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45175</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45175</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45175</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45175</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45175</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45175</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45175</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45175</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45175</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45175</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45175</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45175</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45175</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45175</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45175</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45175</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45175</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45175</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45175</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45175</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45175</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45175</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45175</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45175</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45175</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45175</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45175</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45175</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45175</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45175</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45175</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45175</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45175</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45175</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45175</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45175</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45175</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45175</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45175</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45175</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45175</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45175</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45175</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45175</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45175</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45175</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45175</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45175</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45175</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45175</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45175</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45175</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45175</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45175</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45175</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45175</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45175</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45175</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45175</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45175</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45175</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45175</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45175</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45175</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45175</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45175</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45175</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45175</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45175</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45175</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45175</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45175</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45175</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45175</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45175</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45175</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45175</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45175</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45175</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45175</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45175</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45175</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45175</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45175</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45175</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45175</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45175</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45175</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45175</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45175</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45175</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45175</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45175</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45175</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45175</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45175</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45175</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45175</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45175</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45175</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45175</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45175</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45175</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45175</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45175</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45175</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45175</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45175</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45175</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45175</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45175</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45175</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45175</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45175</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45175</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45175</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45175</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45175</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45175</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45175</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45175</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45175</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45175</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45175</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45175</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45175</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45175</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45175</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45175</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45175</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45175</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45175</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45175</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45175</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45175</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45175</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45175</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45175</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45175</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45175</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45175</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45175</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45175</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45175</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45175</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45175</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45175</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45175</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45175</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45175</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45175</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45175</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45175</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45175</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45175</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45175</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45175</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45175</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45175</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45175</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45175</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45175</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45175</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45175</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45175</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45175</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45175</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45175</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45175</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45175</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45175</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45175</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45175</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45175</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45175</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45175</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45175</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45175</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45175</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45175</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45175</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45175</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45175</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45175</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45175</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45175</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45175</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45175</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45175</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45175</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45175</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45175</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45175</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45175</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45175</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45175</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45175</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45175</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45175</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45175</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45175</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45175</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45175</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45175</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45175</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45175</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45175</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45175</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45175</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45175</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45175</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45175</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45175</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45175</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45175</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45175</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45175</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45175</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45175</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45175</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45175</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45175</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45175</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45175</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45175</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45175</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45175</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45175</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45175</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45175</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45175</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45175</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45175</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45175</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45175</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45175</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45175</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45175</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45175</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45175</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45175</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45175</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45175</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45175</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45175</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45175</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45175</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45175</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45175</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45175</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45175</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45175</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45175</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45175</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45175</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45175</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45175</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45175</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45175</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45175</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45175</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45175</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45175</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45175</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45175</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45175</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45175</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45175</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45175</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45175</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45175</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45175</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45175</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45175</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45175</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45175</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45175</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45175</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45175</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45175</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45175</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45175</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45175</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45175</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45175</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45175</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45175</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45175</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45175</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45175</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45175</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45175</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45175</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45175</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45175</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45175</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45175</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45175</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45175</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45175</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45175</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45175</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45175</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45175</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45175</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45175</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45175</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45175</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45175</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45175</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45175</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45175</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45175</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45175</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45175</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45175</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45175</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45175</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45175</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45175</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45175</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45175</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45175</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45175</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45175</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45175</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45175</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45175</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45175</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45175</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45175</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45175</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45175</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45175</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45175</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45175</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45175</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45175</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45175</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45175</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45175</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45175</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45175</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45175</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45175</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45175</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45175</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45175</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45175</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45175</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45175</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45175</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45175</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45175</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45175</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45175</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45175</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45175</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45175</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45175</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45175</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45175</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45175</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45175</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45175</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45175</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45175</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45175</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45175</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45175</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45175</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45175</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45175</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45175</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45175</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45175</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45175</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45175</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45175</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45175</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45175</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45175</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45175</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45175</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45175</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45175</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45175</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45175</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45175</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45175</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45175</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45175</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45175</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45175</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45175</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45175</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45175</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45175</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45175</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45175</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45175</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45175</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45175</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45175</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45175</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45175</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45175</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45175</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45175</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45175</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45175</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45175</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45175</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45175</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45175</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45175</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45175</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45175</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45175</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45175</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45175</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45175</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45175</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45175</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45175</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45175</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45175</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45175</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45175</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45175</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45175</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45175</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45175</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45175</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45175</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45175</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45175</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45175</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45175</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45175</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45175</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45175</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45175</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45175</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45175</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45175</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45175</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45175</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45175</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45175</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45175</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45175</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45175</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45175</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45175</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45175</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45175</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45175</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45175</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45175</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45175</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45175</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45175</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45175</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45175</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45175</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45175</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45175</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45175</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45175</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45175</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45175</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45175</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45175</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45175</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45175</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45175</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45175</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45175</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45175</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45175</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45175</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45175</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45175</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45175</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45175</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45175</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45175</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45175</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45175</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45175</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45175</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45175</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45175</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45175</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45175</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29392-2020</t>
        </is>
      </c>
      <c r="B3696" s="1" t="n">
        <v>44004</v>
      </c>
      <c r="C3696" s="1" t="n">
        <v>45175</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45175</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45175</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45175</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45175</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45175</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45175</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45175</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45175</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45175</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45175</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45175</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45175</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45175</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45175</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45175</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45175</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45175</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45175</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45175</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45175</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45175</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45175</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45175</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45175</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45175</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45175</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45175</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45175</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45175</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45175</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45175</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45175</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45175</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45175</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45175</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45175</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45175</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45175</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45175</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45175</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45175</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45175</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45175</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45175</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45175</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45175</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45175</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45175</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45175</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45175</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45175</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45175</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45175</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45175</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45175</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45175</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45175</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45175</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45175</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45175</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45175</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45175</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45175</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45175</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45175</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45175</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45175</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45175</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45175</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45175</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45175</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45175</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45175</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45175</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45175</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45175</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45175</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45175</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45175</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45175</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45175</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45175</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45175</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45175</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45175</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45175</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45175</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45175</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45175</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45175</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45175</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45175</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45175</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45175</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45175</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45175</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45175</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45175</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45175</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45175</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45175</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45175</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45175</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45175</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45175</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45175</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45175</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45175</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45175</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45175</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45175</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45175</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45175</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45175</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45175</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45175</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45175</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45175</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45175</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45175</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45175</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45175</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45175</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45175</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45175</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45175</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45175</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45175</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45175</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45175</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45175</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45175</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45175</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45175</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45175</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45175</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45175</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45175</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45175</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45175</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45175</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45175</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45175</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45175</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45175</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45175</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45175</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45175</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45175</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45175</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45175</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45175</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45175</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45175</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45175</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45175</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45175</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45175</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45175</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45175</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c r="U3856">
        <f>HYPERLINK("https://klasma.github.io/Logging_TORSAS/knärot/A 37350-2020.png")</f>
        <v/>
      </c>
      <c r="V3856">
        <f>HYPERLINK("https://klasma.github.io/Logging_TORSAS/klagomål/A 37350-2020.docx")</f>
        <v/>
      </c>
      <c r="W3856">
        <f>HYPERLINK("https://klasma.github.io/Logging_TORSAS/klagomålsmail/A 37350-2020.docx")</f>
        <v/>
      </c>
      <c r="X3856">
        <f>HYPERLINK("https://klasma.github.io/Logging_TORSAS/tillsyn/A 37350-2020.docx")</f>
        <v/>
      </c>
      <c r="Y3856">
        <f>HYPERLINK("https://klasma.github.io/Logging_TORSAS/tillsynsmail/A 37350-2020.docx")</f>
        <v/>
      </c>
    </row>
    <row r="3857" ht="15" customHeight="1">
      <c r="A3857" t="inlineStr">
        <is>
          <t>A 37362-2020</t>
        </is>
      </c>
      <c r="B3857" s="1" t="n">
        <v>44055</v>
      </c>
      <c r="C3857" s="1" t="n">
        <v>45175</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45175</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45175</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45175</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45175</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45175</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45175</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45175</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45175</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45175</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45175</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45175</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45175</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45175</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45175</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45175</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45175</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45175</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45175</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45175</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45175</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45175</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45175</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45175</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45175</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45175</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45175</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45175</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45175</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45175</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45175</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45175</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45175</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45175</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45175</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45175</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45175</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45175</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45175</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45175</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45175</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45175</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45175</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45175</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45175</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45175</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45175</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45175</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45175</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45175</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45175</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45175</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45175</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45175</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45175</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45175</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45175</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45175</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45175</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45175</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45175</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45175</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45175</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45175</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45175</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45175</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45175</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45175</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45175</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45175</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45175</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45175</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45175</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45175</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45175</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45175</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45175</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45175</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45175</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45175</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45175</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45175</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45175</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45175</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45175</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45175</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45175</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45175</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45175</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45175</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45175</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45175</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45175</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45175</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45175</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45175</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45175</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45175</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45175</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45175</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45175</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45175</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45175</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45175</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45175</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45175</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45175</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45175</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45175</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45175</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45175</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45175</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45175</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45175</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45175</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45175</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45175</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45175</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45175</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45175</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45175</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45175</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45175</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45175</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45175</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45175</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45175</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45175</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45175</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45175</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45175</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45175</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45175</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45175</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45175</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45175</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45175</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45175</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45175</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45175</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45175</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45175</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45175</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45175</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45175</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45175</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45175</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45175</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45175</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45175</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45175</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45175</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45175</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45175</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45175</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45175</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45175</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45175</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45175</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45175</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45175</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45175</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45175</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45175</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45175</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45175</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45175</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45175</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45175</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45175</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45175</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45175</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45175</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45175</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45175</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45175</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45175</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45175</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45175</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45175</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45175</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45175</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45175</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45175</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45175</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45175</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45175</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45175</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45175</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45175</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45175</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45175</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45175</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45175</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45175</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45175</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45175</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45175</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45175</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45175</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45175</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45175</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45175</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45175</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45175</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45175</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45175</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45175</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45175</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45175</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45175</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45175</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45175</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45175</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45175</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45175</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45175</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45175</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45175</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45175</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45175</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45175</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45175</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45175</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45175</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45175</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45175</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45175</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45175</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45175</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45175</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45175</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45175</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45175</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45175</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45175</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45175</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45175</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45175</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45175</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45175</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45175</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45175</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45175</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45175</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45175</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45175</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45175</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45175</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45175</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45175</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45175</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45175</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45175</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45175</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45175</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45175</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45175</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45175</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45175</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45175</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45175</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45175</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45175</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45175</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45175</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45175</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45175</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45175</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45175</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45175</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45175</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45175</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45175</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45175</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45175</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45175</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45175</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45175</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45175</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45175</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45175</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45175</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45175</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45175</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45175</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45175</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45175</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45175</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45175</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45175</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45175</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45175</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45175</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45175</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45175</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45175</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45175</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45175</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45175</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45175</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45175</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45175</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45175</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45175</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45175</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45175</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45175</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45175</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45175</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45175</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45175</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45175</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45175</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45175</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45175</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45175</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45175</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45175</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45175</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45175</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45175</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45175</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45175</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45175</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45175</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45175</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45175</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45175</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45175</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45175</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45175</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45175</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45175</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45175</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45175</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45175</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45175</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45175</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45175</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45175</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45175</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45175</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45175</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45175</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45175</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45175</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45175</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45175</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45175</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45175</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45175</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45175</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45175</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45175</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45175</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45175</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45175</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45175</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45175</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45175</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45175</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45175</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45175</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45175</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45175</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45175</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45175</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45175</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45175</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45175</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45175</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45175</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45175</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45175</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45175</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45175</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45175</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45175</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45175</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45175</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45175</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45175</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45175</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45175</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45175</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45175</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45175</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45175</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45175</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45175</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45175</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45175</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45175</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45175</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45175</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45175</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45175</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45175</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45175</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45175</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45175</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45175</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45175</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45175</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45175</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45175</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45175</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45175</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45175</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45175</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45175</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45175</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45175</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45175</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45175</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45175</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45175</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45175</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45175</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45175</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45175</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45175</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45175</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45175</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45175</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45175</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45175</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45175</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45175</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45175</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45175</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45175</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45175</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45175</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45175</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45175</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45175</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45175</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45175</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45175</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45175</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45175</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45175</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45175</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45175</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45175</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45175</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45175</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45175</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45175</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45175</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45175</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45175</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45175</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45175</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45175</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45175</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45175</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45175</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45175</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45175</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45175</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45175</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45175</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45175</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45175</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45175</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45175</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45175</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45175</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45175</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45175</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45175</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45175</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45175</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45175</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45175</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45175</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45175</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45175</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45175</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45175</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45175</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45175</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45175</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45175</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45175</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45175</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45175</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45175</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45175</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45175</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45175</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45175</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45175</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45175</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45175</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45175</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45175</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45175</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45175</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45175</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45175</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45175</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45175</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45175</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45175</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45175</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45175</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45175</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45175</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45175</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45175</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45175</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45175</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45175</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45175</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45175</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45175</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45175</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45175</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45175</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45175</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45175</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45175</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45175</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45175</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45175</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45175</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45175</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45175</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45175</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45175</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45175</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45175</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45175</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45175</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45175</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45175</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45175</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45175</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45175</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45175</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45175</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45175</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45175</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45175</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45175</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45175</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45175</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45175</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45175</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45175</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45175</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45175</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45175</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45175</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45175</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45175</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45175</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45175</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45175</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45175</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45175</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45175</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45175</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45175</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45175</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45175</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45175</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45175</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45175</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45175</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45175</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45175</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45175</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45175</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45175</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45175</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45175</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45175</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45175</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45175</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45175</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45175</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45175</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45175</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45175</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45175</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45175</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45175</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45175</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45175</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45175</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45175</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45175</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45175</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45175</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45175</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45175</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45175</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45175</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45175</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45175</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45175</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45175</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45175</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45175</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45175</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45175</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45175</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45175</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45175</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45175</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45175</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45175</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45175</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45175</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45175</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45175</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45175</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45175</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45175</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45175</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45175</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45175</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45175</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45175</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45175</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45175</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45175</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45175</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45175</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45175</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45175</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45175</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45175</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45175</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45175</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45175</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45175</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45175</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45175</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45175</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45175</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45175</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45175</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45175</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45175</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45175</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45175</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45175</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45175</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45175</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45175</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45175</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45175</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45175</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45175</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45175</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45175</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45175</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45175</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45175</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45175</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45175</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45175</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45175</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45175</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45175</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45175</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45175</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45175</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45175</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45175</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45175</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45175</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45175</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45175</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45175</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45175</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45175</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45175</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45175</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45175</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45175</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45175</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45175</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45175</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45175</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45175</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45175</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45175</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45175</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45175</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45175</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45175</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45175</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45175</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45175</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45175</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45175</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45175</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45175</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45175</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45175</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45175</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45175</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45175</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45175</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45175</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45175</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45175</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45175</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45175</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45175</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45175</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45175</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45175</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45175</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45175</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45175</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45175</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45175</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45175</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45175</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45175</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45175</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45175</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45175</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45175</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45175</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45175</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45175</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45175</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45175</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45175</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45175</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45175</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45175</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45175</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45175</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45175</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45175</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45175</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45175</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45175</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45175</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45175</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45175</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45175</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45175</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45175</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45175</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45175</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45175</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45175</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45175</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45175</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45175</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45175</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45175</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45175</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45175</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45175</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45175</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45175</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45175</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45175</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45175</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45175</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45175</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45175</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45175</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45175</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45175</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45175</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45175</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45175</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45175</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45175</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45175</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45175</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45175</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45175</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45175</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45175</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45175</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45175</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45175</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45175</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45175</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45175</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45175</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45175</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45175</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45175</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45175</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45175</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45175</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45175</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45175</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45175</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45175</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45175</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45175</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45175</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45175</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45175</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45175</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45175</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45175</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45175</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45175</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45175</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45175</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45175</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45175</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45175</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45175</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45175</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45175</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45175</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45175</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45175</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45175</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45175</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45175</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45175</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45175</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45175</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45175</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45175</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45175</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45175</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45175</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45175</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45175</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45175</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45175</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45175</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45175</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45175</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45175</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45175</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45175</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45175</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45175</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45175</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45175</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45175</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45175</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45175</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45175</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45175</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45175</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45175</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45175</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45175</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45175</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45175</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45175</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45175</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45175</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45175</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45175</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45175</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45175</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45175</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45175</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45175</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45175</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45175</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45175</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45175</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45175</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45175</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45175</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45175</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45175</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45175</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45175</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45175</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45175</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45175</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45175</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45175</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45175</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45175</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45175</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45175</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45175</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45175</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45175</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45175</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45175</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45175</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45175</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45175</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45175</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45175</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45175</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45175</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45175</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45175</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45175</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45175</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45175</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45175</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45175</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45175</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45175</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45175</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45175</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45175</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45175</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45175</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45175</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45175</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45175</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45175</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45175</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45175</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45175</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45175</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45175</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45175</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45175</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45175</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45175</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45175</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45175</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45175</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45175</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45175</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45175</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45175</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45175</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45175</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45175</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45175</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45175</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45175</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45175</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45175</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45175</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45175</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45175</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45175</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45175</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45175</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45175</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45175</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45175</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45175</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45175</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45175</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45175</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45175</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45175</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45175</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45175</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45175</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45175</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45175</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45175</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45175</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45175</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45175</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45175</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45175</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45175</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45175</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45175</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45175</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45175</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45175</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45175</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45175</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45175</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45175</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45175</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45175</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45175</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45175</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45175</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45175</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45175</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45175</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45175</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45175</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45175</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45175</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45175</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45175</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45175</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45175</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45175</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45175</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45175</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45175</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45175</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45175</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45175</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45175</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45175</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45175</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45175</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45175</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45175</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45175</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45175</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45175</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45175</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45175</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45175</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45175</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45175</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45175</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45175</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45175</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45175</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45175</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45175</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45175</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45175</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45175</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45175</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45175</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45175</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45175</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45175</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45175</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45175</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45175</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45175</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45175</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45175</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45175</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45175</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45175</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45175</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45175</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45175</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45175</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45175</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45175</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45175</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45175</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45175</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45175</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45175</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45175</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45175</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45175</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45175</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45175</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45175</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45175</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45175</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45175</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45175</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45175</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45175</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45175</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45175</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45175</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45175</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45175</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45175</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45175</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45175</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45175</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45175</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45175</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45175</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45175</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45175</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45175</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45175</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45175</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45175</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45175</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45175</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45175</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45175</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45175</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45175</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45175</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45175</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45175</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45175</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45175</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45175</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45175</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45175</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45175</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45175</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45175</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45175</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45175</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45175</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45175</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c r="U4960">
        <f>HYPERLINK("https://klasma.github.io/Logging_VASTERVIK/knärot/A 42164-2021.png")</f>
        <v/>
      </c>
      <c r="V4960">
        <f>HYPERLINK("https://klasma.github.io/Logging_VASTERVIK/klagomål/A 42164-2021.docx")</f>
        <v/>
      </c>
      <c r="W4960">
        <f>HYPERLINK("https://klasma.github.io/Logging_VASTERVIK/klagomålsmail/A 42164-2021.docx")</f>
        <v/>
      </c>
      <c r="X4960">
        <f>HYPERLINK("https://klasma.github.io/Logging_VASTERVIK/tillsyn/A 42164-2021.docx")</f>
        <v/>
      </c>
      <c r="Y4960">
        <f>HYPERLINK("https://klasma.github.io/Logging_VASTERVIK/tillsynsmail/A 42164-2021.docx")</f>
        <v/>
      </c>
    </row>
    <row r="4961" ht="15" customHeight="1">
      <c r="A4961" t="inlineStr">
        <is>
          <t>A 42131-2021</t>
        </is>
      </c>
      <c r="B4961" s="1" t="n">
        <v>44426</v>
      </c>
      <c r="C4961" s="1" t="n">
        <v>45175</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45175</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45175</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45175</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45175</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45175</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45175</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45175</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45175</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45175</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45175</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45175</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45175</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45175</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45175</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45175</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45175</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45175</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45175</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45175</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45175</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45175</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45175</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45175</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45175</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45175</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45175</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45175</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45175</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45175</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45175</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45175</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45175</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45175</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45175</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45175</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45175</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45175</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45175</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45175</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45175</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45175</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45175</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45175</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45175</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45175</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45175</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45175</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45175</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45175</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45175</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45175</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45175</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45175</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45175</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45175</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45175</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45175</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45175</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45175</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45175</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45175</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45175</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45175</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45175</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45175</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45175</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45175</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45175</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45175</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45175</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45175</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45175</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45175</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45175</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45175</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45175</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45175</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45175</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45175</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45175</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45175</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45175</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45175</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45175</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45175</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45175</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45175</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45175</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45175</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45175</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45175</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45175</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45175</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45175</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45175</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45175</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45175</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45175</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45175</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45175</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45175</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45175</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45175</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45175</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45175</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45175</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45175</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45175</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45175</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45175</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45175</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45175</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45175</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45175</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45175</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45175</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45175</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45175</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45175</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45175</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45175</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45175</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45175</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45175</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45175</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45175</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45175</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45175</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45175</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45175</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45175</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45175</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45175</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45175</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45175</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45175</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45175</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45175</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45175</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45175</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45175</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45175</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45175</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45175</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45175</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45175</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45175</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45175</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45175</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45175</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45175</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45175</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45175</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45175</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45175</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45175</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45175</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45175</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45175</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45175</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45175</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45175</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45175</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45175</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45175</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45175</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45175</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45175</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45175</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45175</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45175</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45175</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45175</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45175</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45175</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45175</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45175</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45175</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45175</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45175</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45175</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45175</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45175</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45175</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45175</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45175</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45175</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45175</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45175</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45175</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45175</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45175</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45175</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45175</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45175</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45175</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45175</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45175</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45175</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45175</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45175</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45175</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45175</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45175</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45175</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45175</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45175</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45175</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45175</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45175</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45175</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45175</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45175</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45175</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45175</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45175</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45175</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45175</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45175</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45175</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45175</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45175</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45175</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45175</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45175</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45175</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45175</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45175</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45175</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45175</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45175</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45175</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45175</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45175</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45175</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45175</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45175</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45175</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45175</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45175</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45175</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45175</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45175</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45175</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45175</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45175</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45175</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45175</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45175</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45175</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45175</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45175</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45175</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45175</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45175</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45175</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45175</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45175</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45175</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45175</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45175</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45175</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45175</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45175</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45175</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45175</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45175</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45175</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45175</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45175</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45175</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45175</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45175</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c r="U5234">
        <f>HYPERLINK("https://klasma.github.io/Logging_VASTERVIK/knärot/A 64920-2021.png")</f>
        <v/>
      </c>
      <c r="V5234">
        <f>HYPERLINK("https://klasma.github.io/Logging_VASTERVIK/klagomål/A 64920-2021.docx")</f>
        <v/>
      </c>
      <c r="W5234">
        <f>HYPERLINK("https://klasma.github.io/Logging_VASTERVIK/klagomålsmail/A 64920-2021.docx")</f>
        <v/>
      </c>
      <c r="X5234">
        <f>HYPERLINK("https://klasma.github.io/Logging_VASTERVIK/tillsyn/A 64920-2021.docx")</f>
        <v/>
      </c>
      <c r="Y5234">
        <f>HYPERLINK("https://klasma.github.io/Logging_VASTERVIK/tillsynsmail/A 64920-2021.docx")</f>
        <v/>
      </c>
    </row>
    <row r="5235" ht="15" customHeight="1">
      <c r="A5235" t="inlineStr">
        <is>
          <t>A 64991-2021</t>
        </is>
      </c>
      <c r="B5235" s="1" t="n">
        <v>44514</v>
      </c>
      <c r="C5235" s="1" t="n">
        <v>45175</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45175</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45175</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45175</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45175</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45175</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45175</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45175</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45175</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45175</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45175</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45175</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45175</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45175</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45175</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45175</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45175</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45175</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45175</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45175</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45175</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45175</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45175</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45175</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45175</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45175</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45175</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45175</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45175</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45175</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45175</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45175</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45175</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45175</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45175</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45175</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45175</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45175</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45175</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45175</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45175</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45175</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45175</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45175</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45175</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45175</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45175</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45175</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45175</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45175</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45175</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45175</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45175</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45175</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45175</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45175</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45175</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45175</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45175</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45175</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45175</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45175</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45175</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45175</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45175</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45175</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45175</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45175</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45175</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45175</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45175</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45175</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45175</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45175</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45175</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45175</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45175</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45175</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45175</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45175</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45175</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45175</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45175</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45175</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45175</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45175</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45175</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45175</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45175</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45175</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45175</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45175</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45175</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45175</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45175</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45175</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45175</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45175</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45175</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45175</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45175</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45175</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45175</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45175</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45175</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45175</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45175</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45175</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45175</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45175</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45175</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45175</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45175</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45175</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45175</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45175</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45175</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45175</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45175</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45175</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45175</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45175</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45175</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45175</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45175</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45175</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45175</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45175</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45175</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45175</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45175</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45175</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45175</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45175</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45175</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45175</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45175</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45175</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45175</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45175</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45175</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45175</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45175</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45175</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45175</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45175</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45175</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45175</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45175</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45175</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45175</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45175</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45175</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45175</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45175</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45175</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45175</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45175</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45175</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45175</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45175</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45175</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45175</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45175</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45175</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45175</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45175</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45175</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45175</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45175</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45175</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45175</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45175</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45175</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45175</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45175</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45175</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45175</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45175</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45175</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45175</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45175</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45175</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45175</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45175</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45175</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45175</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45175</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45175</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45175</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45175</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45175</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45175</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45175</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45175</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45175</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45175</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45175</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45175</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45175</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45175</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45175</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45175</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45175</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45175</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45175</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45175</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45175</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45175</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45175</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45175</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45175</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45175</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45175</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45175</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45175</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45175</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45175</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45175</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45175</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45175</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45175</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45175</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45175</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45175</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45175</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45175</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c r="U5461">
        <f>HYPERLINK("https://klasma.github.io/Logging_VASTERVIK/knärot/A 9605-2022.png")</f>
        <v/>
      </c>
      <c r="V5461">
        <f>HYPERLINK("https://klasma.github.io/Logging_VASTERVIK/klagomål/A 9605-2022.docx")</f>
        <v/>
      </c>
      <c r="W5461">
        <f>HYPERLINK("https://klasma.github.io/Logging_VASTERVIK/klagomålsmail/A 9605-2022.docx")</f>
        <v/>
      </c>
      <c r="X5461">
        <f>HYPERLINK("https://klasma.github.io/Logging_VASTERVIK/tillsyn/A 9605-2022.docx")</f>
        <v/>
      </c>
      <c r="Y5461">
        <f>HYPERLINK("https://klasma.github.io/Logging_VASTERVIK/tillsynsmail/A 9605-2022.docx")</f>
        <v/>
      </c>
    </row>
    <row r="5462" ht="15" customHeight="1">
      <c r="A5462" t="inlineStr">
        <is>
          <t>A 9616-2022</t>
        </is>
      </c>
      <c r="B5462" s="1" t="n">
        <v>44617</v>
      </c>
      <c r="C5462" s="1" t="n">
        <v>45175</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45175</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45175</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45175</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45175</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45175</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45175</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45175</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45175</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45175</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45175</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45175</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45175</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45175</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45175</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45175</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45175</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45175</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45175</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45175</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45175</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45175</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45175</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45175</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45175</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45175</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45175</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45175</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45175</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45175</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45175</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45175</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45175</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45175</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45175</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45175</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45175</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45175</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45175</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45175</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45175</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45175</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45175</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45175</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45175</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45175</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45175</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45175</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45175</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45175</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45175</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45175</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45175</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45175</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45175</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45175</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45175</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45175</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45175</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45175</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45175</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45175</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45175</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45175</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45175</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45175</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45175</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45175</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45175</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45175</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45175</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45175</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45175</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45175</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45175</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45175</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45175</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45175</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45175</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45175</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45175</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45175</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45175</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45175</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45175</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45175</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45175</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45175</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45175</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45175</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45175</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45175</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45175</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45175</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45175</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45175</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45175</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45175</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45175</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45175</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45175</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45175</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45175</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45175</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45175</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45175</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45175</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45175</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45175</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45175</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45175</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45175</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45175</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45175</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45175</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45175</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45175</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45175</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45175</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45175</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45175</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45175</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45175</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45175</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45175</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45175</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45175</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45175</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45175</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45175</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45175</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45175</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45175</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45175</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45175</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45175</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45175</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45175</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45175</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45175</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45175</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45175</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45175</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45175</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45175</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45175</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45175</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45175</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45175</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45175</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45175</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45175</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45175</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45175</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45175</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45175</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45175</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45175</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45175</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45175</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45175</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45175</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45175</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45175</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45175</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45175</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45175</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45175</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45175</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45175</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45175</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45175</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45175</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45175</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45175</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45175</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45175</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45175</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45175</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45175</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45175</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45175</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45175</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45175</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45175</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45175</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45175</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45175</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45175</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45175</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45175</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45175</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45175</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45175</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45175</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45175</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45175</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45175</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45175</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45175</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45175</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45175</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45175</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45175</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45175</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45175</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45175</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45175</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45175</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45175</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45175</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45175</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45175</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45175</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45175</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45175</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45175</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45175</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45175</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45175</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45175</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45175</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45175</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45175</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45175</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45175</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45175</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45175</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45175</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45175</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45175</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45175</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45175</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45175</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45175</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45175</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45175</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45175</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45175</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45175</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45175</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45175</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45175</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45175</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45175</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45175</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45175</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45175</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45175</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45175</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45175</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45175</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45175</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45175</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45175</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45175</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45175</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45175</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45175</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45175</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45175</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45175</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45175</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45175</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45175</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45175</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45175</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45175</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45175</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45175</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45175</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45175</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45175</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45175</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45175</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45175</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45175</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45175</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45175</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45175</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45175</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45175</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45175</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45175</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45175</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45175</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45175</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45175</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45175</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45175</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45175</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45175</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45175</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45175</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45175</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45175</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45175</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45175</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45175</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45175</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45175</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45175</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45175</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45175</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45175</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45175</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45175</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45175</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45175</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45175</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45175</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45175</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45175</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45175</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45175</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45175</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45175</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45175</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45175</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45175</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45175</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45175</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45175</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45175</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45175</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45175</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45175</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45175</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45175</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45175</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45175</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45175</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45175</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45175</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45175</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45175</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45175</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45175</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45175</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45175</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45175</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45175</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45175</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45175</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45175</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45175</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45175</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45175</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45175</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45175</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45175</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45175</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45175</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45175</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45175</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45175</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45175</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45175</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45175</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45175</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45175</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45175</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45175</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45175</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45175</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45175</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45175</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45175</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45175</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45175</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45175</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45175</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45175</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45175</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45175</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45175</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45175</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45175</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45175</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45175</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45175</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45175</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45175</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45175</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45175</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45175</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45175</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45175</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45175</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45175</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45175</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45175</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45175</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45175</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45175</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45175</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45175</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45175</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45175</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45175</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45175</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45175</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45175</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45175</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45175</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45175</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45175</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45175</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45175</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45175</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45175</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45175</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45175</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45175</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45175</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45175</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45175</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45175</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45175</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45175</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45175</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45175</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45175</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45175</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45175</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45175</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45175</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45175</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45175</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45175</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45175</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45175</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45175</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45175</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45175</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45175</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45175</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45175</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45175</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45175</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45175</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45175</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45175</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45175</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45175</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45175</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45175</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45175</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45175</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45175</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45175</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45175</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45175</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45175</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45175</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45175</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45175</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45175</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45175</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45175</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45175</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45175</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45175</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45175</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45175</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45175</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45175</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45175</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45175</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45175</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45175</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45175</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45175</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45175</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45175</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45175</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45175</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45175</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45175</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45175</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45175</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45175</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45175</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45175</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45175</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45175</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45175</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45175</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45175</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45175</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45175</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45175</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45175</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45175</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45175</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45175</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45175</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45175</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45175</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45175</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45175</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45175</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45175</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45175</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45175</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45175</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45175</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45175</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45175</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45175</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45175</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45175</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45175</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45175</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45175</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45175</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45175</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45175</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45175</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45175</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45175</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45175</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45175</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45175</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45175</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45175</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45175</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45175</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45175</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45175</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45175</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45175</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45175</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45175</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45175</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45175</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45175</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45175</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45175</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45175</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45175</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45175</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45175</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45175</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45175</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45175</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45175</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45175</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45175</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45175</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45175</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45175</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45175</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45175</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45175</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45175</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45175</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45175</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45175</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45175</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45175</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45175</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45175</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45175</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45175</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45175</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45175</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45175</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45175</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45175</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45175</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45175</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45175</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45175</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45175</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45175</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45175</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45175</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45175</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45175</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45175</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45175</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45175</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45175</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45175</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45175</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45175</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45175</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45175</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45175</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45175</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45175</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45175</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45175</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45175</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45175</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45175</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45175</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45175</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45175</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45175</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45175</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45175</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45175</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45175</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45175</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45175</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45175</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45175</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45175</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45175</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45175</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45175</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45175</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45175</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45175</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45175</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45175</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45175</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45175</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45175</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45175</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45175</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45175</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45175</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45175</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45175</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45175</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45175</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45175</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45175</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45175</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45175</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45175</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45175</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45175</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45175</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45175</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45175</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45175</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45175</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45175</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45175</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45175</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45175</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45175</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45175</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45175</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45175</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45175</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45175</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45175</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45175</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45175</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45175</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45175</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45175</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45175</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45175</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45175</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45175</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45175</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45175</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45175</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45175</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45175</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45175</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45175</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45175</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45175</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45175</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45175</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45175</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45175</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45175</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45175</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45175</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45175</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45175</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45175</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45175</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45175</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45175</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45175</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45175</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45175</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45175</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45175</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45175</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45175</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45175</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45175</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45175</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45175</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45175</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45175</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45175</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45175</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45175</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45175</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45175</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45175</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45175</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45175</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45175</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45175</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45175</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45175</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45175</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45175</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45175</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45175</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45175</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45175</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45175</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45175</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45175</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45175</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45175</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45175</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45175</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45175</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45175</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45175</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45175</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45175</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45175</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45175</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45175</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45175</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45175</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45175</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45175</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45175</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45175</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45175</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45175</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45175</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45175</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45175</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45175</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45175</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45175</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45175</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45175</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45175</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45175</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45175</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45175</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45175</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45175</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45175</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45175</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45175</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45175</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45175</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45175</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45175</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45175</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45175</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45175</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c r="U6222">
        <f>HYPERLINK("https://klasma.github.io/Logging_VASTERVIK/knärot/A 7255-2023.png")</f>
        <v/>
      </c>
      <c r="V6222">
        <f>HYPERLINK("https://klasma.github.io/Logging_VASTERVIK/klagomål/A 7255-2023.docx")</f>
        <v/>
      </c>
      <c r="W6222">
        <f>HYPERLINK("https://klasma.github.io/Logging_VASTERVIK/klagomålsmail/A 7255-2023.docx")</f>
        <v/>
      </c>
      <c r="X6222">
        <f>HYPERLINK("https://klasma.github.io/Logging_VASTERVIK/tillsyn/A 7255-2023.docx")</f>
        <v/>
      </c>
      <c r="Y6222">
        <f>HYPERLINK("https://klasma.github.io/Logging_VASTERVIK/tillsynsmail/A 7255-2023.docx")</f>
        <v/>
      </c>
    </row>
    <row r="6223" ht="15" customHeight="1">
      <c r="A6223" t="inlineStr">
        <is>
          <t>A 7117-2023</t>
        </is>
      </c>
      <c r="B6223" s="1" t="n">
        <v>44970</v>
      </c>
      <c r="C6223" s="1" t="n">
        <v>45175</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45175</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45175</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45175</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45175</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45175</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45175</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45175</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45175</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45175</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45175</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45175</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45175</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45175</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45175</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45175</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45175</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45175</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45175</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45175</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45175</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45175</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45175</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45175</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45175</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45175</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45175</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45175</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45175</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45175</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45175</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45175</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45175</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45175</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45175</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45175</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45175</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45175</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45175</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45175</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45175</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45175</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45175</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45175</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45175</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45175</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45175</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45175</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45175</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45175</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45175</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45175</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45175</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45175</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45175</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45175</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45175</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45175</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45175</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45175</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45175</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45175</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45175</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45175</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45175</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45175</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45175</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45175</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45175</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45175</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45175</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45175</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45175</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45175</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45175</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45175</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45175</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45175</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45175</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45175</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45175</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45175</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45175</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45175</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45175</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45175</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45175</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45175</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45175</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45175</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45175</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45175</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45175</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45175</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45175</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45175</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45175</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45175</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45175</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45175</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45175</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45175</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45175</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45175</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45175</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45175</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45175</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45175</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45175</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45175</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45175</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45175</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45175</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45175</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45175</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45175</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45175</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45175</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c r="U6340">
        <f>HYPERLINK("https://klasma.github.io/Logging_VASTERVIK/knärot/A 13275-2023.png")</f>
        <v/>
      </c>
      <c r="V6340">
        <f>HYPERLINK("https://klasma.github.io/Logging_VASTERVIK/klagomål/A 13275-2023.docx")</f>
        <v/>
      </c>
      <c r="W6340">
        <f>HYPERLINK("https://klasma.github.io/Logging_VASTERVIK/klagomålsmail/A 13275-2023.docx")</f>
        <v/>
      </c>
      <c r="X6340">
        <f>HYPERLINK("https://klasma.github.io/Logging_VASTERVIK/tillsyn/A 13275-2023.docx")</f>
        <v/>
      </c>
      <c r="Y6340">
        <f>HYPERLINK("https://klasma.github.io/Logging_VASTERVIK/tillsynsmail/A 13275-2023.docx")</f>
        <v/>
      </c>
    </row>
    <row r="6341" ht="15" customHeight="1">
      <c r="A6341" t="inlineStr">
        <is>
          <t>A 13383-2023</t>
        </is>
      </c>
      <c r="B6341" s="1" t="n">
        <v>45005</v>
      </c>
      <c r="C6341" s="1" t="n">
        <v>45175</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45175</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45175</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45175</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45175</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45175</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45175</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45175</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45175</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45175</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45175</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45175</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45175</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45175</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45175</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45175</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45175</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45175</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45175</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45175</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45175</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45175</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45175</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45175</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45175</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45175</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45175</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45175</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45175</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45175</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45175</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45175</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45175</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45175</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45175</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45175</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45175</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45175</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45175</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45175</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45175</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45175</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45175</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45175</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45175</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45175</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45175</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45175</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45175</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45175</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45175</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45175</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45175</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45175</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45175</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45175</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45175</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45175</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45175</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45175</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45175</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45175</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45175</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45175</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45175</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45175</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45175</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45175</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45175</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45175</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45175</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45175</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45175</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45175</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45175</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45175</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45175</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45175</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45175</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45175</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45175</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45175</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45175</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45175</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45175</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45175</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45175</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45175</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45175</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45175</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45175</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45175</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45175</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45175</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45175</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45175</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45175</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45175</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45175</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c r="U6439">
        <f>HYPERLINK("https://klasma.github.io/Logging_VASTERVIK/knärot/A 17317-2023.png")</f>
        <v/>
      </c>
      <c r="V6439">
        <f>HYPERLINK("https://klasma.github.io/Logging_VASTERVIK/klagomål/A 17317-2023.docx")</f>
        <v/>
      </c>
      <c r="W6439">
        <f>HYPERLINK("https://klasma.github.io/Logging_VASTERVIK/klagomålsmail/A 17317-2023.docx")</f>
        <v/>
      </c>
      <c r="X6439">
        <f>HYPERLINK("https://klasma.github.io/Logging_VASTERVIK/tillsyn/A 17317-2023.docx")</f>
        <v/>
      </c>
      <c r="Y6439">
        <f>HYPERLINK("https://klasma.github.io/Logging_VASTERVIK/tillsynsmail/A 17317-2023.docx")</f>
        <v/>
      </c>
    </row>
    <row r="6440" ht="15" customHeight="1">
      <c r="A6440" t="inlineStr">
        <is>
          <t>A 17561-2023</t>
        </is>
      </c>
      <c r="B6440" s="1" t="n">
        <v>45036</v>
      </c>
      <c r="C6440" s="1" t="n">
        <v>45175</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45175</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45175</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45175</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45175</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45175</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45175</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45175</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45175</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45175</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45175</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45175</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45175</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45175</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45175</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45175</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45175</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45175</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45175</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45175</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45175</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45175</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45175</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45175</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45175</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45175</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45175</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45175</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45175</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45175</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45175</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45175</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45175</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45175</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45175</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45175</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45175</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45175</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45175</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45175</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45175</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45175</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45175</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45175</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45175</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45175</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45175</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45175</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45175</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45175</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c r="U6489">
        <f>HYPERLINK("https://klasma.github.io/Logging_VASTERVIK/knärot/A 19365-2023.png")</f>
        <v/>
      </c>
      <c r="V6489">
        <f>HYPERLINK("https://klasma.github.io/Logging_VASTERVIK/klagomål/A 19365-2023.docx")</f>
        <v/>
      </c>
      <c r="W6489">
        <f>HYPERLINK("https://klasma.github.io/Logging_VASTERVIK/klagomålsmail/A 19365-2023.docx")</f>
        <v/>
      </c>
      <c r="X6489">
        <f>HYPERLINK("https://klasma.github.io/Logging_VASTERVIK/tillsyn/A 19365-2023.docx")</f>
        <v/>
      </c>
      <c r="Y6489">
        <f>HYPERLINK("https://klasma.github.io/Logging_VASTERVIK/tillsynsmail/A 19365-2023.docx")</f>
        <v/>
      </c>
    </row>
    <row r="6490" ht="15" customHeight="1">
      <c r="A6490" t="inlineStr">
        <is>
          <t>A 19395-2023</t>
        </is>
      </c>
      <c r="B6490" s="1" t="n">
        <v>45049</v>
      </c>
      <c r="C6490" s="1" t="n">
        <v>45175</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45175</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45175</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45175</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45175</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45175</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45175</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45175</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45175</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45175</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45175</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45175</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45175</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45175</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45175</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45175</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45175</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45175</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45175</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45175</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45175</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45175</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45175</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45175</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45175</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45175</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45175</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45175</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45175</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45175</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45175</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45175</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45175</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45175</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45175</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45175</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45175</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45175</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45175</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45175</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45175</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45175</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45175</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45175</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45175</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45175</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45175</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45175</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45175</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45175</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45175</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45175</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45175</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45175</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45175</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45175</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45175</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45175</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45175</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45175</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45175</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45175</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45175</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45175</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45175</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45175</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45175</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45175</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45175</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45175</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45175</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45175</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45175</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45175</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45175</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45175</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45175</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45175</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45175</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45175</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45175</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45175</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45175</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45175</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45175</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45175</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45175</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45175</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45175</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45175</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45175</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45175</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45175</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45175</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45175</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45175</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45175</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45175</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45175</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45175</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45175</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45175</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45175</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45175</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45175</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45175</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45175</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45175</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45175</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45175</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45175</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45175</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45175</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45175</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45175</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45175</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45175</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45175</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45175</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45175</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45175</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45175</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45175</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45175</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45175</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45175</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45175</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45175</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45175</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45175</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45175</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45175</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45175</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45175</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45175</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45175</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45175</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45175</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45175</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45175</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45175</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45175</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45175</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45175</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45175</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45175</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45175</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45175</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45175</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45175</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45175</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45175</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45175</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45175</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45175</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45175</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45175</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45175</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45175</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45175</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45175</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45175</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45175</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45175</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45175</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45175</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45175</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45175</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45175</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45175</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45175</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45175</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45175</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45175</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45175</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45175</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45175</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45175</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45175</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45175</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45175</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45175</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45175</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45175</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45175</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45175</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45175</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45175</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45175</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45175</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c r="U6679">
        <f>HYPERLINK("https://klasma.github.io/Logging_HULTSFRED/knärot/A 26687-2023.png")</f>
        <v/>
      </c>
      <c r="V6679">
        <f>HYPERLINK("https://klasma.github.io/Logging_HULTSFRED/klagomål/A 26687-2023.docx")</f>
        <v/>
      </c>
      <c r="W6679">
        <f>HYPERLINK("https://klasma.github.io/Logging_HULTSFRED/klagomålsmail/A 26687-2023.docx")</f>
        <v/>
      </c>
      <c r="X6679">
        <f>HYPERLINK("https://klasma.github.io/Logging_HULTSFRED/tillsyn/A 26687-2023.docx")</f>
        <v/>
      </c>
      <c r="Y6679">
        <f>HYPERLINK("https://klasma.github.io/Logging_HULTSFRED/tillsynsmail/A 26687-2023.docx")</f>
        <v/>
      </c>
    </row>
    <row r="6680" ht="15" customHeight="1">
      <c r="A6680" t="inlineStr">
        <is>
          <t>A 26714-2023</t>
        </is>
      </c>
      <c r="B6680" s="1" t="n">
        <v>45093</v>
      </c>
      <c r="C6680" s="1" t="n">
        <v>45175</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45175</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45175</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45175</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45175</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45175</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45175</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45175</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45175</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45175</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45175</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45175</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45175</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45175</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45175</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45175</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45175</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45175</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45175</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45175</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45175</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45175</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45175</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45175</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45175</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45175</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45175</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45175</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45175</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45175</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45175</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45175</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45175</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45175</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45175</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45175</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45175</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45175</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45175</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45175</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45175</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45175</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45175</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45175</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45175</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45175</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45175</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45175</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45175</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45175</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45175</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45175</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45175</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45175</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45175</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45175</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45175</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45175</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45175</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45175</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45175</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45175</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45175</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45175</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45175</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45175</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45175</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45175</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45175</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45175</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45175</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45175</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45175</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45175</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45175</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45175</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45175</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45175</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45175</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45175</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45175</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45175</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45175</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45175</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45175</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c r="U6764">
        <f>HYPERLINK("https://klasma.github.io/Logging_OSKARSHAMN/knärot/A 29190-2023.png")</f>
        <v/>
      </c>
      <c r="V6764">
        <f>HYPERLINK("https://klasma.github.io/Logging_OSKARSHAMN/klagomål/A 29190-2023.docx")</f>
        <v/>
      </c>
      <c r="W6764">
        <f>HYPERLINK("https://klasma.github.io/Logging_OSKARSHAMN/klagomålsmail/A 29190-2023.docx")</f>
        <v/>
      </c>
      <c r="X6764">
        <f>HYPERLINK("https://klasma.github.io/Logging_OSKARSHAMN/tillsyn/A 29190-2023.docx")</f>
        <v/>
      </c>
      <c r="Y6764">
        <f>HYPERLINK("https://klasma.github.io/Logging_OSKARSHAMN/tillsynsmail/A 29190-2023.docx")</f>
        <v/>
      </c>
    </row>
    <row r="6765" ht="15" customHeight="1">
      <c r="A6765" t="inlineStr">
        <is>
          <t>A 29267-2023</t>
        </is>
      </c>
      <c r="B6765" s="1" t="n">
        <v>45105</v>
      </c>
      <c r="C6765" s="1" t="n">
        <v>45175</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45175</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45175</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45175</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45175</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45175</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45175</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45175</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45175</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45175</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45175</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45175</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45175</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45175</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45175</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45175</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45175</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45175</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45175</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45175</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45175</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45175</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45175</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45175</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45175</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45175</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45175</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45175</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45175</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45175</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45175</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45175</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45175</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45175</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45175</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45175</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45175</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45175</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45175</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45175</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45175</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45175</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45175</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45175</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45175</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45175</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45175</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45175</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45175</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45175</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45175</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45175</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45175</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45175</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45175</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45175</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45175</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45175</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45175</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45175</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45175</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45175</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45175</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45175</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45175</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45175</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45175</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45175</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45175</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45175</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45175</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45175</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45175</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45175</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45175</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45175</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45175</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45175</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45175</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45175</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45175</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45175</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45175</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45175</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45175</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45175</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45175</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45175</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45175</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45175</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45175</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45175</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45175</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45175</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45175</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45175</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45175</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45175</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45175</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45175</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45175</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45175</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45175</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45175</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45175</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45175</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45175</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45175</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45175</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45175</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45175</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45175</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45175</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45175</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45175</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45175</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45175</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45175</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45175</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45175</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45175</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45175</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45175</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45175</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45175</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45175</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45175</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45175</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45175</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45175</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45175</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45175</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45175</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45175</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45175</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45175</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45175</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45175</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45175</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45175</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45175</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45175</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45175</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45175</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45175</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45175</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45175</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45175</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45175</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45175</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45175</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45175</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45175</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45175</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45175</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45175</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45175</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45175</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45175</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45175</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45175</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45175</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45175</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45175</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45175</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45175</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45175</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45175</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45175</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45175</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45175</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45175</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45175</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45175</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45175</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45175</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45175</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45175</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45175</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45175</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45175</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45175</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45175</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45175</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45175</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45175</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40147-2023</t>
        </is>
      </c>
      <c r="B6951" s="1" t="n">
        <v>45169</v>
      </c>
      <c r="C6951" s="1" t="n">
        <v>45175</v>
      </c>
      <c r="D6951" t="inlineStr">
        <is>
          <t>KALMAR LÄN</t>
        </is>
      </c>
      <c r="E6951" t="inlineStr">
        <is>
          <t>VIMMERBY</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40171-2023</t>
        </is>
      </c>
      <c r="B6952" s="1" t="n">
        <v>45169</v>
      </c>
      <c r="C6952" s="1" t="n">
        <v>45175</v>
      </c>
      <c r="D6952" t="inlineStr">
        <is>
          <t>KALMAR LÄN</t>
        </is>
      </c>
      <c r="E6952" t="inlineStr">
        <is>
          <t>HÖGSBY</t>
        </is>
      </c>
      <c r="F6952" t="inlineStr">
        <is>
          <t>Kommuner</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40177-2023</t>
        </is>
      </c>
      <c r="B6953" s="1" t="n">
        <v>45169</v>
      </c>
      <c r="C6953" s="1" t="n">
        <v>45175</v>
      </c>
      <c r="D6953" t="inlineStr">
        <is>
          <t>KALMAR LÄN</t>
        </is>
      </c>
      <c r="E6953" t="inlineStr">
        <is>
          <t>OSKARSHAMN</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40188-2023</t>
        </is>
      </c>
      <c r="B6954" s="1" t="n">
        <v>45169</v>
      </c>
      <c r="C6954" s="1" t="n">
        <v>45175</v>
      </c>
      <c r="D6954" t="inlineStr">
        <is>
          <t>KALMAR LÄN</t>
        </is>
      </c>
      <c r="E6954" t="inlineStr">
        <is>
          <t>MÖNSTERÅS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40185-2023</t>
        </is>
      </c>
      <c r="B6955" s="1" t="n">
        <v>45169</v>
      </c>
      <c r="C6955" s="1" t="n">
        <v>45175</v>
      </c>
      <c r="D6955" t="inlineStr">
        <is>
          <t>KALMAR LÄN</t>
        </is>
      </c>
      <c r="E6955" t="inlineStr">
        <is>
          <t>MÖNSTERÅS</t>
        </is>
      </c>
      <c r="G6955" t="n">
        <v>1.4</v>
      </c>
      <c r="H6955" t="n">
        <v>0</v>
      </c>
      <c r="I6955" t="n">
        <v>0</v>
      </c>
      <c r="J6955" t="n">
        <v>0</v>
      </c>
      <c r="K6955" t="n">
        <v>0</v>
      </c>
      <c r="L6955" t="n">
        <v>0</v>
      </c>
      <c r="M6955" t="n">
        <v>0</v>
      </c>
      <c r="N6955" t="n">
        <v>0</v>
      </c>
      <c r="O6955" t="n">
        <v>0</v>
      </c>
      <c r="P6955" t="n">
        <v>0</v>
      </c>
      <c r="Q6955" t="n">
        <v>0</v>
      </c>
      <c r="R6955" s="2" t="inlineStr"/>
    </row>
    <row r="6956" ht="15" customHeight="1">
      <c r="A6956" t="inlineStr">
        <is>
          <t>A 40354-2023</t>
        </is>
      </c>
      <c r="B6956" s="1" t="n">
        <v>45169</v>
      </c>
      <c r="C6956" s="1" t="n">
        <v>45175</v>
      </c>
      <c r="D6956" t="inlineStr">
        <is>
          <t>KALMAR LÄN</t>
        </is>
      </c>
      <c r="E6956" t="inlineStr">
        <is>
          <t>OSKARSHAMN</t>
        </is>
      </c>
      <c r="G6956" t="n">
        <v>0.7</v>
      </c>
      <c r="H6956" t="n">
        <v>0</v>
      </c>
      <c r="I6956" t="n">
        <v>0</v>
      </c>
      <c r="J6956" t="n">
        <v>0</v>
      </c>
      <c r="K6956" t="n">
        <v>0</v>
      </c>
      <c r="L6956" t="n">
        <v>0</v>
      </c>
      <c r="M6956" t="n">
        <v>0</v>
      </c>
      <c r="N6956" t="n">
        <v>0</v>
      </c>
      <c r="O6956" t="n">
        <v>0</v>
      </c>
      <c r="P6956" t="n">
        <v>0</v>
      </c>
      <c r="Q6956" t="n">
        <v>0</v>
      </c>
      <c r="R6956" s="2" t="inlineStr"/>
    </row>
    <row r="6957">
      <c r="A6957" t="inlineStr">
        <is>
          <t>A 40973-2023</t>
        </is>
      </c>
      <c r="B6957" s="1" t="n">
        <v>45173</v>
      </c>
      <c r="C6957" s="1" t="n">
        <v>45175</v>
      </c>
      <c r="D6957" t="inlineStr">
        <is>
          <t>KALMAR LÄN</t>
        </is>
      </c>
      <c r="E6957" t="inlineStr">
        <is>
          <t>VÄSTERVIK</t>
        </is>
      </c>
      <c r="G6957" t="n">
        <v>1.5</v>
      </c>
      <c r="H6957" t="n">
        <v>0</v>
      </c>
      <c r="I6957" t="n">
        <v>0</v>
      </c>
      <c r="J6957" t="n">
        <v>0</v>
      </c>
      <c r="K6957" t="n">
        <v>0</v>
      </c>
      <c r="L6957" t="n">
        <v>0</v>
      </c>
      <c r="M6957" t="n">
        <v>0</v>
      </c>
      <c r="N6957" t="n">
        <v>0</v>
      </c>
      <c r="O6957" t="n">
        <v>0</v>
      </c>
      <c r="P6957" t="n">
        <v>0</v>
      </c>
      <c r="Q6957" t="n">
        <v>0</v>
      </c>
      <c r="R695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2023-09-06T04:38:51Z</dcterms:created>
  <dcterms:modified xmlns:dcterms="http://purl.org/dc/terms/" xmlns:xsi="http://www.w3.org/2001/XMLSchema-instance" xsi:type="dcterms:W3CDTF">2023-09-06T04:38:53Z</dcterms:modified>
</cp:coreProperties>
</file>