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45205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40934-2020.xlsx", "A 40934-2020")</f>
        <v/>
      </c>
      <c r="T2">
        <f>HYPERLINK("https://klasma.github.io/Logging_KARLSTAD/kartor/A 40934-2020.png", "A 40934-2020")</f>
        <v/>
      </c>
      <c r="U2">
        <f>HYPERLINK("https://klasma.github.io/Logging_KARLSTAD/knärot/A 40934-2020.png", "A 40934-2020")</f>
        <v/>
      </c>
      <c r="V2">
        <f>HYPERLINK("https://klasma.github.io/Logging_KARLSTAD/klagomål/A 40934-2020.docx", "A 40934-2020")</f>
        <v/>
      </c>
      <c r="W2">
        <f>HYPERLINK("https://klasma.github.io/Logging_KARLSTAD/klagomålsmail/A 40934-2020.docx", "A 40934-2020")</f>
        <v/>
      </c>
      <c r="X2">
        <f>HYPERLINK("https://klasma.github.io/Logging_KARLSTAD/tillsyn/A 40934-2020.docx", "A 40934-2020")</f>
        <v/>
      </c>
      <c r="Y2">
        <f>HYPERLINK("https://klasma.github.io/Logging_KARLSTAD/tillsynsmail/A 40934-2020.docx", "A 40934-2020")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45205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4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8</v>
      </c>
      <c r="R3" s="2" t="inlineStr">
        <is>
          <t>Grangråticka
Taggfingersvamp
Dofttaggsvamp
Fjällig taggsvamp s.str.
Rödgul trumpetsvamp
Skarp dropptaggsvamp
Zontaggsvamp
Lopplummer</t>
        </is>
      </c>
      <c r="S3">
        <f>HYPERLINK("https://klasma.github.io/Logging_KARLSTAD/artfynd/A 44469-2022.xlsx", "A 44469-2022")</f>
        <v/>
      </c>
      <c r="T3">
        <f>HYPERLINK("https://klasma.github.io/Logging_KARLSTAD/kartor/A 44469-2022.png", "A 44469-2022")</f>
        <v/>
      </c>
      <c r="V3">
        <f>HYPERLINK("https://klasma.github.io/Logging_KARLSTAD/klagomål/A 44469-2022.docx", "A 44469-2022")</f>
        <v/>
      </c>
      <c r="W3">
        <f>HYPERLINK("https://klasma.github.io/Logging_KARLSTAD/klagomålsmail/A 44469-2022.docx", "A 44469-2022")</f>
        <v/>
      </c>
      <c r="X3">
        <f>HYPERLINK("https://klasma.github.io/Logging_KARLSTAD/tillsyn/A 44469-2022.docx", "A 44469-2022")</f>
        <v/>
      </c>
      <c r="Y3">
        <f>HYPERLINK("https://klasma.github.io/Logging_KARLSTAD/tillsynsmail/A 44469-2022.docx", "A 44469-2022")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45205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43773-2020.xlsx", "A 43773-2020")</f>
        <v/>
      </c>
      <c r="T4">
        <f>HYPERLINK("https://klasma.github.io/Logging_KARLSTAD/kartor/A 43773-2020.png", "A 43773-2020")</f>
        <v/>
      </c>
      <c r="V4">
        <f>HYPERLINK("https://klasma.github.io/Logging_KARLSTAD/klagomål/A 43773-2020.docx", "A 43773-2020")</f>
        <v/>
      </c>
      <c r="W4">
        <f>HYPERLINK("https://klasma.github.io/Logging_KARLSTAD/klagomålsmail/A 43773-2020.docx", "A 43773-2020")</f>
        <v/>
      </c>
      <c r="X4">
        <f>HYPERLINK("https://klasma.github.io/Logging_KARLSTAD/tillsyn/A 43773-2020.docx", "A 43773-2020")</f>
        <v/>
      </c>
      <c r="Y4">
        <f>HYPERLINK("https://klasma.github.io/Logging_KARLSTAD/tillsynsmail/A 43773-2020.docx", "A 43773-2020")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45205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17497-2019.xlsx", "A 17497-2019")</f>
        <v/>
      </c>
      <c r="T5">
        <f>HYPERLINK("https://klasma.github.io/Logging_KARLSTAD/kartor/A 17497-2019.png", "A 17497-2019")</f>
        <v/>
      </c>
      <c r="U5">
        <f>HYPERLINK("https://klasma.github.io/Logging_KARLSTAD/knärot/A 17497-2019.png", "A 17497-2019")</f>
        <v/>
      </c>
      <c r="V5">
        <f>HYPERLINK("https://klasma.github.io/Logging_KARLSTAD/klagomål/A 17497-2019.docx", "A 17497-2019")</f>
        <v/>
      </c>
      <c r="W5">
        <f>HYPERLINK("https://klasma.github.io/Logging_KARLSTAD/klagomålsmail/A 17497-2019.docx", "A 17497-2019")</f>
        <v/>
      </c>
      <c r="X5">
        <f>HYPERLINK("https://klasma.github.io/Logging_KARLSTAD/tillsyn/A 17497-2019.docx", "A 17497-2019")</f>
        <v/>
      </c>
      <c r="Y5">
        <f>HYPERLINK("https://klasma.github.io/Logging_KARLSTAD/tillsynsmail/A 17497-2019.docx", "A 17497-2019")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45205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7484-2023.xlsx", "A 7484-2023")</f>
        <v/>
      </c>
      <c r="T6">
        <f>HYPERLINK("https://klasma.github.io/Logging_KARLSTAD/kartor/A 7484-2023.png", "A 7484-2023")</f>
        <v/>
      </c>
      <c r="V6">
        <f>HYPERLINK("https://klasma.github.io/Logging_KARLSTAD/klagomål/A 7484-2023.docx", "A 7484-2023")</f>
        <v/>
      </c>
      <c r="W6">
        <f>HYPERLINK("https://klasma.github.io/Logging_KARLSTAD/klagomålsmail/A 7484-2023.docx", "A 7484-2023")</f>
        <v/>
      </c>
      <c r="X6">
        <f>HYPERLINK("https://klasma.github.io/Logging_KARLSTAD/tillsyn/A 7484-2023.docx", "A 7484-2023")</f>
        <v/>
      </c>
      <c r="Y6">
        <f>HYPERLINK("https://klasma.github.io/Logging_KARLSTAD/tillsynsmail/A 7484-2023.docx", "A 7484-2023")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45205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41227-2023.xlsx", "A 41227-2023")</f>
        <v/>
      </c>
      <c r="T7">
        <f>HYPERLINK("https://klasma.github.io/Logging_KARLSTAD/kartor/A 41227-2023.png", "A 41227-2023")</f>
        <v/>
      </c>
      <c r="V7">
        <f>HYPERLINK("https://klasma.github.io/Logging_KARLSTAD/klagomål/A 41227-2023.docx", "A 41227-2023")</f>
        <v/>
      </c>
      <c r="W7">
        <f>HYPERLINK("https://klasma.github.io/Logging_KARLSTAD/klagomålsmail/A 41227-2023.docx", "A 41227-2023")</f>
        <v/>
      </c>
      <c r="X7">
        <f>HYPERLINK("https://klasma.github.io/Logging_KARLSTAD/tillsyn/A 41227-2023.docx", "A 41227-2023")</f>
        <v/>
      </c>
      <c r="Y7">
        <f>HYPERLINK("https://klasma.github.io/Logging_KARLSTAD/tillsynsmail/A 41227-2023.docx", "A 41227-2023")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45205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70664-2018.xlsx", "A 70664-2018")</f>
        <v/>
      </c>
      <c r="T8">
        <f>HYPERLINK("https://klasma.github.io/Logging_KARLSTAD/kartor/A 70664-2018.png", "A 70664-2018")</f>
        <v/>
      </c>
      <c r="V8">
        <f>HYPERLINK("https://klasma.github.io/Logging_KARLSTAD/klagomål/A 70664-2018.docx", "A 70664-2018")</f>
        <v/>
      </c>
      <c r="W8">
        <f>HYPERLINK("https://klasma.github.io/Logging_KARLSTAD/klagomålsmail/A 70664-2018.docx", "A 70664-2018")</f>
        <v/>
      </c>
      <c r="X8">
        <f>HYPERLINK("https://klasma.github.io/Logging_KARLSTAD/tillsyn/A 70664-2018.docx", "A 70664-2018")</f>
        <v/>
      </c>
      <c r="Y8">
        <f>HYPERLINK("https://klasma.github.io/Logging_KARLSTAD/tillsynsmail/A 70664-2018.docx", "A 70664-2018")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45205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22865-2019.xlsx", "A 22865-2019")</f>
        <v/>
      </c>
      <c r="T9">
        <f>HYPERLINK("https://klasma.github.io/Logging_KARLSTAD/kartor/A 22865-2019.png", "A 22865-2019")</f>
        <v/>
      </c>
      <c r="V9">
        <f>HYPERLINK("https://klasma.github.io/Logging_KARLSTAD/klagomål/A 22865-2019.docx", "A 22865-2019")</f>
        <v/>
      </c>
      <c r="W9">
        <f>HYPERLINK("https://klasma.github.io/Logging_KARLSTAD/klagomålsmail/A 22865-2019.docx", "A 22865-2019")</f>
        <v/>
      </c>
      <c r="X9">
        <f>HYPERLINK("https://klasma.github.io/Logging_KARLSTAD/tillsyn/A 22865-2019.docx", "A 22865-2019")</f>
        <v/>
      </c>
      <c r="Y9">
        <f>HYPERLINK("https://klasma.github.io/Logging_KARLSTAD/tillsynsmail/A 22865-2019.docx", "A 22865-2019")</f>
        <v/>
      </c>
    </row>
    <row r="10" ht="15" customHeight="1">
      <c r="A10" t="inlineStr">
        <is>
          <t>A 23049-2019</t>
        </is>
      </c>
      <c r="B10" s="1" t="n">
        <v>43591</v>
      </c>
      <c r="C10" s="1" t="n">
        <v>45205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1.7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Talltita
Brandticka
Vedticka</t>
        </is>
      </c>
      <c r="S10">
        <f>HYPERLINK("https://klasma.github.io/Logging_KARLSTAD/artfynd/A 23049-2019.xlsx", "A 23049-2019")</f>
        <v/>
      </c>
      <c r="T10">
        <f>HYPERLINK("https://klasma.github.io/Logging_KARLSTAD/kartor/A 23049-2019.png", "A 23049-2019")</f>
        <v/>
      </c>
      <c r="V10">
        <f>HYPERLINK("https://klasma.github.io/Logging_KARLSTAD/klagomål/A 23049-2019.docx", "A 23049-2019")</f>
        <v/>
      </c>
      <c r="W10">
        <f>HYPERLINK("https://klasma.github.io/Logging_KARLSTAD/klagomålsmail/A 23049-2019.docx", "A 23049-2019")</f>
        <v/>
      </c>
      <c r="X10">
        <f>HYPERLINK("https://klasma.github.io/Logging_KARLSTAD/tillsyn/A 23049-2019.docx", "A 23049-2019")</f>
        <v/>
      </c>
      <c r="Y10">
        <f>HYPERLINK("https://klasma.github.io/Logging_KARLSTAD/tillsynsmail/A 23049-2019.docx", "A 23049-2019")</f>
        <v/>
      </c>
    </row>
    <row r="11" ht="15" customHeight="1">
      <c r="A11" t="inlineStr">
        <is>
          <t>A 56475-2019</t>
        </is>
      </c>
      <c r="B11" s="1" t="n">
        <v>43762</v>
      </c>
      <c r="C11" s="1" t="n">
        <v>45205</v>
      </c>
      <c r="D11" t="inlineStr">
        <is>
          <t>VÄRMLANDS LÄN</t>
        </is>
      </c>
      <c r="E11" t="inlineStr">
        <is>
          <t>KARLSTAD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Fällmossa
Guldlockmossa
Platt fjädermossa</t>
        </is>
      </c>
      <c r="S11">
        <f>HYPERLINK("https://klasma.github.io/Logging_KARLSTAD/artfynd/A 56475-2019.xlsx", "A 56475-2019")</f>
        <v/>
      </c>
      <c r="T11">
        <f>HYPERLINK("https://klasma.github.io/Logging_KARLSTAD/kartor/A 56475-2019.png", "A 56475-2019")</f>
        <v/>
      </c>
      <c r="V11">
        <f>HYPERLINK("https://klasma.github.io/Logging_KARLSTAD/klagomål/A 56475-2019.docx", "A 56475-2019")</f>
        <v/>
      </c>
      <c r="W11">
        <f>HYPERLINK("https://klasma.github.io/Logging_KARLSTAD/klagomålsmail/A 56475-2019.docx", "A 56475-2019")</f>
        <v/>
      </c>
      <c r="X11">
        <f>HYPERLINK("https://klasma.github.io/Logging_KARLSTAD/tillsyn/A 56475-2019.docx", "A 56475-2019")</f>
        <v/>
      </c>
      <c r="Y11">
        <f>HYPERLINK("https://klasma.github.io/Logging_KARLSTAD/tillsynsmail/A 56475-2019.docx", "A 56475-2019")</f>
        <v/>
      </c>
    </row>
    <row r="12" ht="15" customHeight="1">
      <c r="A12" t="inlineStr">
        <is>
          <t>A 5520-2020</t>
        </is>
      </c>
      <c r="B12" s="1" t="n">
        <v>43861</v>
      </c>
      <c r="C12" s="1" t="n">
        <v>45205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0.8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Svedjenäva
Skogsknipprot
Springkorn</t>
        </is>
      </c>
      <c r="S12">
        <f>HYPERLINK("https://klasma.github.io/Logging_KARLSTAD/artfynd/A 5520-2020.xlsx", "A 5520-2020")</f>
        <v/>
      </c>
      <c r="T12">
        <f>HYPERLINK("https://klasma.github.io/Logging_KARLSTAD/kartor/A 5520-2020.png", "A 5520-2020")</f>
        <v/>
      </c>
      <c r="V12">
        <f>HYPERLINK("https://klasma.github.io/Logging_KARLSTAD/klagomål/A 5520-2020.docx", "A 5520-2020")</f>
        <v/>
      </c>
      <c r="W12">
        <f>HYPERLINK("https://klasma.github.io/Logging_KARLSTAD/klagomålsmail/A 5520-2020.docx", "A 5520-2020")</f>
        <v/>
      </c>
      <c r="X12">
        <f>HYPERLINK("https://klasma.github.io/Logging_KARLSTAD/tillsyn/A 5520-2020.docx", "A 5520-2020")</f>
        <v/>
      </c>
      <c r="Y12">
        <f>HYPERLINK("https://klasma.github.io/Logging_KARLSTAD/tillsynsmail/A 5520-2020.docx", "A 5520-2020")</f>
        <v/>
      </c>
    </row>
    <row r="13" ht="15" customHeight="1">
      <c r="A13" t="inlineStr">
        <is>
          <t>A 40945-2020</t>
        </is>
      </c>
      <c r="B13" s="1" t="n">
        <v>44070</v>
      </c>
      <c r="C13" s="1" t="n">
        <v>45205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5.6</v>
      </c>
      <c r="H13" t="n">
        <v>1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Ullticka
Bronshjon</t>
        </is>
      </c>
      <c r="S13">
        <f>HYPERLINK("https://klasma.github.io/Logging_KARLSTAD/artfynd/A 40945-2020.xlsx", "A 40945-2020")</f>
        <v/>
      </c>
      <c r="T13">
        <f>HYPERLINK("https://klasma.github.io/Logging_KARLSTAD/kartor/A 40945-2020.png", "A 40945-2020")</f>
        <v/>
      </c>
      <c r="U13">
        <f>HYPERLINK("https://klasma.github.io/Logging_KARLSTAD/knärot/A 40945-2020.png", "A 40945-2020")</f>
        <v/>
      </c>
      <c r="V13">
        <f>HYPERLINK("https://klasma.github.io/Logging_KARLSTAD/klagomål/A 40945-2020.docx", "A 40945-2020")</f>
        <v/>
      </c>
      <c r="W13">
        <f>HYPERLINK("https://klasma.github.io/Logging_KARLSTAD/klagomålsmail/A 40945-2020.docx", "A 40945-2020")</f>
        <v/>
      </c>
      <c r="X13">
        <f>HYPERLINK("https://klasma.github.io/Logging_KARLSTAD/tillsyn/A 40945-2020.docx", "A 40945-2020")</f>
        <v/>
      </c>
      <c r="Y13">
        <f>HYPERLINK("https://klasma.github.io/Logging_KARLSTAD/tillsynsmail/A 40945-2020.docx", "A 40945-2020")</f>
        <v/>
      </c>
    </row>
    <row r="14" ht="15" customHeight="1">
      <c r="A14" t="inlineStr">
        <is>
          <t>A 11927-2022</t>
        </is>
      </c>
      <c r="B14" s="1" t="n">
        <v>44635</v>
      </c>
      <c r="C14" s="1" t="n">
        <v>45205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12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Ullticka
Barkticka
Kornig nållav</t>
        </is>
      </c>
      <c r="S14">
        <f>HYPERLINK("https://klasma.github.io/Logging_KARLSTAD/artfynd/A 11927-2022.xlsx", "A 11927-2022")</f>
        <v/>
      </c>
      <c r="T14">
        <f>HYPERLINK("https://klasma.github.io/Logging_KARLSTAD/kartor/A 11927-2022.png", "A 11927-2022")</f>
        <v/>
      </c>
      <c r="V14">
        <f>HYPERLINK("https://klasma.github.io/Logging_KARLSTAD/klagomål/A 11927-2022.docx", "A 11927-2022")</f>
        <v/>
      </c>
      <c r="W14">
        <f>HYPERLINK("https://klasma.github.io/Logging_KARLSTAD/klagomålsmail/A 11927-2022.docx", "A 11927-2022")</f>
        <v/>
      </c>
      <c r="X14">
        <f>HYPERLINK("https://klasma.github.io/Logging_KARLSTAD/tillsyn/A 11927-2022.docx", "A 11927-2022")</f>
        <v/>
      </c>
      <c r="Y14">
        <f>HYPERLINK("https://klasma.github.io/Logging_KARLSTAD/tillsynsmail/A 11927-2022.docx", "A 11927-2022")</f>
        <v/>
      </c>
    </row>
    <row r="15" ht="15" customHeight="1">
      <c r="A15" t="inlineStr">
        <is>
          <t>A 31151-2022</t>
        </is>
      </c>
      <c r="B15" s="1" t="n">
        <v>44770</v>
      </c>
      <c r="C15" s="1" t="n">
        <v>45205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7.8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Mattlummer
Revlummer</t>
        </is>
      </c>
      <c r="S15">
        <f>HYPERLINK("https://klasma.github.io/Logging_KARLSTAD/artfynd/A 31151-2022.xlsx", "A 31151-2022")</f>
        <v/>
      </c>
      <c r="T15">
        <f>HYPERLINK("https://klasma.github.io/Logging_KARLSTAD/kartor/A 31151-2022.png", "A 31151-2022")</f>
        <v/>
      </c>
      <c r="V15">
        <f>HYPERLINK("https://klasma.github.io/Logging_KARLSTAD/klagomål/A 31151-2022.docx", "A 31151-2022")</f>
        <v/>
      </c>
      <c r="W15">
        <f>HYPERLINK("https://klasma.github.io/Logging_KARLSTAD/klagomålsmail/A 31151-2022.docx", "A 31151-2022")</f>
        <v/>
      </c>
      <c r="X15">
        <f>HYPERLINK("https://klasma.github.io/Logging_KARLSTAD/tillsyn/A 31151-2022.docx", "A 31151-2022")</f>
        <v/>
      </c>
      <c r="Y15">
        <f>HYPERLINK("https://klasma.github.io/Logging_KARLSTAD/tillsynsmail/A 31151-2022.docx", "A 31151-2022")</f>
        <v/>
      </c>
    </row>
    <row r="16" ht="15" customHeight="1">
      <c r="A16" t="inlineStr">
        <is>
          <t>A 53051-2022</t>
        </is>
      </c>
      <c r="B16" s="1" t="n">
        <v>44876</v>
      </c>
      <c r="C16" s="1" t="n">
        <v>45205</v>
      </c>
      <c r="D16" t="inlineStr">
        <is>
          <t>VÄRMLANDS LÄN</t>
        </is>
      </c>
      <c r="E16" t="inlineStr">
        <is>
          <t>KARLSTAD</t>
        </is>
      </c>
      <c r="G16" t="n">
        <v>1.3</v>
      </c>
      <c r="H16" t="n">
        <v>1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Storgröe
Strutbräken
Blåsippa</t>
        </is>
      </c>
      <c r="S16">
        <f>HYPERLINK("https://klasma.github.io/Logging_KARLSTAD/artfynd/A 53051-2022.xlsx", "A 53051-2022")</f>
        <v/>
      </c>
      <c r="T16">
        <f>HYPERLINK("https://klasma.github.io/Logging_KARLSTAD/kartor/A 53051-2022.png", "A 53051-2022")</f>
        <v/>
      </c>
      <c r="V16">
        <f>HYPERLINK("https://klasma.github.io/Logging_KARLSTAD/klagomål/A 53051-2022.docx", "A 53051-2022")</f>
        <v/>
      </c>
      <c r="W16">
        <f>HYPERLINK("https://klasma.github.io/Logging_KARLSTAD/klagomålsmail/A 53051-2022.docx", "A 53051-2022")</f>
        <v/>
      </c>
      <c r="X16">
        <f>HYPERLINK("https://klasma.github.io/Logging_KARLSTAD/tillsyn/A 53051-2022.docx", "A 53051-2022")</f>
        <v/>
      </c>
      <c r="Y16">
        <f>HYPERLINK("https://klasma.github.io/Logging_KARLSTAD/tillsynsmail/A 53051-2022.docx", "A 53051-2022")</f>
        <v/>
      </c>
    </row>
    <row r="17" ht="15" customHeight="1">
      <c r="A17" t="inlineStr">
        <is>
          <t>A 11615-2023</t>
        </is>
      </c>
      <c r="B17" s="1" t="n">
        <v>44994</v>
      </c>
      <c r="C17" s="1" t="n">
        <v>45205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0.8</v>
      </c>
      <c r="H17" t="n">
        <v>1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Svedjenäva
Skogsknipprot
Springkorn</t>
        </is>
      </c>
      <c r="S17">
        <f>HYPERLINK("https://klasma.github.io/Logging_KARLSTAD/artfynd/A 11615-2023.xlsx", "A 11615-2023")</f>
        <v/>
      </c>
      <c r="T17">
        <f>HYPERLINK("https://klasma.github.io/Logging_KARLSTAD/kartor/A 11615-2023.png", "A 11615-2023")</f>
        <v/>
      </c>
      <c r="V17">
        <f>HYPERLINK("https://klasma.github.io/Logging_KARLSTAD/klagomål/A 11615-2023.docx", "A 11615-2023")</f>
        <v/>
      </c>
      <c r="W17">
        <f>HYPERLINK("https://klasma.github.io/Logging_KARLSTAD/klagomålsmail/A 11615-2023.docx", "A 11615-2023")</f>
        <v/>
      </c>
      <c r="X17">
        <f>HYPERLINK("https://klasma.github.io/Logging_KARLSTAD/tillsyn/A 11615-2023.docx", "A 11615-2023")</f>
        <v/>
      </c>
      <c r="Y17">
        <f>HYPERLINK("https://klasma.github.io/Logging_KARLSTAD/tillsynsmail/A 11615-2023.docx", "A 11615-2023")</f>
        <v/>
      </c>
    </row>
    <row r="18" ht="15" customHeight="1">
      <c r="A18" t="inlineStr">
        <is>
          <t>A 14815-2023</t>
        </is>
      </c>
      <c r="B18" s="1" t="n">
        <v>45014</v>
      </c>
      <c r="C18" s="1" t="n">
        <v>45205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5.4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Vaddporing
Rödgul trumpetsvamp
Vågbandad barkbock</t>
        </is>
      </c>
      <c r="S18">
        <f>HYPERLINK("https://klasma.github.io/Logging_KARLSTAD/artfynd/A 14815-2023.xlsx", "A 14815-2023")</f>
        <v/>
      </c>
      <c r="T18">
        <f>HYPERLINK("https://klasma.github.io/Logging_KARLSTAD/kartor/A 14815-2023.png", "A 14815-2023")</f>
        <v/>
      </c>
      <c r="U18">
        <f>HYPERLINK("https://klasma.github.io/Logging_KARLSTAD/knärot/A 14815-2023.png", "A 14815-2023")</f>
        <v/>
      </c>
      <c r="V18">
        <f>HYPERLINK("https://klasma.github.io/Logging_KARLSTAD/klagomål/A 14815-2023.docx", "A 14815-2023")</f>
        <v/>
      </c>
      <c r="W18">
        <f>HYPERLINK("https://klasma.github.io/Logging_KARLSTAD/klagomålsmail/A 14815-2023.docx", "A 14815-2023")</f>
        <v/>
      </c>
      <c r="X18">
        <f>HYPERLINK("https://klasma.github.io/Logging_KARLSTAD/tillsyn/A 14815-2023.docx", "A 14815-2023")</f>
        <v/>
      </c>
      <c r="Y18">
        <f>HYPERLINK("https://klasma.github.io/Logging_KARLSTAD/tillsynsmail/A 14815-2023.docx", "A 14815-2023")</f>
        <v/>
      </c>
    </row>
    <row r="19" ht="15" customHeight="1">
      <c r="A19" t="inlineStr">
        <is>
          <t>A 18231-2020</t>
        </is>
      </c>
      <c r="B19" s="1" t="n">
        <v>43928</v>
      </c>
      <c r="C19" s="1" t="n">
        <v>45205</v>
      </c>
      <c r="D19" t="inlineStr">
        <is>
          <t>VÄRMLANDS LÄN</t>
        </is>
      </c>
      <c r="E19" t="inlineStr">
        <is>
          <t>KARLSTAD</t>
        </is>
      </c>
      <c r="G19" t="n">
        <v>0.5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Mattlummer</t>
        </is>
      </c>
      <c r="S19">
        <f>HYPERLINK("https://klasma.github.io/Logging_KARLSTAD/artfynd/A 18231-2020.xlsx", "A 18231-2020")</f>
        <v/>
      </c>
      <c r="T19">
        <f>HYPERLINK("https://klasma.github.io/Logging_KARLSTAD/kartor/A 18231-2020.png", "A 18231-2020")</f>
        <v/>
      </c>
      <c r="U19">
        <f>HYPERLINK("https://klasma.github.io/Logging_KARLSTAD/knärot/A 18231-2020.png", "A 18231-2020")</f>
        <v/>
      </c>
      <c r="V19">
        <f>HYPERLINK("https://klasma.github.io/Logging_KARLSTAD/klagomål/A 18231-2020.docx", "A 18231-2020")</f>
        <v/>
      </c>
      <c r="W19">
        <f>HYPERLINK("https://klasma.github.io/Logging_KARLSTAD/klagomålsmail/A 18231-2020.docx", "A 18231-2020")</f>
        <v/>
      </c>
      <c r="X19">
        <f>HYPERLINK("https://klasma.github.io/Logging_KARLSTAD/tillsyn/A 18231-2020.docx", "A 18231-2020")</f>
        <v/>
      </c>
      <c r="Y19">
        <f>HYPERLINK("https://klasma.github.io/Logging_KARLSTAD/tillsynsmail/A 18231-2020.docx", "A 18231-2020")</f>
        <v/>
      </c>
    </row>
    <row r="20" ht="15" customHeight="1">
      <c r="A20" t="inlineStr">
        <is>
          <t>A 11581-2021</t>
        </is>
      </c>
      <c r="B20" s="1" t="n">
        <v>44264</v>
      </c>
      <c r="C20" s="1" t="n">
        <v>45205</v>
      </c>
      <c r="D20" t="inlineStr">
        <is>
          <t>VÄRMLANDS LÄN</t>
        </is>
      </c>
      <c r="E20" t="inlineStr">
        <is>
          <t>KARLSTAD</t>
        </is>
      </c>
      <c r="F20" t="inlineStr">
        <is>
          <t>Kommuner</t>
        </is>
      </c>
      <c r="G20" t="n">
        <v>2.3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Rödgul trumpetsvamp
Vågbandad barkbock</t>
        </is>
      </c>
      <c r="S20">
        <f>HYPERLINK("https://klasma.github.io/Logging_KARLSTAD/artfynd/A 11581-2021.xlsx", "A 11581-2021")</f>
        <v/>
      </c>
      <c r="T20">
        <f>HYPERLINK("https://klasma.github.io/Logging_KARLSTAD/kartor/A 11581-2021.png", "A 11581-2021")</f>
        <v/>
      </c>
      <c r="V20">
        <f>HYPERLINK("https://klasma.github.io/Logging_KARLSTAD/klagomål/A 11581-2021.docx", "A 11581-2021")</f>
        <v/>
      </c>
      <c r="W20">
        <f>HYPERLINK("https://klasma.github.io/Logging_KARLSTAD/klagomålsmail/A 11581-2021.docx", "A 11581-2021")</f>
        <v/>
      </c>
      <c r="X20">
        <f>HYPERLINK("https://klasma.github.io/Logging_KARLSTAD/tillsyn/A 11581-2021.docx", "A 11581-2021")</f>
        <v/>
      </c>
      <c r="Y20">
        <f>HYPERLINK("https://klasma.github.io/Logging_KARLSTAD/tillsynsmail/A 11581-2021.docx", "A 11581-2021")</f>
        <v/>
      </c>
    </row>
    <row r="21" ht="15" customHeight="1">
      <c r="A21" t="inlineStr">
        <is>
          <t>A 33866-2021</t>
        </is>
      </c>
      <c r="B21" s="1" t="n">
        <v>44378</v>
      </c>
      <c r="C21" s="1" t="n">
        <v>45205</v>
      </c>
      <c r="D21" t="inlineStr">
        <is>
          <t>VÄRMLANDS LÄN</t>
        </is>
      </c>
      <c r="E21" t="inlineStr">
        <is>
          <t>KARLSTAD</t>
        </is>
      </c>
      <c r="F21" t="inlineStr">
        <is>
          <t>Kyrkan</t>
        </is>
      </c>
      <c r="G21" t="n">
        <v>5.8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Plattlummer
Mattlummer</t>
        </is>
      </c>
      <c r="S21">
        <f>HYPERLINK("https://klasma.github.io/Logging_KARLSTAD/artfynd/A 33866-2021.xlsx", "A 33866-2021")</f>
        <v/>
      </c>
      <c r="T21">
        <f>HYPERLINK("https://klasma.github.io/Logging_KARLSTAD/kartor/A 33866-2021.png", "A 33866-2021")</f>
        <v/>
      </c>
      <c r="V21">
        <f>HYPERLINK("https://klasma.github.io/Logging_KARLSTAD/klagomål/A 33866-2021.docx", "A 33866-2021")</f>
        <v/>
      </c>
      <c r="W21">
        <f>HYPERLINK("https://klasma.github.io/Logging_KARLSTAD/klagomålsmail/A 33866-2021.docx", "A 33866-2021")</f>
        <v/>
      </c>
      <c r="X21">
        <f>HYPERLINK("https://klasma.github.io/Logging_KARLSTAD/tillsyn/A 33866-2021.docx", "A 33866-2021")</f>
        <v/>
      </c>
      <c r="Y21">
        <f>HYPERLINK("https://klasma.github.io/Logging_KARLSTAD/tillsynsmail/A 33866-2021.docx", "A 33866-2021")</f>
        <v/>
      </c>
    </row>
    <row r="22" ht="15" customHeight="1">
      <c r="A22" t="inlineStr">
        <is>
          <t>A 20765-2022</t>
        </is>
      </c>
      <c r="B22" s="1" t="n">
        <v>44701</v>
      </c>
      <c r="C22" s="1" t="n">
        <v>45205</v>
      </c>
      <c r="D22" t="inlineStr">
        <is>
          <t>VÄRMLANDS LÄN</t>
        </is>
      </c>
      <c r="E22" t="inlineStr">
        <is>
          <t>KARLSTAD</t>
        </is>
      </c>
      <c r="F22" t="inlineStr">
        <is>
          <t>Bergvik skog väst AB</t>
        </is>
      </c>
      <c r="G22" t="n">
        <v>3.4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Fläcknycklar
Mattlummer</t>
        </is>
      </c>
      <c r="S22">
        <f>HYPERLINK("https://klasma.github.io/Logging_KARLSTAD/artfynd/A 20765-2022.xlsx", "A 20765-2022")</f>
        <v/>
      </c>
      <c r="T22">
        <f>HYPERLINK("https://klasma.github.io/Logging_KARLSTAD/kartor/A 20765-2022.png", "A 20765-2022")</f>
        <v/>
      </c>
      <c r="V22">
        <f>HYPERLINK("https://klasma.github.io/Logging_KARLSTAD/klagomål/A 20765-2022.docx", "A 20765-2022")</f>
        <v/>
      </c>
      <c r="W22">
        <f>HYPERLINK("https://klasma.github.io/Logging_KARLSTAD/klagomålsmail/A 20765-2022.docx", "A 20765-2022")</f>
        <v/>
      </c>
      <c r="X22">
        <f>HYPERLINK("https://klasma.github.io/Logging_KARLSTAD/tillsyn/A 20765-2022.docx", "A 20765-2022")</f>
        <v/>
      </c>
      <c r="Y22">
        <f>HYPERLINK("https://klasma.github.io/Logging_KARLSTAD/tillsynsmail/A 20765-2022.docx", "A 20765-2022")</f>
        <v/>
      </c>
    </row>
    <row r="23" ht="15" customHeight="1">
      <c r="A23" t="inlineStr">
        <is>
          <t>A 41507-2023</t>
        </is>
      </c>
      <c r="B23" s="1" t="n">
        <v>45175</v>
      </c>
      <c r="C23" s="1" t="n">
        <v>45205</v>
      </c>
      <c r="D23" t="inlineStr">
        <is>
          <t>VÄRMLANDS LÄN</t>
        </is>
      </c>
      <c r="E23" t="inlineStr">
        <is>
          <t>KARLSTAD</t>
        </is>
      </c>
      <c r="G23" t="n">
        <v>11.4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Thomsons trägnagare</t>
        </is>
      </c>
      <c r="S23">
        <f>HYPERLINK("https://klasma.github.io/Logging_KARLSTAD/artfynd/A 41507-2023.xlsx", "A 41507-2023")</f>
        <v/>
      </c>
      <c r="T23">
        <f>HYPERLINK("https://klasma.github.io/Logging_KARLSTAD/kartor/A 41507-2023.png", "A 41507-2023")</f>
        <v/>
      </c>
      <c r="V23">
        <f>HYPERLINK("https://klasma.github.io/Logging_KARLSTAD/klagomål/A 41507-2023.docx", "A 41507-2023")</f>
        <v/>
      </c>
      <c r="W23">
        <f>HYPERLINK("https://klasma.github.io/Logging_KARLSTAD/klagomålsmail/A 41507-2023.docx", "A 41507-2023")</f>
        <v/>
      </c>
      <c r="X23">
        <f>HYPERLINK("https://klasma.github.io/Logging_KARLSTAD/tillsyn/A 41507-2023.docx", "A 41507-2023")</f>
        <v/>
      </c>
      <c r="Y23">
        <f>HYPERLINK("https://klasma.github.io/Logging_KARLSTAD/tillsynsmail/A 41507-2023.docx", "A 41507-2023")</f>
        <v/>
      </c>
    </row>
    <row r="24" ht="15" customHeight="1">
      <c r="A24" t="inlineStr">
        <is>
          <t>A 59564-2018</t>
        </is>
      </c>
      <c r="B24" s="1" t="n">
        <v>43419</v>
      </c>
      <c r="C24" s="1" t="n">
        <v>45205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HYPERLINK("https://klasma.github.io/Logging_KARLSTAD/artfynd/A 59564-2018.xlsx", "A 59564-2018")</f>
        <v/>
      </c>
      <c r="T24">
        <f>HYPERLINK("https://klasma.github.io/Logging_KARLSTAD/kartor/A 59564-2018.png", "A 59564-2018")</f>
        <v/>
      </c>
      <c r="V24">
        <f>HYPERLINK("https://klasma.github.io/Logging_KARLSTAD/klagomål/A 59564-2018.docx", "A 59564-2018")</f>
        <v/>
      </c>
      <c r="W24">
        <f>HYPERLINK("https://klasma.github.io/Logging_KARLSTAD/klagomålsmail/A 59564-2018.docx", "A 59564-2018")</f>
        <v/>
      </c>
      <c r="X24">
        <f>HYPERLINK("https://klasma.github.io/Logging_KARLSTAD/tillsyn/A 59564-2018.docx", "A 59564-2018")</f>
        <v/>
      </c>
      <c r="Y24">
        <f>HYPERLINK("https://klasma.github.io/Logging_KARLSTAD/tillsynsmail/A 59564-2018.docx", "A 59564-2018")</f>
        <v/>
      </c>
    </row>
    <row r="25" ht="15" customHeight="1">
      <c r="A25" t="inlineStr">
        <is>
          <t>A 9067-2019</t>
        </is>
      </c>
      <c r="B25" s="1" t="n">
        <v>43504</v>
      </c>
      <c r="C25" s="1" t="n">
        <v>45205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2.1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Gulsparv</t>
        </is>
      </c>
      <c r="S25">
        <f>HYPERLINK("https://klasma.github.io/Logging_KARLSTAD/artfynd/A 9067-2019.xlsx", "A 9067-2019")</f>
        <v/>
      </c>
      <c r="T25">
        <f>HYPERLINK("https://klasma.github.io/Logging_KARLSTAD/kartor/A 9067-2019.png", "A 9067-2019")</f>
        <v/>
      </c>
      <c r="V25">
        <f>HYPERLINK("https://klasma.github.io/Logging_KARLSTAD/klagomål/A 9067-2019.docx", "A 9067-2019")</f>
        <v/>
      </c>
      <c r="W25">
        <f>HYPERLINK("https://klasma.github.io/Logging_KARLSTAD/klagomålsmail/A 9067-2019.docx", "A 9067-2019")</f>
        <v/>
      </c>
      <c r="X25">
        <f>HYPERLINK("https://klasma.github.io/Logging_KARLSTAD/tillsyn/A 9067-2019.docx", "A 9067-2019")</f>
        <v/>
      </c>
      <c r="Y25">
        <f>HYPERLINK("https://klasma.github.io/Logging_KARLSTAD/tillsynsmail/A 9067-2019.docx", "A 9067-2019")</f>
        <v/>
      </c>
    </row>
    <row r="26" ht="15" customHeight="1">
      <c r="A26" t="inlineStr">
        <is>
          <t>A 18838-2019</t>
        </is>
      </c>
      <c r="B26" s="1" t="n">
        <v>43563</v>
      </c>
      <c r="C26" s="1" t="n">
        <v>45205</v>
      </c>
      <c r="D26" t="inlineStr">
        <is>
          <t>VÄRMLANDS LÄN</t>
        </is>
      </c>
      <c r="E26" t="inlineStr">
        <is>
          <t>KARLSTAD</t>
        </is>
      </c>
      <c r="G26" t="n">
        <v>7.7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HYPERLINK("https://klasma.github.io/Logging_KARLSTAD/artfynd/A 18838-2019.xlsx", "A 18838-2019")</f>
        <v/>
      </c>
      <c r="T26">
        <f>HYPERLINK("https://klasma.github.io/Logging_KARLSTAD/kartor/A 18838-2019.png", "A 18838-2019")</f>
        <v/>
      </c>
      <c r="V26">
        <f>HYPERLINK("https://klasma.github.io/Logging_KARLSTAD/klagomål/A 18838-2019.docx", "A 18838-2019")</f>
        <v/>
      </c>
      <c r="W26">
        <f>HYPERLINK("https://klasma.github.io/Logging_KARLSTAD/klagomålsmail/A 18838-2019.docx", "A 18838-2019")</f>
        <v/>
      </c>
      <c r="X26">
        <f>HYPERLINK("https://klasma.github.io/Logging_KARLSTAD/tillsyn/A 18838-2019.docx", "A 18838-2019")</f>
        <v/>
      </c>
      <c r="Y26">
        <f>HYPERLINK("https://klasma.github.io/Logging_KARLSTAD/tillsynsmail/A 18838-2019.docx", "A 18838-2019")</f>
        <v/>
      </c>
    </row>
    <row r="27" ht="15" customHeight="1">
      <c r="A27" t="inlineStr">
        <is>
          <t>A 25652-2019</t>
        </is>
      </c>
      <c r="B27" s="1" t="n">
        <v>43607</v>
      </c>
      <c r="C27" s="1" t="n">
        <v>45205</v>
      </c>
      <c r="D27" t="inlineStr">
        <is>
          <t>VÄRMLANDS LÄN</t>
        </is>
      </c>
      <c r="E27" t="inlineStr">
        <is>
          <t>KARLSTAD</t>
        </is>
      </c>
      <c r="G27" t="n">
        <v>1.9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HYPERLINK("https://klasma.github.io/Logging_KARLSTAD/artfynd/A 25652-2019.xlsx", "A 25652-2019")</f>
        <v/>
      </c>
      <c r="T27">
        <f>HYPERLINK("https://klasma.github.io/Logging_KARLSTAD/kartor/A 25652-2019.png", "A 25652-2019")</f>
        <v/>
      </c>
      <c r="V27">
        <f>HYPERLINK("https://klasma.github.io/Logging_KARLSTAD/klagomål/A 25652-2019.docx", "A 25652-2019")</f>
        <v/>
      </c>
      <c r="W27">
        <f>HYPERLINK("https://klasma.github.io/Logging_KARLSTAD/klagomålsmail/A 25652-2019.docx", "A 25652-2019")</f>
        <v/>
      </c>
      <c r="X27">
        <f>HYPERLINK("https://klasma.github.io/Logging_KARLSTAD/tillsyn/A 25652-2019.docx", "A 25652-2019")</f>
        <v/>
      </c>
      <c r="Y27">
        <f>HYPERLINK("https://klasma.github.io/Logging_KARLSTAD/tillsynsmail/A 25652-2019.docx", "A 25652-2019")</f>
        <v/>
      </c>
    </row>
    <row r="28" ht="15" customHeight="1">
      <c r="A28" t="inlineStr">
        <is>
          <t>A 27311-2019</t>
        </is>
      </c>
      <c r="B28" s="1" t="n">
        <v>43616</v>
      </c>
      <c r="C28" s="1" t="n">
        <v>45205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Ängsmetallvinge</t>
        </is>
      </c>
      <c r="S28">
        <f>HYPERLINK("https://klasma.github.io/Logging_KARLSTAD/artfynd/A 27311-2019.xlsx", "A 27311-2019")</f>
        <v/>
      </c>
      <c r="T28">
        <f>HYPERLINK("https://klasma.github.io/Logging_KARLSTAD/kartor/A 27311-2019.png", "A 27311-2019")</f>
        <v/>
      </c>
      <c r="V28">
        <f>HYPERLINK("https://klasma.github.io/Logging_KARLSTAD/klagomål/A 27311-2019.docx", "A 27311-2019")</f>
        <v/>
      </c>
      <c r="W28">
        <f>HYPERLINK("https://klasma.github.io/Logging_KARLSTAD/klagomålsmail/A 27311-2019.docx", "A 27311-2019")</f>
        <v/>
      </c>
      <c r="X28">
        <f>HYPERLINK("https://klasma.github.io/Logging_KARLSTAD/tillsyn/A 27311-2019.docx", "A 27311-2019")</f>
        <v/>
      </c>
      <c r="Y28">
        <f>HYPERLINK("https://klasma.github.io/Logging_KARLSTAD/tillsynsmail/A 27311-2019.docx", "A 27311-2019")</f>
        <v/>
      </c>
    </row>
    <row r="29" ht="15" customHeight="1">
      <c r="A29" t="inlineStr">
        <is>
          <t>A 6299-2020</t>
        </is>
      </c>
      <c r="B29" s="1" t="n">
        <v>43866</v>
      </c>
      <c r="C29" s="1" t="n">
        <v>45205</v>
      </c>
      <c r="D29" t="inlineStr">
        <is>
          <t>VÄRMLANDS LÄN</t>
        </is>
      </c>
      <c r="E29" t="inlineStr">
        <is>
          <t>KARLSTAD</t>
        </is>
      </c>
      <c r="F29" t="inlineStr">
        <is>
          <t>Kommuner</t>
        </is>
      </c>
      <c r="G29" t="n">
        <v>0.6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Vanlig groda</t>
        </is>
      </c>
      <c r="S29">
        <f>HYPERLINK("https://klasma.github.io/Logging_KARLSTAD/artfynd/A 6299-2020.xlsx", "A 6299-2020")</f>
        <v/>
      </c>
      <c r="T29">
        <f>HYPERLINK("https://klasma.github.io/Logging_KARLSTAD/kartor/A 6299-2020.png", "A 6299-2020")</f>
        <v/>
      </c>
      <c r="V29">
        <f>HYPERLINK("https://klasma.github.io/Logging_KARLSTAD/klagomål/A 6299-2020.docx", "A 6299-2020")</f>
        <v/>
      </c>
      <c r="W29">
        <f>HYPERLINK("https://klasma.github.io/Logging_KARLSTAD/klagomålsmail/A 6299-2020.docx", "A 6299-2020")</f>
        <v/>
      </c>
      <c r="X29">
        <f>HYPERLINK("https://klasma.github.io/Logging_KARLSTAD/tillsyn/A 6299-2020.docx", "A 6299-2020")</f>
        <v/>
      </c>
      <c r="Y29">
        <f>HYPERLINK("https://klasma.github.io/Logging_KARLSTAD/tillsynsmail/A 6299-2020.docx", "A 6299-2020")</f>
        <v/>
      </c>
    </row>
    <row r="30" ht="15" customHeight="1">
      <c r="A30" t="inlineStr">
        <is>
          <t>A 18075-2020</t>
        </is>
      </c>
      <c r="B30" s="1" t="n">
        <v>43927</v>
      </c>
      <c r="C30" s="1" t="n">
        <v>45205</v>
      </c>
      <c r="D30" t="inlineStr">
        <is>
          <t>VÄRMLANDS LÄN</t>
        </is>
      </c>
      <c r="E30" t="inlineStr">
        <is>
          <t>KARLSTAD</t>
        </is>
      </c>
      <c r="G30" t="n">
        <v>1.3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Vedticka</t>
        </is>
      </c>
      <c r="S30">
        <f>HYPERLINK("https://klasma.github.io/Logging_KARLSTAD/artfynd/A 18075-2020.xlsx", "A 18075-2020")</f>
        <v/>
      </c>
      <c r="T30">
        <f>HYPERLINK("https://klasma.github.io/Logging_KARLSTAD/kartor/A 18075-2020.png", "A 18075-2020")</f>
        <v/>
      </c>
      <c r="V30">
        <f>HYPERLINK("https://klasma.github.io/Logging_KARLSTAD/klagomål/A 18075-2020.docx", "A 18075-2020")</f>
        <v/>
      </c>
      <c r="W30">
        <f>HYPERLINK("https://klasma.github.io/Logging_KARLSTAD/klagomålsmail/A 18075-2020.docx", "A 18075-2020")</f>
        <v/>
      </c>
      <c r="X30">
        <f>HYPERLINK("https://klasma.github.io/Logging_KARLSTAD/tillsyn/A 18075-2020.docx", "A 18075-2020")</f>
        <v/>
      </c>
      <c r="Y30">
        <f>HYPERLINK("https://klasma.github.io/Logging_KARLSTAD/tillsynsmail/A 18075-2020.docx", "A 18075-2020")</f>
        <v/>
      </c>
    </row>
    <row r="31" ht="15" customHeight="1">
      <c r="A31" t="inlineStr">
        <is>
          <t>A 28368-2020</t>
        </is>
      </c>
      <c r="B31" s="1" t="n">
        <v>43998</v>
      </c>
      <c r="C31" s="1" t="n">
        <v>45205</v>
      </c>
      <c r="D31" t="inlineStr">
        <is>
          <t>VÄRMLANDS LÄN</t>
        </is>
      </c>
      <c r="E31" t="inlineStr">
        <is>
          <t>KARLSTAD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Svart trolldruva</t>
        </is>
      </c>
      <c r="S31">
        <f>HYPERLINK("https://klasma.github.io/Logging_KARLSTAD/artfynd/A 28368-2020.xlsx", "A 28368-2020")</f>
        <v/>
      </c>
      <c r="T31">
        <f>HYPERLINK("https://klasma.github.io/Logging_KARLSTAD/kartor/A 28368-2020.png", "A 28368-2020")</f>
        <v/>
      </c>
      <c r="V31">
        <f>HYPERLINK("https://klasma.github.io/Logging_KARLSTAD/klagomål/A 28368-2020.docx", "A 28368-2020")</f>
        <v/>
      </c>
      <c r="W31">
        <f>HYPERLINK("https://klasma.github.io/Logging_KARLSTAD/klagomålsmail/A 28368-2020.docx", "A 28368-2020")</f>
        <v/>
      </c>
      <c r="X31">
        <f>HYPERLINK("https://klasma.github.io/Logging_KARLSTAD/tillsyn/A 28368-2020.docx", "A 28368-2020")</f>
        <v/>
      </c>
      <c r="Y31">
        <f>HYPERLINK("https://klasma.github.io/Logging_KARLSTAD/tillsynsmail/A 28368-2020.docx", "A 28368-2020")</f>
        <v/>
      </c>
    </row>
    <row r="32" ht="15" customHeight="1">
      <c r="A32" t="inlineStr">
        <is>
          <t>A 65851-2020</t>
        </is>
      </c>
      <c r="B32" s="1" t="n">
        <v>44174</v>
      </c>
      <c r="C32" s="1" t="n">
        <v>45205</v>
      </c>
      <c r="D32" t="inlineStr">
        <is>
          <t>VÄRMLANDS LÄN</t>
        </is>
      </c>
      <c r="E32" t="inlineStr">
        <is>
          <t>KARLSTAD</t>
        </is>
      </c>
      <c r="F32" t="inlineStr">
        <is>
          <t>Bergvik skog väst AB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1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Skogsalm</t>
        </is>
      </c>
      <c r="S32">
        <f>HYPERLINK("https://klasma.github.io/Logging_KARLSTAD/artfynd/A 65851-2020.xlsx", "A 65851-2020")</f>
        <v/>
      </c>
      <c r="T32">
        <f>HYPERLINK("https://klasma.github.io/Logging_KARLSTAD/kartor/A 65851-2020.png", "A 65851-2020")</f>
        <v/>
      </c>
      <c r="V32">
        <f>HYPERLINK("https://klasma.github.io/Logging_KARLSTAD/klagomål/A 65851-2020.docx", "A 65851-2020")</f>
        <v/>
      </c>
      <c r="W32">
        <f>HYPERLINK("https://klasma.github.io/Logging_KARLSTAD/klagomålsmail/A 65851-2020.docx", "A 65851-2020")</f>
        <v/>
      </c>
      <c r="X32">
        <f>HYPERLINK("https://klasma.github.io/Logging_KARLSTAD/tillsyn/A 65851-2020.docx", "A 65851-2020")</f>
        <v/>
      </c>
      <c r="Y32">
        <f>HYPERLINK("https://klasma.github.io/Logging_KARLSTAD/tillsynsmail/A 65851-2020.docx", "A 65851-2020")</f>
        <v/>
      </c>
    </row>
    <row r="33" ht="15" customHeight="1">
      <c r="A33" t="inlineStr">
        <is>
          <t>A 67928-2020</t>
        </is>
      </c>
      <c r="B33" s="1" t="n">
        <v>44182</v>
      </c>
      <c r="C33" s="1" t="n">
        <v>45205</v>
      </c>
      <c r="D33" t="inlineStr">
        <is>
          <t>VÄRMLANDS LÄN</t>
        </is>
      </c>
      <c r="E33" t="inlineStr">
        <is>
          <t>KARLSTAD</t>
        </is>
      </c>
      <c r="G33" t="n">
        <v>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HYPERLINK("https://klasma.github.io/Logging_KARLSTAD/artfynd/A 67928-2020.xlsx", "A 67928-2020")</f>
        <v/>
      </c>
      <c r="T33">
        <f>HYPERLINK("https://klasma.github.io/Logging_KARLSTAD/kartor/A 67928-2020.png", "A 67928-2020")</f>
        <v/>
      </c>
      <c r="V33">
        <f>HYPERLINK("https://klasma.github.io/Logging_KARLSTAD/klagomål/A 67928-2020.docx", "A 67928-2020")</f>
        <v/>
      </c>
      <c r="W33">
        <f>HYPERLINK("https://klasma.github.io/Logging_KARLSTAD/klagomålsmail/A 67928-2020.docx", "A 67928-2020")</f>
        <v/>
      </c>
      <c r="X33">
        <f>HYPERLINK("https://klasma.github.io/Logging_KARLSTAD/tillsyn/A 67928-2020.docx", "A 67928-2020")</f>
        <v/>
      </c>
      <c r="Y33">
        <f>HYPERLINK("https://klasma.github.io/Logging_KARLSTAD/tillsynsmail/A 67928-2020.docx", "A 67928-2020")</f>
        <v/>
      </c>
    </row>
    <row r="34" ht="15" customHeight="1">
      <c r="A34" t="inlineStr">
        <is>
          <t>A 2194-2021</t>
        </is>
      </c>
      <c r="B34" s="1" t="n">
        <v>44211</v>
      </c>
      <c r="C34" s="1" t="n">
        <v>45205</v>
      </c>
      <c r="D34" t="inlineStr">
        <is>
          <t>VÄRMLANDS LÄN</t>
        </is>
      </c>
      <c r="E34" t="inlineStr">
        <is>
          <t>KARLSTAD</t>
        </is>
      </c>
      <c r="G34" t="n">
        <v>2.3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HYPERLINK("https://klasma.github.io/Logging_KARLSTAD/artfynd/A 2194-2021.xlsx", "A 2194-2021")</f>
        <v/>
      </c>
      <c r="T34">
        <f>HYPERLINK("https://klasma.github.io/Logging_KARLSTAD/kartor/A 2194-2021.png", "A 2194-2021")</f>
        <v/>
      </c>
      <c r="U34">
        <f>HYPERLINK("https://klasma.github.io/Logging_KARLSTAD/knärot/A 2194-2021.png", "A 2194-2021")</f>
        <v/>
      </c>
      <c r="V34">
        <f>HYPERLINK("https://klasma.github.io/Logging_KARLSTAD/klagomål/A 2194-2021.docx", "A 2194-2021")</f>
        <v/>
      </c>
      <c r="W34">
        <f>HYPERLINK("https://klasma.github.io/Logging_KARLSTAD/klagomålsmail/A 2194-2021.docx", "A 2194-2021")</f>
        <v/>
      </c>
      <c r="X34">
        <f>HYPERLINK("https://klasma.github.io/Logging_KARLSTAD/tillsyn/A 2194-2021.docx", "A 2194-2021")</f>
        <v/>
      </c>
      <c r="Y34">
        <f>HYPERLINK("https://klasma.github.io/Logging_KARLSTAD/tillsynsmail/A 2194-2021.docx", "A 2194-2021")</f>
        <v/>
      </c>
    </row>
    <row r="35" ht="15" customHeight="1">
      <c r="A35" t="inlineStr">
        <is>
          <t>A 4799-2021</t>
        </is>
      </c>
      <c r="B35" s="1" t="n">
        <v>44225</v>
      </c>
      <c r="C35" s="1" t="n">
        <v>45205</v>
      </c>
      <c r="D35" t="inlineStr">
        <is>
          <t>VÄRMLANDS LÄN</t>
        </is>
      </c>
      <c r="E35" t="inlineStr">
        <is>
          <t>KARLSTAD</t>
        </is>
      </c>
      <c r="G35" t="n">
        <v>2.8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Svart trolldruva</t>
        </is>
      </c>
      <c r="S35">
        <f>HYPERLINK("https://klasma.github.io/Logging_KARLSTAD/artfynd/A 4799-2021.xlsx", "A 4799-2021")</f>
        <v/>
      </c>
      <c r="T35">
        <f>HYPERLINK("https://klasma.github.io/Logging_KARLSTAD/kartor/A 4799-2021.png", "A 4799-2021")</f>
        <v/>
      </c>
      <c r="V35">
        <f>HYPERLINK("https://klasma.github.io/Logging_KARLSTAD/klagomål/A 4799-2021.docx", "A 4799-2021")</f>
        <v/>
      </c>
      <c r="W35">
        <f>HYPERLINK("https://klasma.github.io/Logging_KARLSTAD/klagomålsmail/A 4799-2021.docx", "A 4799-2021")</f>
        <v/>
      </c>
      <c r="X35">
        <f>HYPERLINK("https://klasma.github.io/Logging_KARLSTAD/tillsyn/A 4799-2021.docx", "A 4799-2021")</f>
        <v/>
      </c>
      <c r="Y35">
        <f>HYPERLINK("https://klasma.github.io/Logging_KARLSTAD/tillsynsmail/A 4799-2021.docx", "A 4799-2021")</f>
        <v/>
      </c>
    </row>
    <row r="36" ht="15" customHeight="1">
      <c r="A36" t="inlineStr">
        <is>
          <t>A 47134-2021</t>
        </is>
      </c>
      <c r="B36" s="1" t="n">
        <v>44446</v>
      </c>
      <c r="C36" s="1" t="n">
        <v>45205</v>
      </c>
      <c r="D36" t="inlineStr">
        <is>
          <t>VÄRMLANDS LÄN</t>
        </is>
      </c>
      <c r="E36" t="inlineStr">
        <is>
          <t>KARLSTAD</t>
        </is>
      </c>
      <c r="G36" t="n">
        <v>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Lopplummer</t>
        </is>
      </c>
      <c r="S36">
        <f>HYPERLINK("https://klasma.github.io/Logging_KARLSTAD/artfynd/A 47134-2021.xlsx", "A 47134-2021")</f>
        <v/>
      </c>
      <c r="T36">
        <f>HYPERLINK("https://klasma.github.io/Logging_KARLSTAD/kartor/A 47134-2021.png", "A 47134-2021")</f>
        <v/>
      </c>
      <c r="V36">
        <f>HYPERLINK("https://klasma.github.io/Logging_KARLSTAD/klagomål/A 47134-2021.docx", "A 47134-2021")</f>
        <v/>
      </c>
      <c r="W36">
        <f>HYPERLINK("https://klasma.github.io/Logging_KARLSTAD/klagomålsmail/A 47134-2021.docx", "A 47134-2021")</f>
        <v/>
      </c>
      <c r="X36">
        <f>HYPERLINK("https://klasma.github.io/Logging_KARLSTAD/tillsyn/A 47134-2021.docx", "A 47134-2021")</f>
        <v/>
      </c>
      <c r="Y36">
        <f>HYPERLINK("https://klasma.github.io/Logging_KARLSTAD/tillsynsmail/A 47134-2021.docx", "A 47134-2021")</f>
        <v/>
      </c>
    </row>
    <row r="37" ht="15" customHeight="1">
      <c r="A37" t="inlineStr">
        <is>
          <t>A 55264-2021</t>
        </is>
      </c>
      <c r="B37" s="1" t="n">
        <v>44475</v>
      </c>
      <c r="C37" s="1" t="n">
        <v>45205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Vedticka</t>
        </is>
      </c>
      <c r="S37">
        <f>HYPERLINK("https://klasma.github.io/Logging_KARLSTAD/artfynd/A 55264-2021.xlsx", "A 55264-2021")</f>
        <v/>
      </c>
      <c r="T37">
        <f>HYPERLINK("https://klasma.github.io/Logging_KARLSTAD/kartor/A 55264-2021.png", "A 55264-2021")</f>
        <v/>
      </c>
      <c r="V37">
        <f>HYPERLINK("https://klasma.github.io/Logging_KARLSTAD/klagomål/A 55264-2021.docx", "A 55264-2021")</f>
        <v/>
      </c>
      <c r="W37">
        <f>HYPERLINK("https://klasma.github.io/Logging_KARLSTAD/klagomålsmail/A 55264-2021.docx", "A 55264-2021")</f>
        <v/>
      </c>
      <c r="X37">
        <f>HYPERLINK("https://klasma.github.io/Logging_KARLSTAD/tillsyn/A 55264-2021.docx", "A 55264-2021")</f>
        <v/>
      </c>
      <c r="Y37">
        <f>HYPERLINK("https://klasma.github.io/Logging_KARLSTAD/tillsynsmail/A 55264-2021.docx", "A 55264-2021")</f>
        <v/>
      </c>
    </row>
    <row r="38" ht="15" customHeight="1">
      <c r="A38" t="inlineStr">
        <is>
          <t>A 55210-2021</t>
        </is>
      </c>
      <c r="B38" s="1" t="n">
        <v>44475</v>
      </c>
      <c r="C38" s="1" t="n">
        <v>45205</v>
      </c>
      <c r="D38" t="inlineStr">
        <is>
          <t>VÄRMLANDS LÄN</t>
        </is>
      </c>
      <c r="E38" t="inlineStr">
        <is>
          <t>KARLSTAD</t>
        </is>
      </c>
      <c r="F38" t="inlineStr">
        <is>
          <t>Kommuner</t>
        </is>
      </c>
      <c r="G38" t="n">
        <v>3.9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Tallticka</t>
        </is>
      </c>
      <c r="S38">
        <f>HYPERLINK("https://klasma.github.io/Logging_KARLSTAD/artfynd/A 55210-2021.xlsx", "A 55210-2021")</f>
        <v/>
      </c>
      <c r="T38">
        <f>HYPERLINK("https://klasma.github.io/Logging_KARLSTAD/kartor/A 55210-2021.png", "A 55210-2021")</f>
        <v/>
      </c>
      <c r="V38">
        <f>HYPERLINK("https://klasma.github.io/Logging_KARLSTAD/klagomål/A 55210-2021.docx", "A 55210-2021")</f>
        <v/>
      </c>
      <c r="W38">
        <f>HYPERLINK("https://klasma.github.io/Logging_KARLSTAD/klagomålsmail/A 55210-2021.docx", "A 55210-2021")</f>
        <v/>
      </c>
      <c r="X38">
        <f>HYPERLINK("https://klasma.github.io/Logging_KARLSTAD/tillsyn/A 55210-2021.docx", "A 55210-2021")</f>
        <v/>
      </c>
      <c r="Y38">
        <f>HYPERLINK("https://klasma.github.io/Logging_KARLSTAD/tillsynsmail/A 55210-2021.docx", "A 55210-2021")</f>
        <v/>
      </c>
    </row>
    <row r="39" ht="15" customHeight="1">
      <c r="A39" t="inlineStr">
        <is>
          <t>A 66274-2021</t>
        </is>
      </c>
      <c r="B39" s="1" t="n">
        <v>44518</v>
      </c>
      <c r="C39" s="1" t="n">
        <v>45205</v>
      </c>
      <c r="D39" t="inlineStr">
        <is>
          <t>VÄRMLANDS LÄN</t>
        </is>
      </c>
      <c r="E39" t="inlineStr">
        <is>
          <t>KARLSTAD</t>
        </is>
      </c>
      <c r="G39" t="n">
        <v>2.5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HYPERLINK("https://klasma.github.io/Logging_KARLSTAD/artfynd/A 66274-2021.xlsx", "A 66274-2021")</f>
        <v/>
      </c>
      <c r="T39">
        <f>HYPERLINK("https://klasma.github.io/Logging_KARLSTAD/kartor/A 66274-2021.png", "A 66274-2021")</f>
        <v/>
      </c>
      <c r="V39">
        <f>HYPERLINK("https://klasma.github.io/Logging_KARLSTAD/klagomål/A 66274-2021.docx", "A 66274-2021")</f>
        <v/>
      </c>
      <c r="W39">
        <f>HYPERLINK("https://klasma.github.io/Logging_KARLSTAD/klagomålsmail/A 66274-2021.docx", "A 66274-2021")</f>
        <v/>
      </c>
      <c r="X39">
        <f>HYPERLINK("https://klasma.github.io/Logging_KARLSTAD/tillsyn/A 66274-2021.docx", "A 66274-2021")</f>
        <v/>
      </c>
      <c r="Y39">
        <f>HYPERLINK("https://klasma.github.io/Logging_KARLSTAD/tillsynsmail/A 66274-2021.docx", "A 66274-2021")</f>
        <v/>
      </c>
    </row>
    <row r="40" ht="15" customHeight="1">
      <c r="A40" t="inlineStr">
        <is>
          <t>A 72045-2021</t>
        </is>
      </c>
      <c r="B40" s="1" t="n">
        <v>44544</v>
      </c>
      <c r="C40" s="1" t="n">
        <v>45205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9.6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Åkergroda</t>
        </is>
      </c>
      <c r="S40">
        <f>HYPERLINK("https://klasma.github.io/Logging_KARLSTAD/artfynd/A 72045-2021.xlsx", "A 72045-2021")</f>
        <v/>
      </c>
      <c r="T40">
        <f>HYPERLINK("https://klasma.github.io/Logging_KARLSTAD/kartor/A 72045-2021.png", "A 72045-2021")</f>
        <v/>
      </c>
      <c r="V40">
        <f>HYPERLINK("https://klasma.github.io/Logging_KARLSTAD/klagomål/A 72045-2021.docx", "A 72045-2021")</f>
        <v/>
      </c>
      <c r="W40">
        <f>HYPERLINK("https://klasma.github.io/Logging_KARLSTAD/klagomålsmail/A 72045-2021.docx", "A 72045-2021")</f>
        <v/>
      </c>
      <c r="X40">
        <f>HYPERLINK("https://klasma.github.io/Logging_KARLSTAD/tillsyn/A 72045-2021.docx", "A 72045-2021")</f>
        <v/>
      </c>
      <c r="Y40">
        <f>HYPERLINK("https://klasma.github.io/Logging_KARLSTAD/tillsynsmail/A 72045-2021.docx", "A 72045-2021")</f>
        <v/>
      </c>
    </row>
    <row r="41" ht="15" customHeight="1">
      <c r="A41" t="inlineStr">
        <is>
          <t>A 4664-2022</t>
        </is>
      </c>
      <c r="B41" s="1" t="n">
        <v>44592</v>
      </c>
      <c r="C41" s="1" t="n">
        <v>45205</v>
      </c>
      <c r="D41" t="inlineStr">
        <is>
          <t>VÄRMLANDS LÄN</t>
        </is>
      </c>
      <c r="E41" t="inlineStr">
        <is>
          <t>KARLSTAD</t>
        </is>
      </c>
      <c r="F41" t="inlineStr">
        <is>
          <t>Kommuner</t>
        </is>
      </c>
      <c r="G41" t="n">
        <v>2.3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Vedskivlav</t>
        </is>
      </c>
      <c r="S41">
        <f>HYPERLINK("https://klasma.github.io/Logging_KARLSTAD/artfynd/A 4664-2022.xlsx", "A 4664-2022")</f>
        <v/>
      </c>
      <c r="T41">
        <f>HYPERLINK("https://klasma.github.io/Logging_KARLSTAD/kartor/A 4664-2022.png", "A 4664-2022")</f>
        <v/>
      </c>
      <c r="V41">
        <f>HYPERLINK("https://klasma.github.io/Logging_KARLSTAD/klagomål/A 4664-2022.docx", "A 4664-2022")</f>
        <v/>
      </c>
      <c r="W41">
        <f>HYPERLINK("https://klasma.github.io/Logging_KARLSTAD/klagomålsmail/A 4664-2022.docx", "A 4664-2022")</f>
        <v/>
      </c>
      <c r="X41">
        <f>HYPERLINK("https://klasma.github.io/Logging_KARLSTAD/tillsyn/A 4664-2022.docx", "A 4664-2022")</f>
        <v/>
      </c>
      <c r="Y41">
        <f>HYPERLINK("https://klasma.github.io/Logging_KARLSTAD/tillsynsmail/A 4664-2022.docx", "A 4664-2022")</f>
        <v/>
      </c>
    </row>
    <row r="42" ht="15" customHeight="1">
      <c r="A42" t="inlineStr">
        <is>
          <t>A 13548-2022</t>
        </is>
      </c>
      <c r="B42" s="1" t="n">
        <v>44648</v>
      </c>
      <c r="C42" s="1" t="n">
        <v>45205</v>
      </c>
      <c r="D42" t="inlineStr">
        <is>
          <t>VÄRMLANDS LÄN</t>
        </is>
      </c>
      <c r="E42" t="inlineStr">
        <is>
          <t>KARLSTAD</t>
        </is>
      </c>
      <c r="F42" t="inlineStr">
        <is>
          <t>Bergvik skog väst AB</t>
        </is>
      </c>
      <c r="G42" t="n">
        <v>15.9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Motaggsvamp</t>
        </is>
      </c>
      <c r="S42">
        <f>HYPERLINK("https://klasma.github.io/Logging_KARLSTAD/artfynd/A 13548-2022.xlsx", "A 13548-2022")</f>
        <v/>
      </c>
      <c r="T42">
        <f>HYPERLINK("https://klasma.github.io/Logging_KARLSTAD/kartor/A 13548-2022.png", "A 13548-2022")</f>
        <v/>
      </c>
      <c r="V42">
        <f>HYPERLINK("https://klasma.github.io/Logging_KARLSTAD/klagomål/A 13548-2022.docx", "A 13548-2022")</f>
        <v/>
      </c>
      <c r="W42">
        <f>HYPERLINK("https://klasma.github.io/Logging_KARLSTAD/klagomålsmail/A 13548-2022.docx", "A 13548-2022")</f>
        <v/>
      </c>
      <c r="X42">
        <f>HYPERLINK("https://klasma.github.io/Logging_KARLSTAD/tillsyn/A 13548-2022.docx", "A 13548-2022")</f>
        <v/>
      </c>
      <c r="Y42">
        <f>HYPERLINK("https://klasma.github.io/Logging_KARLSTAD/tillsynsmail/A 13548-2022.docx", "A 13548-2022")</f>
        <v/>
      </c>
    </row>
    <row r="43" ht="15" customHeight="1">
      <c r="A43" t="inlineStr">
        <is>
          <t>A 14002-2022</t>
        </is>
      </c>
      <c r="B43" s="1" t="n">
        <v>44650</v>
      </c>
      <c r="C43" s="1" t="n">
        <v>45205</v>
      </c>
      <c r="D43" t="inlineStr">
        <is>
          <t>VÄRMLANDS LÄN</t>
        </is>
      </c>
      <c r="E43" t="inlineStr">
        <is>
          <t>KARLSTAD</t>
        </is>
      </c>
      <c r="G43" t="n">
        <v>2.3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HYPERLINK("https://klasma.github.io/Logging_KARLSTAD/artfynd/A 14002-2022.xlsx", "A 14002-2022")</f>
        <v/>
      </c>
      <c r="T43">
        <f>HYPERLINK("https://klasma.github.io/Logging_KARLSTAD/kartor/A 14002-2022.png", "A 14002-2022")</f>
        <v/>
      </c>
      <c r="U43">
        <f>HYPERLINK("https://klasma.github.io/Logging_KARLSTAD/knärot/A 14002-2022.png", "A 14002-2022")</f>
        <v/>
      </c>
      <c r="V43">
        <f>HYPERLINK("https://klasma.github.io/Logging_KARLSTAD/klagomål/A 14002-2022.docx", "A 14002-2022")</f>
        <v/>
      </c>
      <c r="W43">
        <f>HYPERLINK("https://klasma.github.io/Logging_KARLSTAD/klagomålsmail/A 14002-2022.docx", "A 14002-2022")</f>
        <v/>
      </c>
      <c r="X43">
        <f>HYPERLINK("https://klasma.github.io/Logging_KARLSTAD/tillsyn/A 14002-2022.docx", "A 14002-2022")</f>
        <v/>
      </c>
      <c r="Y43">
        <f>HYPERLINK("https://klasma.github.io/Logging_KARLSTAD/tillsynsmail/A 14002-2022.docx", "A 14002-2022")</f>
        <v/>
      </c>
    </row>
    <row r="44" ht="15" customHeight="1">
      <c r="A44" t="inlineStr">
        <is>
          <t>A 14594-2022</t>
        </is>
      </c>
      <c r="B44" s="1" t="n">
        <v>44655</v>
      </c>
      <c r="C44" s="1" t="n">
        <v>45205</v>
      </c>
      <c r="D44" t="inlineStr">
        <is>
          <t>VÄRMLANDS LÄN</t>
        </is>
      </c>
      <c r="E44" t="inlineStr">
        <is>
          <t>KARLSTAD</t>
        </is>
      </c>
      <c r="F44" t="inlineStr">
        <is>
          <t>Kommuner</t>
        </is>
      </c>
      <c r="G44" t="n">
        <v>11.2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Mindre hackspett</t>
        </is>
      </c>
      <c r="S44">
        <f>HYPERLINK("https://klasma.github.io/Logging_KARLSTAD/artfynd/A 14594-2022.xlsx", "A 14594-2022")</f>
        <v/>
      </c>
      <c r="T44">
        <f>HYPERLINK("https://klasma.github.io/Logging_KARLSTAD/kartor/A 14594-2022.png", "A 14594-2022")</f>
        <v/>
      </c>
      <c r="V44">
        <f>HYPERLINK("https://klasma.github.io/Logging_KARLSTAD/klagomål/A 14594-2022.docx", "A 14594-2022")</f>
        <v/>
      </c>
      <c r="W44">
        <f>HYPERLINK("https://klasma.github.io/Logging_KARLSTAD/klagomålsmail/A 14594-2022.docx", "A 14594-2022")</f>
        <v/>
      </c>
      <c r="X44">
        <f>HYPERLINK("https://klasma.github.io/Logging_KARLSTAD/tillsyn/A 14594-2022.docx", "A 14594-2022")</f>
        <v/>
      </c>
      <c r="Y44">
        <f>HYPERLINK("https://klasma.github.io/Logging_KARLSTAD/tillsynsmail/A 14594-2022.docx", "A 14594-2022")</f>
        <v/>
      </c>
    </row>
    <row r="45" ht="15" customHeight="1">
      <c r="A45" t="inlineStr">
        <is>
          <t>A 21934-2023</t>
        </is>
      </c>
      <c r="B45" s="1" t="n">
        <v>45068</v>
      </c>
      <c r="C45" s="1" t="n">
        <v>45205</v>
      </c>
      <c r="D45" t="inlineStr">
        <is>
          <t>VÄRMLANDS LÄN</t>
        </is>
      </c>
      <c r="E45" t="inlineStr">
        <is>
          <t>KARLSTAD</t>
        </is>
      </c>
      <c r="G45" t="n">
        <v>1.7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21934-2023.xlsx", "A 21934-2023")</f>
        <v/>
      </c>
      <c r="T45">
        <f>HYPERLINK("https://klasma.github.io/Logging_KARLSTAD/kartor/A 21934-2023.png", "A 21934-2023")</f>
        <v/>
      </c>
      <c r="V45">
        <f>HYPERLINK("https://klasma.github.io/Logging_KARLSTAD/klagomål/A 21934-2023.docx", "A 21934-2023")</f>
        <v/>
      </c>
      <c r="W45">
        <f>HYPERLINK("https://klasma.github.io/Logging_KARLSTAD/klagomålsmail/A 21934-2023.docx", "A 21934-2023")</f>
        <v/>
      </c>
      <c r="X45">
        <f>HYPERLINK("https://klasma.github.io/Logging_KARLSTAD/tillsyn/A 21934-2023.docx", "A 21934-2023")</f>
        <v/>
      </c>
      <c r="Y45">
        <f>HYPERLINK("https://klasma.github.io/Logging_KARLSTAD/tillsynsmail/A 21934-2023.docx", "A 21934-2023")</f>
        <v/>
      </c>
    </row>
    <row r="46" ht="15" customHeight="1">
      <c r="A46" t="inlineStr">
        <is>
          <t>A 21919-2023</t>
        </is>
      </c>
      <c r="B46" s="1" t="n">
        <v>45068</v>
      </c>
      <c r="C46" s="1" t="n">
        <v>45205</v>
      </c>
      <c r="D46" t="inlineStr">
        <is>
          <t>VÄRMLANDS LÄN</t>
        </is>
      </c>
      <c r="E46" t="inlineStr">
        <is>
          <t>KARLSTAD</t>
        </is>
      </c>
      <c r="G46" t="n">
        <v>2.5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HYPERLINK("https://klasma.github.io/Logging_KARLSTAD/artfynd/A 21919-2023.xlsx", "A 21919-2023")</f>
        <v/>
      </c>
      <c r="T46">
        <f>HYPERLINK("https://klasma.github.io/Logging_KARLSTAD/kartor/A 21919-2023.png", "A 21919-2023")</f>
        <v/>
      </c>
      <c r="V46">
        <f>HYPERLINK("https://klasma.github.io/Logging_KARLSTAD/klagomål/A 21919-2023.docx", "A 21919-2023")</f>
        <v/>
      </c>
      <c r="W46">
        <f>HYPERLINK("https://klasma.github.io/Logging_KARLSTAD/klagomålsmail/A 21919-2023.docx", "A 21919-2023")</f>
        <v/>
      </c>
      <c r="X46">
        <f>HYPERLINK("https://klasma.github.io/Logging_KARLSTAD/tillsyn/A 21919-2023.docx", "A 21919-2023")</f>
        <v/>
      </c>
      <c r="Y46">
        <f>HYPERLINK("https://klasma.github.io/Logging_KARLSTAD/tillsynsmail/A 21919-2023.docx", "A 21919-2023")</f>
        <v/>
      </c>
    </row>
    <row r="47" ht="15" customHeight="1">
      <c r="A47" t="inlineStr">
        <is>
          <t>A 25144-2023</t>
        </is>
      </c>
      <c r="B47" s="1" t="n">
        <v>45086</v>
      </c>
      <c r="C47" s="1" t="n">
        <v>45205</v>
      </c>
      <c r="D47" t="inlineStr">
        <is>
          <t>VÄRMLANDS LÄN</t>
        </is>
      </c>
      <c r="E47" t="inlineStr">
        <is>
          <t>KARLSTAD</t>
        </is>
      </c>
      <c r="F47" t="inlineStr">
        <is>
          <t>Kyrkan</t>
        </is>
      </c>
      <c r="G47" t="n">
        <v>7.6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HYPERLINK("https://klasma.github.io/Logging_KARLSTAD/artfynd/A 25144-2023.xlsx", "A 25144-2023")</f>
        <v/>
      </c>
      <c r="T47">
        <f>HYPERLINK("https://klasma.github.io/Logging_KARLSTAD/kartor/A 25144-2023.png", "A 25144-2023")</f>
        <v/>
      </c>
      <c r="V47">
        <f>HYPERLINK("https://klasma.github.io/Logging_KARLSTAD/klagomål/A 25144-2023.docx", "A 25144-2023")</f>
        <v/>
      </c>
      <c r="W47">
        <f>HYPERLINK("https://klasma.github.io/Logging_KARLSTAD/klagomålsmail/A 25144-2023.docx", "A 25144-2023")</f>
        <v/>
      </c>
      <c r="X47">
        <f>HYPERLINK("https://klasma.github.io/Logging_KARLSTAD/tillsyn/A 25144-2023.docx", "A 25144-2023")</f>
        <v/>
      </c>
      <c r="Y47">
        <f>HYPERLINK("https://klasma.github.io/Logging_KARLSTAD/tillsynsmail/A 25144-2023.docx", "A 25144-2023")</f>
        <v/>
      </c>
    </row>
    <row r="48" ht="15" customHeight="1">
      <c r="A48" t="inlineStr">
        <is>
          <t>A 41484-2023</t>
        </is>
      </c>
      <c r="B48" s="1" t="n">
        <v>45175</v>
      </c>
      <c r="C48" s="1" t="n">
        <v>45205</v>
      </c>
      <c r="D48" t="inlineStr">
        <is>
          <t>VÄRMLANDS LÄN</t>
        </is>
      </c>
      <c r="E48" t="inlineStr">
        <is>
          <t>KARLSTAD</t>
        </is>
      </c>
      <c r="G48" t="n">
        <v>8.699999999999999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HYPERLINK("https://klasma.github.io/Logging_KARLSTAD/artfynd/A 41484-2023.xlsx", "A 41484-2023")</f>
        <v/>
      </c>
      <c r="T48">
        <f>HYPERLINK("https://klasma.github.io/Logging_KARLSTAD/kartor/A 41484-2023.png", "A 41484-2023")</f>
        <v/>
      </c>
      <c r="V48">
        <f>HYPERLINK("https://klasma.github.io/Logging_KARLSTAD/klagomål/A 41484-2023.docx", "A 41484-2023")</f>
        <v/>
      </c>
      <c r="W48">
        <f>HYPERLINK("https://klasma.github.io/Logging_KARLSTAD/klagomålsmail/A 41484-2023.docx", "A 41484-2023")</f>
        <v/>
      </c>
      <c r="X48">
        <f>HYPERLINK("https://klasma.github.io/Logging_KARLSTAD/tillsyn/A 41484-2023.docx", "A 41484-2023")</f>
        <v/>
      </c>
      <c r="Y48">
        <f>HYPERLINK("https://klasma.github.io/Logging_KARLSTAD/tillsynsmail/A 41484-2023.docx", "A 41484-2023")</f>
        <v/>
      </c>
    </row>
    <row r="49" ht="15" customHeight="1">
      <c r="A49" t="inlineStr">
        <is>
          <t>A 38812-2018</t>
        </is>
      </c>
      <c r="B49" s="1" t="n">
        <v>43336</v>
      </c>
      <c r="C49" s="1" t="n">
        <v>45205</v>
      </c>
      <c r="D49" t="inlineStr">
        <is>
          <t>VÄRMLANDS LÄN</t>
        </is>
      </c>
      <c r="E49" t="inlineStr">
        <is>
          <t>KARLSTAD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40485-2018</t>
        </is>
      </c>
      <c r="B50" s="1" t="n">
        <v>43346</v>
      </c>
      <c r="C50" s="1" t="n">
        <v>45205</v>
      </c>
      <c r="D50" t="inlineStr">
        <is>
          <t>VÄRMLANDS LÄN</t>
        </is>
      </c>
      <c r="E50" t="inlineStr">
        <is>
          <t>KARLSTAD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44987-2018</t>
        </is>
      </c>
      <c r="B51" s="1" t="n">
        <v>43360</v>
      </c>
      <c r="C51" s="1" t="n">
        <v>45205</v>
      </c>
      <c r="D51" t="inlineStr">
        <is>
          <t>VÄRMLANDS LÄN</t>
        </is>
      </c>
      <c r="E51" t="inlineStr">
        <is>
          <t>KARLSTAD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45686-2018</t>
        </is>
      </c>
      <c r="B52" s="1" t="n">
        <v>43362</v>
      </c>
      <c r="C52" s="1" t="n">
        <v>45205</v>
      </c>
      <c r="D52" t="inlineStr">
        <is>
          <t>VÄRMLANDS LÄN</t>
        </is>
      </c>
      <c r="E52" t="inlineStr">
        <is>
          <t>KARLSTAD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46610-2018</t>
        </is>
      </c>
      <c r="B53" s="1" t="n">
        <v>43368</v>
      </c>
      <c r="C53" s="1" t="n">
        <v>45205</v>
      </c>
      <c r="D53" t="inlineStr">
        <is>
          <t>VÄRMLANDS LÄN</t>
        </is>
      </c>
      <c r="E53" t="inlineStr">
        <is>
          <t>KARLSTAD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49003-2018</t>
        </is>
      </c>
      <c r="B54" s="1" t="n">
        <v>43375</v>
      </c>
      <c r="C54" s="1" t="n">
        <v>45205</v>
      </c>
      <c r="D54" t="inlineStr">
        <is>
          <t>VÄRMLANDS LÄN</t>
        </is>
      </c>
      <c r="E54" t="inlineStr">
        <is>
          <t>KARLSTAD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48958-2018</t>
        </is>
      </c>
      <c r="B55" s="1" t="n">
        <v>43375</v>
      </c>
      <c r="C55" s="1" t="n">
        <v>45205</v>
      </c>
      <c r="D55" t="inlineStr">
        <is>
          <t>VÄRMLANDS LÄN</t>
        </is>
      </c>
      <c r="E55" t="inlineStr">
        <is>
          <t>KARLSTAD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49816-2018</t>
        </is>
      </c>
      <c r="B56" s="1" t="n">
        <v>43375</v>
      </c>
      <c r="C56" s="1" t="n">
        <v>45205</v>
      </c>
      <c r="D56" t="inlineStr">
        <is>
          <t>VÄRMLANDS LÄN</t>
        </is>
      </c>
      <c r="E56" t="inlineStr">
        <is>
          <t>KARLSTAD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51171-2018</t>
        </is>
      </c>
      <c r="B57" s="1" t="n">
        <v>43382</v>
      </c>
      <c r="C57" s="1" t="n">
        <v>45205</v>
      </c>
      <c r="D57" t="inlineStr">
        <is>
          <t>VÄRMLANDS LÄN</t>
        </is>
      </c>
      <c r="E57" t="inlineStr">
        <is>
          <t>KARLSTAD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54390-2018</t>
        </is>
      </c>
      <c r="B58" s="1" t="n">
        <v>43389</v>
      </c>
      <c r="C58" s="1" t="n">
        <v>45205</v>
      </c>
      <c r="D58" t="inlineStr">
        <is>
          <t>VÄRMLANDS LÄN</t>
        </is>
      </c>
      <c r="E58" t="inlineStr">
        <is>
          <t>KARLSTAD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54358-2018</t>
        </is>
      </c>
      <c r="B59" s="1" t="n">
        <v>43395</v>
      </c>
      <c r="C59" s="1" t="n">
        <v>45205</v>
      </c>
      <c r="D59" t="inlineStr">
        <is>
          <t>VÄRMLANDS LÄN</t>
        </is>
      </c>
      <c r="E59" t="inlineStr">
        <is>
          <t>KARLSTAD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58293-2018</t>
        </is>
      </c>
      <c r="B60" s="1" t="n">
        <v>43409</v>
      </c>
      <c r="C60" s="1" t="n">
        <v>45205</v>
      </c>
      <c r="D60" t="inlineStr">
        <is>
          <t>VÄRMLANDS LÄN</t>
        </is>
      </c>
      <c r="E60" t="inlineStr">
        <is>
          <t>KARLSTAD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62451-2018</t>
        </is>
      </c>
      <c r="B61" s="1" t="n">
        <v>43415</v>
      </c>
      <c r="C61" s="1" t="n">
        <v>45205</v>
      </c>
      <c r="D61" t="inlineStr">
        <is>
          <t>VÄRMLANDS LÄN</t>
        </is>
      </c>
      <c r="E61" t="inlineStr">
        <is>
          <t>KARLSTAD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62095-2018</t>
        </is>
      </c>
      <c r="B62" s="1" t="n">
        <v>43416</v>
      </c>
      <c r="C62" s="1" t="n">
        <v>45205</v>
      </c>
      <c r="D62" t="inlineStr">
        <is>
          <t>VÄRMLANDS LÄN</t>
        </is>
      </c>
      <c r="E62" t="inlineStr">
        <is>
          <t>KARLSTAD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63707-2018</t>
        </is>
      </c>
      <c r="B63" s="1" t="n">
        <v>43417</v>
      </c>
      <c r="C63" s="1" t="n">
        <v>45205</v>
      </c>
      <c r="D63" t="inlineStr">
        <is>
          <t>VÄRMLANDS LÄN</t>
        </is>
      </c>
      <c r="E63" t="inlineStr">
        <is>
          <t>KARLSTAD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59301-2018</t>
        </is>
      </c>
      <c r="B64" s="1" t="n">
        <v>43418</v>
      </c>
      <c r="C64" s="1" t="n">
        <v>45205</v>
      </c>
      <c r="D64" t="inlineStr">
        <is>
          <t>VÄRMLANDS LÄN</t>
        </is>
      </c>
      <c r="E64" t="inlineStr">
        <is>
          <t>KARLSTAD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59339-2018</t>
        </is>
      </c>
      <c r="B65" s="1" t="n">
        <v>43418</v>
      </c>
      <c r="C65" s="1" t="n">
        <v>45205</v>
      </c>
      <c r="D65" t="inlineStr">
        <is>
          <t>VÄRMLANDS LÄN</t>
        </is>
      </c>
      <c r="E65" t="inlineStr">
        <is>
          <t>KARLSTAD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59520-2018</t>
        </is>
      </c>
      <c r="B66" s="1" t="n">
        <v>43419</v>
      </c>
      <c r="C66" s="1" t="n">
        <v>45205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59612-2018</t>
        </is>
      </c>
      <c r="B67" s="1" t="n">
        <v>43419</v>
      </c>
      <c r="C67" s="1" t="n">
        <v>45205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13.8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65645-2018</t>
        </is>
      </c>
      <c r="B68" s="1" t="n">
        <v>43425</v>
      </c>
      <c r="C68" s="1" t="n">
        <v>45205</v>
      </c>
      <c r="D68" t="inlineStr">
        <is>
          <t>VÄRMLANDS LÄN</t>
        </is>
      </c>
      <c r="E68" t="inlineStr">
        <is>
          <t>KARLSTAD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62199-2018</t>
        </is>
      </c>
      <c r="B69" s="1" t="n">
        <v>43425</v>
      </c>
      <c r="C69" s="1" t="n">
        <v>45205</v>
      </c>
      <c r="D69" t="inlineStr">
        <is>
          <t>VÄRMLANDS LÄN</t>
        </is>
      </c>
      <c r="E69" t="inlineStr">
        <is>
          <t>KARLSTAD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62866-2018</t>
        </is>
      </c>
      <c r="B70" s="1" t="n">
        <v>43426</v>
      </c>
      <c r="C70" s="1" t="n">
        <v>45205</v>
      </c>
      <c r="D70" t="inlineStr">
        <is>
          <t>VÄRMLANDS LÄN</t>
        </is>
      </c>
      <c r="E70" t="inlineStr">
        <is>
          <t>KARLSTAD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63419-2018</t>
        </is>
      </c>
      <c r="B71" s="1" t="n">
        <v>43427</v>
      </c>
      <c r="C71" s="1" t="n">
        <v>45205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63458-2018</t>
        </is>
      </c>
      <c r="B72" s="1" t="n">
        <v>43427</v>
      </c>
      <c r="C72" s="1" t="n">
        <v>45205</v>
      </c>
      <c r="D72" t="inlineStr">
        <is>
          <t>VÄRMLANDS LÄN</t>
        </is>
      </c>
      <c r="E72" t="inlineStr">
        <is>
          <t>KARLSTAD</t>
        </is>
      </c>
      <c r="F72" t="inlineStr">
        <is>
          <t>Kyrkan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66913-2018</t>
        </is>
      </c>
      <c r="B73" s="1" t="n">
        <v>43431</v>
      </c>
      <c r="C73" s="1" t="n">
        <v>45205</v>
      </c>
      <c r="D73" t="inlineStr">
        <is>
          <t>VÄRMLANDS LÄN</t>
        </is>
      </c>
      <c r="E73" t="inlineStr">
        <is>
          <t>KARLSTAD</t>
        </is>
      </c>
      <c r="G73" t="n">
        <v>10.1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64572-2018</t>
        </is>
      </c>
      <c r="B74" s="1" t="n">
        <v>43431</v>
      </c>
      <c r="C74" s="1" t="n">
        <v>45205</v>
      </c>
      <c r="D74" t="inlineStr">
        <is>
          <t>VÄRMLANDS LÄN</t>
        </is>
      </c>
      <c r="E74" t="inlineStr">
        <is>
          <t>KARLSTAD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66160-2018</t>
        </is>
      </c>
      <c r="B75" s="1" t="n">
        <v>43434</v>
      </c>
      <c r="C75" s="1" t="n">
        <v>45205</v>
      </c>
      <c r="D75" t="inlineStr">
        <is>
          <t>VÄRMLANDS LÄN</t>
        </is>
      </c>
      <c r="E75" t="inlineStr">
        <is>
          <t>KARLSTAD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68214-2018</t>
        </is>
      </c>
      <c r="B76" s="1" t="n">
        <v>43437</v>
      </c>
      <c r="C76" s="1" t="n">
        <v>45205</v>
      </c>
      <c r="D76" t="inlineStr">
        <is>
          <t>VÄRMLANDS LÄN</t>
        </is>
      </c>
      <c r="E76" t="inlineStr">
        <is>
          <t>KARLSTAD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67693-2018</t>
        </is>
      </c>
      <c r="B77" s="1" t="n">
        <v>43440</v>
      </c>
      <c r="C77" s="1" t="n">
        <v>45205</v>
      </c>
      <c r="D77" t="inlineStr">
        <is>
          <t>VÄRMLANDS LÄN</t>
        </is>
      </c>
      <c r="E77" t="inlineStr">
        <is>
          <t>KARLSTAD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67602-2018</t>
        </is>
      </c>
      <c r="B78" s="1" t="n">
        <v>43440</v>
      </c>
      <c r="C78" s="1" t="n">
        <v>45205</v>
      </c>
      <c r="D78" t="inlineStr">
        <is>
          <t>VÄRMLANDS LÄN</t>
        </is>
      </c>
      <c r="E78" t="inlineStr">
        <is>
          <t>KARLSTAD</t>
        </is>
      </c>
      <c r="G78" t="n">
        <v>5.3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67688-2018</t>
        </is>
      </c>
      <c r="B79" s="1" t="n">
        <v>43440</v>
      </c>
      <c r="C79" s="1" t="n">
        <v>45205</v>
      </c>
      <c r="D79" t="inlineStr">
        <is>
          <t>VÄRMLANDS LÄN</t>
        </is>
      </c>
      <c r="E79" t="inlineStr">
        <is>
          <t>KARLSTAD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67775-2018</t>
        </is>
      </c>
      <c r="B80" s="1" t="n">
        <v>43440</v>
      </c>
      <c r="C80" s="1" t="n">
        <v>45205</v>
      </c>
      <c r="D80" t="inlineStr">
        <is>
          <t>VÄRMLANDS LÄN</t>
        </is>
      </c>
      <c r="E80" t="inlineStr">
        <is>
          <t>KARLSTAD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68338-2018</t>
        </is>
      </c>
      <c r="B81" s="1" t="n">
        <v>43441</v>
      </c>
      <c r="C81" s="1" t="n">
        <v>45205</v>
      </c>
      <c r="D81" t="inlineStr">
        <is>
          <t>VÄRMLANDS LÄN</t>
        </is>
      </c>
      <c r="E81" t="inlineStr">
        <is>
          <t>KARLSTAD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69750-2018</t>
        </is>
      </c>
      <c r="B82" s="1" t="n">
        <v>43444</v>
      </c>
      <c r="C82" s="1" t="n">
        <v>45205</v>
      </c>
      <c r="D82" t="inlineStr">
        <is>
          <t>VÄRMLANDS LÄN</t>
        </is>
      </c>
      <c r="E82" t="inlineStr">
        <is>
          <t>KARLSTAD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70096-2018</t>
        </is>
      </c>
      <c r="B83" s="1" t="n">
        <v>43445</v>
      </c>
      <c r="C83" s="1" t="n">
        <v>45205</v>
      </c>
      <c r="D83" t="inlineStr">
        <is>
          <t>VÄRMLANDS LÄN</t>
        </is>
      </c>
      <c r="E83" t="inlineStr">
        <is>
          <t>KARLSTAD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69378-2018</t>
        </is>
      </c>
      <c r="B84" s="1" t="n">
        <v>43446</v>
      </c>
      <c r="C84" s="1" t="n">
        <v>45205</v>
      </c>
      <c r="D84" t="inlineStr">
        <is>
          <t>VÄRMLANDS LÄN</t>
        </is>
      </c>
      <c r="E84" t="inlineStr">
        <is>
          <t>KARLSTAD</t>
        </is>
      </c>
      <c r="F84" t="inlineStr">
        <is>
          <t>Kommuner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70671-2018</t>
        </is>
      </c>
      <c r="B85" s="1" t="n">
        <v>43448</v>
      </c>
      <c r="C85" s="1" t="n">
        <v>45205</v>
      </c>
      <c r="D85" t="inlineStr">
        <is>
          <t>VÄRMLANDS LÄN</t>
        </is>
      </c>
      <c r="E85" t="inlineStr">
        <is>
          <t>KARLSTAD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70685-2018</t>
        </is>
      </c>
      <c r="B86" s="1" t="n">
        <v>43448</v>
      </c>
      <c r="C86" s="1" t="n">
        <v>45205</v>
      </c>
      <c r="D86" t="inlineStr">
        <is>
          <t>VÄRMLANDS LÄN</t>
        </is>
      </c>
      <c r="E86" t="inlineStr">
        <is>
          <t>KARLSTAD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70679-2018</t>
        </is>
      </c>
      <c r="B87" s="1" t="n">
        <v>43448</v>
      </c>
      <c r="C87" s="1" t="n">
        <v>45205</v>
      </c>
      <c r="D87" t="inlineStr">
        <is>
          <t>VÄRMLANDS LÄN</t>
        </is>
      </c>
      <c r="E87" t="inlineStr">
        <is>
          <t>KARLSTAD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71555-2018</t>
        </is>
      </c>
      <c r="B88" s="1" t="n">
        <v>43452</v>
      </c>
      <c r="C88" s="1" t="n">
        <v>45205</v>
      </c>
      <c r="D88" t="inlineStr">
        <is>
          <t>VÄRMLANDS LÄN</t>
        </is>
      </c>
      <c r="E88" t="inlineStr">
        <is>
          <t>KARLSTAD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71171-2018</t>
        </is>
      </c>
      <c r="B89" s="1" t="n">
        <v>43453</v>
      </c>
      <c r="C89" s="1" t="n">
        <v>45205</v>
      </c>
      <c r="D89" t="inlineStr">
        <is>
          <t>VÄRMLANDS LÄN</t>
        </is>
      </c>
      <c r="E89" t="inlineStr">
        <is>
          <t>KARLSTAD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71168-2018</t>
        </is>
      </c>
      <c r="B90" s="1" t="n">
        <v>43453</v>
      </c>
      <c r="C90" s="1" t="n">
        <v>45205</v>
      </c>
      <c r="D90" t="inlineStr">
        <is>
          <t>VÄRMLANDS LÄN</t>
        </is>
      </c>
      <c r="E90" t="inlineStr">
        <is>
          <t>KARLSTAD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71519-2018</t>
        </is>
      </c>
      <c r="B91" s="1" t="n">
        <v>43454</v>
      </c>
      <c r="C91" s="1" t="n">
        <v>45205</v>
      </c>
      <c r="D91" t="inlineStr">
        <is>
          <t>VÄRMLANDS LÄN</t>
        </is>
      </c>
      <c r="E91" t="inlineStr">
        <is>
          <t>KARLSTAD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72095-2018</t>
        </is>
      </c>
      <c r="B92" s="1" t="n">
        <v>43455</v>
      </c>
      <c r="C92" s="1" t="n">
        <v>45205</v>
      </c>
      <c r="D92" t="inlineStr">
        <is>
          <t>VÄRMLANDS LÄN</t>
        </is>
      </c>
      <c r="E92" t="inlineStr">
        <is>
          <t>KARLSTAD</t>
        </is>
      </c>
      <c r="F92" t="inlineStr">
        <is>
          <t>Kommuner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618-2019</t>
        </is>
      </c>
      <c r="B93" s="1" t="n">
        <v>43455</v>
      </c>
      <c r="C93" s="1" t="n">
        <v>45205</v>
      </c>
      <c r="D93" t="inlineStr">
        <is>
          <t>VÄRMLANDS LÄN</t>
        </is>
      </c>
      <c r="E93" t="inlineStr">
        <is>
          <t>KARLSTAD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617-2019</t>
        </is>
      </c>
      <c r="B94" s="1" t="n">
        <v>43455</v>
      </c>
      <c r="C94" s="1" t="n">
        <v>45205</v>
      </c>
      <c r="D94" t="inlineStr">
        <is>
          <t>VÄRMLANDS LÄN</t>
        </is>
      </c>
      <c r="E94" t="inlineStr">
        <is>
          <t>KARLSTAD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1956-2019</t>
        </is>
      </c>
      <c r="B95" s="1" t="n">
        <v>43462</v>
      </c>
      <c r="C95" s="1" t="n">
        <v>45205</v>
      </c>
      <c r="D95" t="inlineStr">
        <is>
          <t>VÄRMLANDS LÄN</t>
        </is>
      </c>
      <c r="E95" t="inlineStr">
        <is>
          <t>KARLSTAD</t>
        </is>
      </c>
      <c r="G95" t="n">
        <v>7.8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1928-2019</t>
        </is>
      </c>
      <c r="B96" s="1" t="n">
        <v>43462</v>
      </c>
      <c r="C96" s="1" t="n">
        <v>45205</v>
      </c>
      <c r="D96" t="inlineStr">
        <is>
          <t>VÄRMLANDS LÄN</t>
        </is>
      </c>
      <c r="E96" t="inlineStr">
        <is>
          <t>KARLSTAD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1989-2019</t>
        </is>
      </c>
      <c r="B97" s="1" t="n">
        <v>43462</v>
      </c>
      <c r="C97" s="1" t="n">
        <v>45205</v>
      </c>
      <c r="D97" t="inlineStr">
        <is>
          <t>VÄRMLANDS LÄN</t>
        </is>
      </c>
      <c r="E97" t="inlineStr">
        <is>
          <t>KARLSTAD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2471-2019</t>
        </is>
      </c>
      <c r="B98" s="1" t="n">
        <v>43469</v>
      </c>
      <c r="C98" s="1" t="n">
        <v>45205</v>
      </c>
      <c r="D98" t="inlineStr">
        <is>
          <t>VÄRMLANDS LÄN</t>
        </is>
      </c>
      <c r="E98" t="inlineStr">
        <is>
          <t>KARLSTAD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1460-2019</t>
        </is>
      </c>
      <c r="B99" s="1" t="n">
        <v>43473</v>
      </c>
      <c r="C99" s="1" t="n">
        <v>45205</v>
      </c>
      <c r="D99" t="inlineStr">
        <is>
          <t>VÄRMLANDS LÄN</t>
        </is>
      </c>
      <c r="E99" t="inlineStr">
        <is>
          <t>KARLSTAD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3692-2019</t>
        </is>
      </c>
      <c r="B100" s="1" t="n">
        <v>43474</v>
      </c>
      <c r="C100" s="1" t="n">
        <v>45205</v>
      </c>
      <c r="D100" t="inlineStr">
        <is>
          <t>VÄRMLANDS LÄN</t>
        </is>
      </c>
      <c r="E100" t="inlineStr">
        <is>
          <t>KARLSTAD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1571-2019</t>
        </is>
      </c>
      <c r="B101" s="1" t="n">
        <v>43474</v>
      </c>
      <c r="C101" s="1" t="n">
        <v>45205</v>
      </c>
      <c r="D101" t="inlineStr">
        <is>
          <t>VÄRMLANDS LÄN</t>
        </is>
      </c>
      <c r="E101" t="inlineStr">
        <is>
          <t>KARLSTAD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1872-2019</t>
        </is>
      </c>
      <c r="B102" s="1" t="n">
        <v>43474</v>
      </c>
      <c r="C102" s="1" t="n">
        <v>45205</v>
      </c>
      <c r="D102" t="inlineStr">
        <is>
          <t>VÄRMLANDS LÄN</t>
        </is>
      </c>
      <c r="E102" t="inlineStr">
        <is>
          <t>KARLSTAD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4187-2019</t>
        </is>
      </c>
      <c r="B103" s="1" t="n">
        <v>43476</v>
      </c>
      <c r="C103" s="1" t="n">
        <v>45205</v>
      </c>
      <c r="D103" t="inlineStr">
        <is>
          <t>VÄRMLANDS LÄN</t>
        </is>
      </c>
      <c r="E103" t="inlineStr">
        <is>
          <t>KARLSTAD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3347-2019</t>
        </is>
      </c>
      <c r="B104" s="1" t="n">
        <v>43480</v>
      </c>
      <c r="C104" s="1" t="n">
        <v>45205</v>
      </c>
      <c r="D104" t="inlineStr">
        <is>
          <t>VÄRMLANDS LÄN</t>
        </is>
      </c>
      <c r="E104" t="inlineStr">
        <is>
          <t>KARLSTAD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3373-2019</t>
        </is>
      </c>
      <c r="B105" s="1" t="n">
        <v>43480</v>
      </c>
      <c r="C105" s="1" t="n">
        <v>45205</v>
      </c>
      <c r="D105" t="inlineStr">
        <is>
          <t>VÄRMLANDS LÄN</t>
        </is>
      </c>
      <c r="E105" t="inlineStr">
        <is>
          <t>KARLSTAD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3910-2019</t>
        </is>
      </c>
      <c r="B106" s="1" t="n">
        <v>43482</v>
      </c>
      <c r="C106" s="1" t="n">
        <v>45205</v>
      </c>
      <c r="D106" t="inlineStr">
        <is>
          <t>VÄRMLANDS LÄN</t>
        </is>
      </c>
      <c r="E106" t="inlineStr">
        <is>
          <t>KARLSTAD</t>
        </is>
      </c>
      <c r="F106" t="inlineStr">
        <is>
          <t>Bergvik skog väst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4025-2019</t>
        </is>
      </c>
      <c r="B107" s="1" t="n">
        <v>43482</v>
      </c>
      <c r="C107" s="1" t="n">
        <v>45205</v>
      </c>
      <c r="D107" t="inlineStr">
        <is>
          <t>VÄRMLANDS LÄN</t>
        </is>
      </c>
      <c r="E107" t="inlineStr">
        <is>
          <t>KARLSTAD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4245-2019</t>
        </is>
      </c>
      <c r="B108" s="1" t="n">
        <v>43483</v>
      </c>
      <c r="C108" s="1" t="n">
        <v>45205</v>
      </c>
      <c r="D108" t="inlineStr">
        <is>
          <t>VÄRMLANDS LÄN</t>
        </is>
      </c>
      <c r="E108" t="inlineStr">
        <is>
          <t>KARLSTAD</t>
        </is>
      </c>
      <c r="F108" t="inlineStr">
        <is>
          <t>Bergvik skog väst AB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5476-2019</t>
        </is>
      </c>
      <c r="B109" s="1" t="n">
        <v>43488</v>
      </c>
      <c r="C109" s="1" t="n">
        <v>45205</v>
      </c>
      <c r="D109" t="inlineStr">
        <is>
          <t>VÄRMLANDS LÄN</t>
        </is>
      </c>
      <c r="E109" t="inlineStr">
        <is>
          <t>KARLSTAD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6048-2019</t>
        </is>
      </c>
      <c r="B110" s="1" t="n">
        <v>43493</v>
      </c>
      <c r="C110" s="1" t="n">
        <v>45205</v>
      </c>
      <c r="D110" t="inlineStr">
        <is>
          <t>VÄRMLANDS LÄN</t>
        </is>
      </c>
      <c r="E110" t="inlineStr">
        <is>
          <t>KARLSTAD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9071-2019</t>
        </is>
      </c>
      <c r="B111" s="1" t="n">
        <v>43504</v>
      </c>
      <c r="C111" s="1" t="n">
        <v>45205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9075-2019</t>
        </is>
      </c>
      <c r="B112" s="1" t="n">
        <v>43504</v>
      </c>
      <c r="C112" s="1" t="n">
        <v>45205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9602-2019</t>
        </is>
      </c>
      <c r="B113" s="1" t="n">
        <v>43508</v>
      </c>
      <c r="C113" s="1" t="n">
        <v>45205</v>
      </c>
      <c r="D113" t="inlineStr">
        <is>
          <t>VÄRMLANDS LÄN</t>
        </is>
      </c>
      <c r="E113" t="inlineStr">
        <is>
          <t>KARLSTAD</t>
        </is>
      </c>
      <c r="F113" t="inlineStr">
        <is>
          <t>Kommuner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10530-2019</t>
        </is>
      </c>
      <c r="B114" s="1" t="n">
        <v>43511</v>
      </c>
      <c r="C114" s="1" t="n">
        <v>45205</v>
      </c>
      <c r="D114" t="inlineStr">
        <is>
          <t>VÄRMLANDS LÄN</t>
        </is>
      </c>
      <c r="E114" t="inlineStr">
        <is>
          <t>KARLSTAD</t>
        </is>
      </c>
      <c r="G114" t="n">
        <v>10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10797-2019</t>
        </is>
      </c>
      <c r="B115" s="1" t="n">
        <v>43514</v>
      </c>
      <c r="C115" s="1" t="n">
        <v>45205</v>
      </c>
      <c r="D115" t="inlineStr">
        <is>
          <t>VÄRMLANDS LÄN</t>
        </is>
      </c>
      <c r="E115" t="inlineStr">
        <is>
          <t>KARLSTAD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10810-2019</t>
        </is>
      </c>
      <c r="B116" s="1" t="n">
        <v>43514</v>
      </c>
      <c r="C116" s="1" t="n">
        <v>45205</v>
      </c>
      <c r="D116" t="inlineStr">
        <is>
          <t>VÄRMLANDS LÄN</t>
        </is>
      </c>
      <c r="E116" t="inlineStr">
        <is>
          <t>KARLSTAD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10795-2019</t>
        </is>
      </c>
      <c r="B117" s="1" t="n">
        <v>43514</v>
      </c>
      <c r="C117" s="1" t="n">
        <v>45205</v>
      </c>
      <c r="D117" t="inlineStr">
        <is>
          <t>VÄRMLANDS LÄN</t>
        </is>
      </c>
      <c r="E117" t="inlineStr">
        <is>
          <t>KARLSTAD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10808-2019</t>
        </is>
      </c>
      <c r="B118" s="1" t="n">
        <v>43514</v>
      </c>
      <c r="C118" s="1" t="n">
        <v>45205</v>
      </c>
      <c r="D118" t="inlineStr">
        <is>
          <t>VÄRMLANDS LÄN</t>
        </is>
      </c>
      <c r="E118" t="inlineStr">
        <is>
          <t>KARLSTAD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10979-2019</t>
        </is>
      </c>
      <c r="B119" s="1" t="n">
        <v>43515</v>
      </c>
      <c r="C119" s="1" t="n">
        <v>45205</v>
      </c>
      <c r="D119" t="inlineStr">
        <is>
          <t>VÄRMLANDS LÄN</t>
        </is>
      </c>
      <c r="E119" t="inlineStr">
        <is>
          <t>KARLSTAD</t>
        </is>
      </c>
      <c r="G119" t="n">
        <v>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10911-2019</t>
        </is>
      </c>
      <c r="B120" s="1" t="n">
        <v>43515</v>
      </c>
      <c r="C120" s="1" t="n">
        <v>45205</v>
      </c>
      <c r="D120" t="inlineStr">
        <is>
          <t>VÄRMLANDS LÄN</t>
        </is>
      </c>
      <c r="E120" t="inlineStr">
        <is>
          <t>KARLSTAD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10970-2019</t>
        </is>
      </c>
      <c r="B121" s="1" t="n">
        <v>43515</v>
      </c>
      <c r="C121" s="1" t="n">
        <v>45205</v>
      </c>
      <c r="D121" t="inlineStr">
        <is>
          <t>VÄRMLANDS LÄN</t>
        </is>
      </c>
      <c r="E121" t="inlineStr">
        <is>
          <t>KARLSTAD</t>
        </is>
      </c>
      <c r="G121" t="n">
        <v>12.6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11133-2019</t>
        </is>
      </c>
      <c r="B122" s="1" t="n">
        <v>43516</v>
      </c>
      <c r="C122" s="1" t="n">
        <v>45205</v>
      </c>
      <c r="D122" t="inlineStr">
        <is>
          <t>VÄRMLANDS LÄN</t>
        </is>
      </c>
      <c r="E122" t="inlineStr">
        <is>
          <t>KARLSTAD</t>
        </is>
      </c>
      <c r="F122" t="inlineStr">
        <is>
          <t>Kommuner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11507-2019</t>
        </is>
      </c>
      <c r="B123" s="1" t="n">
        <v>43517</v>
      </c>
      <c r="C123" s="1" t="n">
        <v>45205</v>
      </c>
      <c r="D123" t="inlineStr">
        <is>
          <t>VÄRMLANDS LÄN</t>
        </is>
      </c>
      <c r="E123" t="inlineStr">
        <is>
          <t>KARLSTAD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13469-2019</t>
        </is>
      </c>
      <c r="B124" s="1" t="n">
        <v>43529</v>
      </c>
      <c r="C124" s="1" t="n">
        <v>45205</v>
      </c>
      <c r="D124" t="inlineStr">
        <is>
          <t>VÄRMLANDS LÄN</t>
        </is>
      </c>
      <c r="E124" t="inlineStr">
        <is>
          <t>KARLSTAD</t>
        </is>
      </c>
      <c r="G124" t="n">
        <v>10.3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13467-2019</t>
        </is>
      </c>
      <c r="B125" s="1" t="n">
        <v>43529</v>
      </c>
      <c r="C125" s="1" t="n">
        <v>45205</v>
      </c>
      <c r="D125" t="inlineStr">
        <is>
          <t>VÄRMLANDS LÄN</t>
        </is>
      </c>
      <c r="E125" t="inlineStr">
        <is>
          <t>KARLSTAD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14718-2019</t>
        </is>
      </c>
      <c r="B126" s="1" t="n">
        <v>43535</v>
      </c>
      <c r="C126" s="1" t="n">
        <v>45205</v>
      </c>
      <c r="D126" t="inlineStr">
        <is>
          <t>VÄRMLANDS LÄN</t>
        </is>
      </c>
      <c r="E126" t="inlineStr">
        <is>
          <t>KARLSTAD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14391-2019</t>
        </is>
      </c>
      <c r="B127" s="1" t="n">
        <v>43536</v>
      </c>
      <c r="C127" s="1" t="n">
        <v>45205</v>
      </c>
      <c r="D127" t="inlineStr">
        <is>
          <t>VÄRMLANDS LÄN</t>
        </is>
      </c>
      <c r="E127" t="inlineStr">
        <is>
          <t>KARLSTAD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14855-2019</t>
        </is>
      </c>
      <c r="B128" s="1" t="n">
        <v>43537</v>
      </c>
      <c r="C128" s="1" t="n">
        <v>45205</v>
      </c>
      <c r="D128" t="inlineStr">
        <is>
          <t>VÄRMLANDS LÄN</t>
        </is>
      </c>
      <c r="E128" t="inlineStr">
        <is>
          <t>KARLSTAD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15134-2019</t>
        </is>
      </c>
      <c r="B129" s="1" t="n">
        <v>43538</v>
      </c>
      <c r="C129" s="1" t="n">
        <v>45205</v>
      </c>
      <c r="D129" t="inlineStr">
        <is>
          <t>VÄRMLANDS LÄN</t>
        </is>
      </c>
      <c r="E129" t="inlineStr">
        <is>
          <t>KARLSTAD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15138-2019</t>
        </is>
      </c>
      <c r="B130" s="1" t="n">
        <v>43538</v>
      </c>
      <c r="C130" s="1" t="n">
        <v>45205</v>
      </c>
      <c r="D130" t="inlineStr">
        <is>
          <t>VÄRMLANDS LÄN</t>
        </is>
      </c>
      <c r="E130" t="inlineStr">
        <is>
          <t>KARLSTAD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15190-2019</t>
        </is>
      </c>
      <c r="B131" s="1" t="n">
        <v>43539</v>
      </c>
      <c r="C131" s="1" t="n">
        <v>45205</v>
      </c>
      <c r="D131" t="inlineStr">
        <is>
          <t>VÄRMLANDS LÄN</t>
        </is>
      </c>
      <c r="E131" t="inlineStr">
        <is>
          <t>KARLSTAD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15336-2019</t>
        </is>
      </c>
      <c r="B132" s="1" t="n">
        <v>43542</v>
      </c>
      <c r="C132" s="1" t="n">
        <v>45205</v>
      </c>
      <c r="D132" t="inlineStr">
        <is>
          <t>VÄRMLANDS LÄN</t>
        </is>
      </c>
      <c r="E132" t="inlineStr">
        <is>
          <t>KARLSTAD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15379-2019</t>
        </is>
      </c>
      <c r="B133" s="1" t="n">
        <v>43542</v>
      </c>
      <c r="C133" s="1" t="n">
        <v>45205</v>
      </c>
      <c r="D133" t="inlineStr">
        <is>
          <t>VÄRMLANDS LÄN</t>
        </is>
      </c>
      <c r="E133" t="inlineStr">
        <is>
          <t>KARLSTAD</t>
        </is>
      </c>
      <c r="F133" t="inlineStr">
        <is>
          <t>Naturvårdsverket</t>
        </is>
      </c>
      <c r="G133" t="n">
        <v>30.4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15599-2019</t>
        </is>
      </c>
      <c r="B134" s="1" t="n">
        <v>43542</v>
      </c>
      <c r="C134" s="1" t="n">
        <v>45205</v>
      </c>
      <c r="D134" t="inlineStr">
        <is>
          <t>VÄRMLANDS LÄN</t>
        </is>
      </c>
      <c r="E134" t="inlineStr">
        <is>
          <t>KARLSTAD</t>
        </is>
      </c>
      <c r="F134" t="inlineStr">
        <is>
          <t>Bergvik skog väst AB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16506-2019</t>
        </is>
      </c>
      <c r="B135" s="1" t="n">
        <v>43546</v>
      </c>
      <c r="C135" s="1" t="n">
        <v>45205</v>
      </c>
      <c r="D135" t="inlineStr">
        <is>
          <t>VÄRMLANDS LÄN</t>
        </is>
      </c>
      <c r="E135" t="inlineStr">
        <is>
          <t>KARLSTAD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17022-2019</t>
        </is>
      </c>
      <c r="B136" s="1" t="n">
        <v>43550</v>
      </c>
      <c r="C136" s="1" t="n">
        <v>45205</v>
      </c>
      <c r="D136" t="inlineStr">
        <is>
          <t>VÄRMLANDS LÄN</t>
        </is>
      </c>
      <c r="E136" t="inlineStr">
        <is>
          <t>KARLSTAD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17313-2019</t>
        </is>
      </c>
      <c r="B137" s="1" t="n">
        <v>43552</v>
      </c>
      <c r="C137" s="1" t="n">
        <v>45205</v>
      </c>
      <c r="D137" t="inlineStr">
        <is>
          <t>VÄRMLANDS LÄN</t>
        </is>
      </c>
      <c r="E137" t="inlineStr">
        <is>
          <t>KARLSTAD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18104-2019</t>
        </is>
      </c>
      <c r="B138" s="1" t="n">
        <v>43556</v>
      </c>
      <c r="C138" s="1" t="n">
        <v>45205</v>
      </c>
      <c r="D138" t="inlineStr">
        <is>
          <t>VÄRMLANDS LÄN</t>
        </is>
      </c>
      <c r="E138" t="inlineStr">
        <is>
          <t>KARLSTAD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18033-2019</t>
        </is>
      </c>
      <c r="B139" s="1" t="n">
        <v>43556</v>
      </c>
      <c r="C139" s="1" t="n">
        <v>45205</v>
      </c>
      <c r="D139" t="inlineStr">
        <is>
          <t>VÄRMLANDS LÄN</t>
        </is>
      </c>
      <c r="E139" t="inlineStr">
        <is>
          <t>KARLSTAD</t>
        </is>
      </c>
      <c r="G139" t="n">
        <v>16.5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17923-2019</t>
        </is>
      </c>
      <c r="B140" s="1" t="n">
        <v>43557</v>
      </c>
      <c r="C140" s="1" t="n">
        <v>45205</v>
      </c>
      <c r="D140" t="inlineStr">
        <is>
          <t>VÄRMLANDS LÄN</t>
        </is>
      </c>
      <c r="E140" t="inlineStr">
        <is>
          <t>KARLSTAD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18257-2019</t>
        </is>
      </c>
      <c r="B141" s="1" t="n">
        <v>43557</v>
      </c>
      <c r="C141" s="1" t="n">
        <v>45205</v>
      </c>
      <c r="D141" t="inlineStr">
        <is>
          <t>VÄRMLANDS LÄN</t>
        </is>
      </c>
      <c r="E141" t="inlineStr">
        <is>
          <t>KARLSTAD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18126-2019</t>
        </is>
      </c>
      <c r="B142" s="1" t="n">
        <v>43558</v>
      </c>
      <c r="C142" s="1" t="n">
        <v>45205</v>
      </c>
      <c r="D142" t="inlineStr">
        <is>
          <t>VÄRMLANDS LÄN</t>
        </is>
      </c>
      <c r="E142" t="inlineStr">
        <is>
          <t>KARLSTAD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18285-2019</t>
        </is>
      </c>
      <c r="B143" s="1" t="n">
        <v>43558</v>
      </c>
      <c r="C143" s="1" t="n">
        <v>45205</v>
      </c>
      <c r="D143" t="inlineStr">
        <is>
          <t>VÄRMLANDS LÄN</t>
        </is>
      </c>
      <c r="E143" t="inlineStr">
        <is>
          <t>KARLSTAD</t>
        </is>
      </c>
      <c r="F143" t="inlineStr">
        <is>
          <t>Övriga statliga verk och myndigheter</t>
        </is>
      </c>
      <c r="G143" t="n">
        <v>9.300000000000001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18120-2019</t>
        </is>
      </c>
      <c r="B144" s="1" t="n">
        <v>43558</v>
      </c>
      <c r="C144" s="1" t="n">
        <v>45205</v>
      </c>
      <c r="D144" t="inlineStr">
        <is>
          <t>VÄRMLANDS LÄN</t>
        </is>
      </c>
      <c r="E144" t="inlineStr">
        <is>
          <t>KARLSTAD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18525-2019</t>
        </is>
      </c>
      <c r="B145" s="1" t="n">
        <v>43559</v>
      </c>
      <c r="C145" s="1" t="n">
        <v>45205</v>
      </c>
      <c r="D145" t="inlineStr">
        <is>
          <t>VÄRMLANDS LÄN</t>
        </is>
      </c>
      <c r="E145" t="inlineStr">
        <is>
          <t>KARLSTAD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18938-2019</t>
        </is>
      </c>
      <c r="B146" s="1" t="n">
        <v>43563</v>
      </c>
      <c r="C146" s="1" t="n">
        <v>45205</v>
      </c>
      <c r="D146" t="inlineStr">
        <is>
          <t>VÄRMLANDS LÄN</t>
        </is>
      </c>
      <c r="E146" t="inlineStr">
        <is>
          <t>KARLSTAD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19226-2019</t>
        </is>
      </c>
      <c r="B147" s="1" t="n">
        <v>43564</v>
      </c>
      <c r="C147" s="1" t="n">
        <v>45205</v>
      </c>
      <c r="D147" t="inlineStr">
        <is>
          <t>VÄRMLANDS LÄN</t>
        </is>
      </c>
      <c r="E147" t="inlineStr">
        <is>
          <t>KARLSTAD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19133-2019</t>
        </is>
      </c>
      <c r="B148" s="1" t="n">
        <v>43564</v>
      </c>
      <c r="C148" s="1" t="n">
        <v>45205</v>
      </c>
      <c r="D148" t="inlineStr">
        <is>
          <t>VÄRMLANDS LÄN</t>
        </is>
      </c>
      <c r="E148" t="inlineStr">
        <is>
          <t>KARLSTAD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19120-2019</t>
        </is>
      </c>
      <c r="B149" s="1" t="n">
        <v>43564</v>
      </c>
      <c r="C149" s="1" t="n">
        <v>45205</v>
      </c>
      <c r="D149" t="inlineStr">
        <is>
          <t>VÄRMLANDS LÄN</t>
        </is>
      </c>
      <c r="E149" t="inlineStr">
        <is>
          <t>KARLSTAD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20301-2019</t>
        </is>
      </c>
      <c r="B150" s="1" t="n">
        <v>43570</v>
      </c>
      <c r="C150" s="1" t="n">
        <v>45205</v>
      </c>
      <c r="D150" t="inlineStr">
        <is>
          <t>VÄRMLANDS LÄN</t>
        </is>
      </c>
      <c r="E150" t="inlineStr">
        <is>
          <t>KARLSTAD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20339-2019</t>
        </is>
      </c>
      <c r="B151" s="1" t="n">
        <v>43570</v>
      </c>
      <c r="C151" s="1" t="n">
        <v>45205</v>
      </c>
      <c r="D151" t="inlineStr">
        <is>
          <t>VÄRMLANDS LÄN</t>
        </is>
      </c>
      <c r="E151" t="inlineStr">
        <is>
          <t>KARLSTAD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20461-2019</t>
        </is>
      </c>
      <c r="B152" s="1" t="n">
        <v>43572</v>
      </c>
      <c r="C152" s="1" t="n">
        <v>45205</v>
      </c>
      <c r="D152" t="inlineStr">
        <is>
          <t>VÄRMLANDS LÄN</t>
        </is>
      </c>
      <c r="E152" t="inlineStr">
        <is>
          <t>KARLSTAD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20610-2019</t>
        </is>
      </c>
      <c r="B153" s="1" t="n">
        <v>43572</v>
      </c>
      <c r="C153" s="1" t="n">
        <v>45205</v>
      </c>
      <c r="D153" t="inlineStr">
        <is>
          <t>VÄRMLANDS LÄN</t>
        </is>
      </c>
      <c r="E153" t="inlineStr">
        <is>
          <t>KARLSTAD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20785-2019</t>
        </is>
      </c>
      <c r="B154" s="1" t="n">
        <v>43573</v>
      </c>
      <c r="C154" s="1" t="n">
        <v>45205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20852-2019</t>
        </is>
      </c>
      <c r="B155" s="1" t="n">
        <v>43577</v>
      </c>
      <c r="C155" s="1" t="n">
        <v>45205</v>
      </c>
      <c r="D155" t="inlineStr">
        <is>
          <t>VÄRMLANDS LÄN</t>
        </is>
      </c>
      <c r="E155" t="inlineStr">
        <is>
          <t>KARLSTAD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21350-2019</t>
        </is>
      </c>
      <c r="B156" s="1" t="n">
        <v>43579</v>
      </c>
      <c r="C156" s="1" t="n">
        <v>45205</v>
      </c>
      <c r="D156" t="inlineStr">
        <is>
          <t>VÄRMLANDS LÄN</t>
        </is>
      </c>
      <c r="E156" t="inlineStr">
        <is>
          <t>KARLSTAD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21573-2019</t>
        </is>
      </c>
      <c r="B157" s="1" t="n">
        <v>43580</v>
      </c>
      <c r="C157" s="1" t="n">
        <v>45205</v>
      </c>
      <c r="D157" t="inlineStr">
        <is>
          <t>VÄRMLANDS LÄN</t>
        </is>
      </c>
      <c r="E157" t="inlineStr">
        <is>
          <t>KARLSTAD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21899-2019</t>
        </is>
      </c>
      <c r="B158" s="1" t="n">
        <v>43584</v>
      </c>
      <c r="C158" s="1" t="n">
        <v>45205</v>
      </c>
      <c r="D158" t="inlineStr">
        <is>
          <t>VÄRMLANDS LÄN</t>
        </is>
      </c>
      <c r="E158" t="inlineStr">
        <is>
          <t>KARLSTAD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22386-2019</t>
        </is>
      </c>
      <c r="B159" s="1" t="n">
        <v>43587</v>
      </c>
      <c r="C159" s="1" t="n">
        <v>45205</v>
      </c>
      <c r="D159" t="inlineStr">
        <is>
          <t>VÄRMLANDS LÄN</t>
        </is>
      </c>
      <c r="E159" t="inlineStr">
        <is>
          <t>KARLSTAD</t>
        </is>
      </c>
      <c r="F159" t="inlineStr">
        <is>
          <t>Kommuner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22700-2019</t>
        </is>
      </c>
      <c r="B160" s="1" t="n">
        <v>43588</v>
      </c>
      <c r="C160" s="1" t="n">
        <v>45205</v>
      </c>
      <c r="D160" t="inlineStr">
        <is>
          <t>VÄRMLANDS LÄN</t>
        </is>
      </c>
      <c r="E160" t="inlineStr">
        <is>
          <t>KARLSTAD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22869-2019</t>
        </is>
      </c>
      <c r="B161" s="1" t="n">
        <v>43591</v>
      </c>
      <c r="C161" s="1" t="n">
        <v>45205</v>
      </c>
      <c r="D161" t="inlineStr">
        <is>
          <t>VÄRMLANDS LÄN</t>
        </is>
      </c>
      <c r="E161" t="inlineStr">
        <is>
          <t>KARLSTAD</t>
        </is>
      </c>
      <c r="F161" t="inlineStr">
        <is>
          <t>Kommuner</t>
        </is>
      </c>
      <c r="G161" t="n">
        <v>13.1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  <c r="U161">
        <f>HYPERLINK("https://klasma.github.io/Logging_KARLSTAD/knärot/A 22869-2019.png", "A 22869-2019")</f>
        <v/>
      </c>
      <c r="V161">
        <f>HYPERLINK("https://klasma.github.io/Logging_KARLSTAD/klagomål/A 22869-2019.docx", "A 22869-2019")</f>
        <v/>
      </c>
      <c r="W161">
        <f>HYPERLINK("https://klasma.github.io/Logging_KARLSTAD/klagomålsmail/A 22869-2019.docx", "A 22869-2019")</f>
        <v/>
      </c>
      <c r="X161">
        <f>HYPERLINK("https://klasma.github.io/Logging_KARLSTAD/tillsyn/A 22869-2019.docx", "A 22869-2019")</f>
        <v/>
      </c>
      <c r="Y161">
        <f>HYPERLINK("https://klasma.github.io/Logging_KARLSTAD/tillsynsmail/A 22869-2019.docx", "A 22869-2019")</f>
        <v/>
      </c>
    </row>
    <row r="162" ht="15" customHeight="1">
      <c r="A162" t="inlineStr">
        <is>
          <t>A 22914-2019</t>
        </is>
      </c>
      <c r="B162" s="1" t="n">
        <v>43591</v>
      </c>
      <c r="C162" s="1" t="n">
        <v>45205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22841-2019</t>
        </is>
      </c>
      <c r="B163" s="1" t="n">
        <v>43591</v>
      </c>
      <c r="C163" s="1" t="n">
        <v>45205</v>
      </c>
      <c r="D163" t="inlineStr">
        <is>
          <t>VÄRMLANDS LÄN</t>
        </is>
      </c>
      <c r="E163" t="inlineStr">
        <is>
          <t>KARLSTAD</t>
        </is>
      </c>
      <c r="F163" t="inlineStr">
        <is>
          <t>Bergvik skog väst AB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23045-2019</t>
        </is>
      </c>
      <c r="B164" s="1" t="n">
        <v>43591</v>
      </c>
      <c r="C164" s="1" t="n">
        <v>45205</v>
      </c>
      <c r="D164" t="inlineStr">
        <is>
          <t>VÄRMLANDS LÄN</t>
        </is>
      </c>
      <c r="E164" t="inlineStr">
        <is>
          <t>KARLSTAD</t>
        </is>
      </c>
      <c r="F164" t="inlineStr">
        <is>
          <t>Kommuner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23900-2019</t>
        </is>
      </c>
      <c r="B165" s="1" t="n">
        <v>43595</v>
      </c>
      <c r="C165" s="1" t="n">
        <v>45205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24028-2019</t>
        </is>
      </c>
      <c r="B166" s="1" t="n">
        <v>43598</v>
      </c>
      <c r="C166" s="1" t="n">
        <v>45205</v>
      </c>
      <c r="D166" t="inlineStr">
        <is>
          <t>VÄRMLANDS LÄN</t>
        </is>
      </c>
      <c r="E166" t="inlineStr">
        <is>
          <t>KARLSTAD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24348-2019</t>
        </is>
      </c>
      <c r="B167" s="1" t="n">
        <v>43599</v>
      </c>
      <c r="C167" s="1" t="n">
        <v>45205</v>
      </c>
      <c r="D167" t="inlineStr">
        <is>
          <t>VÄRMLANDS LÄN</t>
        </is>
      </c>
      <c r="E167" t="inlineStr">
        <is>
          <t>KARLSTAD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24400-2019</t>
        </is>
      </c>
      <c r="B168" s="1" t="n">
        <v>43600</v>
      </c>
      <c r="C168" s="1" t="n">
        <v>45205</v>
      </c>
      <c r="D168" t="inlineStr">
        <is>
          <t>VÄRMLANDS LÄN</t>
        </is>
      </c>
      <c r="E168" t="inlineStr">
        <is>
          <t>KARLSTAD</t>
        </is>
      </c>
      <c r="G168" t="n">
        <v>17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24401-2019</t>
        </is>
      </c>
      <c r="B169" s="1" t="n">
        <v>43600</v>
      </c>
      <c r="C169" s="1" t="n">
        <v>45205</v>
      </c>
      <c r="D169" t="inlineStr">
        <is>
          <t>VÄRMLANDS LÄN</t>
        </is>
      </c>
      <c r="E169" t="inlineStr">
        <is>
          <t>KARLSTAD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24624-2019</t>
        </is>
      </c>
      <c r="B170" s="1" t="n">
        <v>43601</v>
      </c>
      <c r="C170" s="1" t="n">
        <v>45205</v>
      </c>
      <c r="D170" t="inlineStr">
        <is>
          <t>VÄRMLANDS LÄN</t>
        </is>
      </c>
      <c r="E170" t="inlineStr">
        <is>
          <t>KARLSTAD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25045-2019</t>
        </is>
      </c>
      <c r="B171" s="1" t="n">
        <v>43604</v>
      </c>
      <c r="C171" s="1" t="n">
        <v>45205</v>
      </c>
      <c r="D171" t="inlineStr">
        <is>
          <t>VÄRMLANDS LÄN</t>
        </is>
      </c>
      <c r="E171" t="inlineStr">
        <is>
          <t>KARLSTAD</t>
        </is>
      </c>
      <c r="F171" t="inlineStr">
        <is>
          <t>Bergvik skog väst AB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25310-2019</t>
        </is>
      </c>
      <c r="B172" s="1" t="n">
        <v>43606</v>
      </c>
      <c r="C172" s="1" t="n">
        <v>45205</v>
      </c>
      <c r="D172" t="inlineStr">
        <is>
          <t>VÄRMLANDS LÄN</t>
        </is>
      </c>
      <c r="E172" t="inlineStr">
        <is>
          <t>KARLSTAD</t>
        </is>
      </c>
      <c r="G172" t="n">
        <v>15.8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25311-2019</t>
        </is>
      </c>
      <c r="B173" s="1" t="n">
        <v>43606</v>
      </c>
      <c r="C173" s="1" t="n">
        <v>45205</v>
      </c>
      <c r="D173" t="inlineStr">
        <is>
          <t>VÄRMLANDS LÄN</t>
        </is>
      </c>
      <c r="E173" t="inlineStr">
        <is>
          <t>KARLSTAD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25648-2019</t>
        </is>
      </c>
      <c r="B174" s="1" t="n">
        <v>43607</v>
      </c>
      <c r="C174" s="1" t="n">
        <v>45205</v>
      </c>
      <c r="D174" t="inlineStr">
        <is>
          <t>VÄRMLANDS LÄN</t>
        </is>
      </c>
      <c r="E174" t="inlineStr">
        <is>
          <t>KARLSTAD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25638-2019</t>
        </is>
      </c>
      <c r="B175" s="1" t="n">
        <v>43607</v>
      </c>
      <c r="C175" s="1" t="n">
        <v>45205</v>
      </c>
      <c r="D175" t="inlineStr">
        <is>
          <t>VÄRMLANDS LÄN</t>
        </is>
      </c>
      <c r="E175" t="inlineStr">
        <is>
          <t>KARLSTAD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26844-2019</t>
        </is>
      </c>
      <c r="B176" s="1" t="n">
        <v>43608</v>
      </c>
      <c r="C176" s="1" t="n">
        <v>45205</v>
      </c>
      <c r="D176" t="inlineStr">
        <is>
          <t>VÄRMLANDS LÄN</t>
        </is>
      </c>
      <c r="E176" t="inlineStr">
        <is>
          <t>KARLSTAD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27375-2019</t>
        </is>
      </c>
      <c r="B177" s="1" t="n">
        <v>43616</v>
      </c>
      <c r="C177" s="1" t="n">
        <v>45205</v>
      </c>
      <c r="D177" t="inlineStr">
        <is>
          <t>VÄRMLANDS LÄN</t>
        </is>
      </c>
      <c r="E177" t="inlineStr">
        <is>
          <t>KARLSTAD</t>
        </is>
      </c>
      <c r="F177" t="inlineStr">
        <is>
          <t>Bergvik skog väst AB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29097-2019</t>
        </is>
      </c>
      <c r="B178" s="1" t="n">
        <v>43628</v>
      </c>
      <c r="C178" s="1" t="n">
        <v>45205</v>
      </c>
      <c r="D178" t="inlineStr">
        <is>
          <t>VÄRMLANDS LÄN</t>
        </is>
      </c>
      <c r="E178" t="inlineStr">
        <is>
          <t>KARLSTAD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30641-2019</t>
        </is>
      </c>
      <c r="B179" s="1" t="n">
        <v>43636</v>
      </c>
      <c r="C179" s="1" t="n">
        <v>45205</v>
      </c>
      <c r="D179" t="inlineStr">
        <is>
          <t>VÄRMLANDS LÄN</t>
        </is>
      </c>
      <c r="E179" t="inlineStr">
        <is>
          <t>KARLSTAD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30975-2019</t>
        </is>
      </c>
      <c r="B180" s="1" t="n">
        <v>43639</v>
      </c>
      <c r="C180" s="1" t="n">
        <v>45205</v>
      </c>
      <c r="D180" t="inlineStr">
        <is>
          <t>VÄRMLANDS LÄN</t>
        </is>
      </c>
      <c r="E180" t="inlineStr">
        <is>
          <t>KARLSTAD</t>
        </is>
      </c>
      <c r="F180" t="inlineStr">
        <is>
          <t>Naturvårdsverket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31142-2019</t>
        </is>
      </c>
      <c r="B181" s="1" t="n">
        <v>43640</v>
      </c>
      <c r="C181" s="1" t="n">
        <v>45205</v>
      </c>
      <c r="D181" t="inlineStr">
        <is>
          <t>VÄRMLANDS LÄN</t>
        </is>
      </c>
      <c r="E181" t="inlineStr">
        <is>
          <t>KARLSTAD</t>
        </is>
      </c>
      <c r="F181" t="inlineStr">
        <is>
          <t>Bergvik skog väst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31631-2019</t>
        </is>
      </c>
      <c r="B182" s="1" t="n">
        <v>43642</v>
      </c>
      <c r="C182" s="1" t="n">
        <v>45205</v>
      </c>
      <c r="D182" t="inlineStr">
        <is>
          <t>VÄRMLANDS LÄN</t>
        </is>
      </c>
      <c r="E182" t="inlineStr">
        <is>
          <t>KARLSTAD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32406-2019</t>
        </is>
      </c>
      <c r="B183" s="1" t="n">
        <v>43644</v>
      </c>
      <c r="C183" s="1" t="n">
        <v>45205</v>
      </c>
      <c r="D183" t="inlineStr">
        <is>
          <t>VÄRMLANDS LÄN</t>
        </is>
      </c>
      <c r="E183" t="inlineStr">
        <is>
          <t>KARLSTAD</t>
        </is>
      </c>
      <c r="F183" t="inlineStr">
        <is>
          <t>Kommuner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34750-2019</t>
        </is>
      </c>
      <c r="B184" s="1" t="n">
        <v>43648</v>
      </c>
      <c r="C184" s="1" t="n">
        <v>45205</v>
      </c>
      <c r="D184" t="inlineStr">
        <is>
          <t>VÄRMLANDS LÄN</t>
        </is>
      </c>
      <c r="E184" t="inlineStr">
        <is>
          <t>KARLSTAD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32900-2019</t>
        </is>
      </c>
      <c r="B185" s="1" t="n">
        <v>43648</v>
      </c>
      <c r="C185" s="1" t="n">
        <v>45205</v>
      </c>
      <c r="D185" t="inlineStr">
        <is>
          <t>VÄRMLANDS LÄN</t>
        </is>
      </c>
      <c r="E185" t="inlineStr">
        <is>
          <t>KARLSTAD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35245-2019</t>
        </is>
      </c>
      <c r="B186" s="1" t="n">
        <v>43651</v>
      </c>
      <c r="C186" s="1" t="n">
        <v>45205</v>
      </c>
      <c r="D186" t="inlineStr">
        <is>
          <t>VÄRMLANDS LÄN</t>
        </is>
      </c>
      <c r="E186" t="inlineStr">
        <is>
          <t>KARLSTAD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38594-2019</t>
        </is>
      </c>
      <c r="B187" s="1" t="n">
        <v>43684</v>
      </c>
      <c r="C187" s="1" t="n">
        <v>45205</v>
      </c>
      <c r="D187" t="inlineStr">
        <is>
          <t>VÄRMLANDS LÄN</t>
        </is>
      </c>
      <c r="E187" t="inlineStr">
        <is>
          <t>KARLSTAD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40698-2019</t>
        </is>
      </c>
      <c r="B188" s="1" t="n">
        <v>43684</v>
      </c>
      <c r="C188" s="1" t="n">
        <v>45205</v>
      </c>
      <c r="D188" t="inlineStr">
        <is>
          <t>VÄRMLANDS LÄN</t>
        </is>
      </c>
      <c r="E188" t="inlineStr">
        <is>
          <t>KARLSTAD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41383-2019</t>
        </is>
      </c>
      <c r="B189" s="1" t="n">
        <v>43696</v>
      </c>
      <c r="C189" s="1" t="n">
        <v>45205</v>
      </c>
      <c r="D189" t="inlineStr">
        <is>
          <t>VÄRMLANDS LÄN</t>
        </is>
      </c>
      <c r="E189" t="inlineStr">
        <is>
          <t>KARLSTAD</t>
        </is>
      </c>
      <c r="G189" t="n">
        <v>7.1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41484-2019</t>
        </is>
      </c>
      <c r="B190" s="1" t="n">
        <v>43696</v>
      </c>
      <c r="C190" s="1" t="n">
        <v>45205</v>
      </c>
      <c r="D190" t="inlineStr">
        <is>
          <t>VÄRMLANDS LÄN</t>
        </is>
      </c>
      <c r="E190" t="inlineStr">
        <is>
          <t>KARLSTAD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44009-2019</t>
        </is>
      </c>
      <c r="B191" s="1" t="n">
        <v>43709</v>
      </c>
      <c r="C191" s="1" t="n">
        <v>45205</v>
      </c>
      <c r="D191" t="inlineStr">
        <is>
          <t>VÄRMLANDS LÄN</t>
        </is>
      </c>
      <c r="E191" t="inlineStr">
        <is>
          <t>KARLSTAD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44068-2019</t>
        </is>
      </c>
      <c r="B192" s="1" t="n">
        <v>43710</v>
      </c>
      <c r="C192" s="1" t="n">
        <v>45205</v>
      </c>
      <c r="D192" t="inlineStr">
        <is>
          <t>VÄRMLANDS LÄN</t>
        </is>
      </c>
      <c r="E192" t="inlineStr">
        <is>
          <t>KARLSTAD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45353-2019</t>
        </is>
      </c>
      <c r="B193" s="1" t="n">
        <v>43714</v>
      </c>
      <c r="C193" s="1" t="n">
        <v>45205</v>
      </c>
      <c r="D193" t="inlineStr">
        <is>
          <t>VÄRMLANDS LÄN</t>
        </is>
      </c>
      <c r="E193" t="inlineStr">
        <is>
          <t>KARLSTAD</t>
        </is>
      </c>
      <c r="F193" t="inlineStr">
        <is>
          <t>Bergvik skog väst AB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46389-2019</t>
        </is>
      </c>
      <c r="B194" s="1" t="n">
        <v>43714</v>
      </c>
      <c r="C194" s="1" t="n">
        <v>45205</v>
      </c>
      <c r="D194" t="inlineStr">
        <is>
          <t>VÄRMLANDS LÄN</t>
        </is>
      </c>
      <c r="E194" t="inlineStr">
        <is>
          <t>KARLSTAD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45365-2019</t>
        </is>
      </c>
      <c r="B195" s="1" t="n">
        <v>43714</v>
      </c>
      <c r="C195" s="1" t="n">
        <v>45205</v>
      </c>
      <c r="D195" t="inlineStr">
        <is>
          <t>VÄRMLANDS LÄN</t>
        </is>
      </c>
      <c r="E195" t="inlineStr">
        <is>
          <t>KARLSTAD</t>
        </is>
      </c>
      <c r="F195" t="inlineStr">
        <is>
          <t>Naturvårdsverket</t>
        </is>
      </c>
      <c r="G195" t="n">
        <v>6.3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45352-2019</t>
        </is>
      </c>
      <c r="B196" s="1" t="n">
        <v>43714</v>
      </c>
      <c r="C196" s="1" t="n">
        <v>45205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45370-2019</t>
        </is>
      </c>
      <c r="B197" s="1" t="n">
        <v>43714</v>
      </c>
      <c r="C197" s="1" t="n">
        <v>45205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46016-2019</t>
        </is>
      </c>
      <c r="B198" s="1" t="n">
        <v>43718</v>
      </c>
      <c r="C198" s="1" t="n">
        <v>45205</v>
      </c>
      <c r="D198" t="inlineStr">
        <is>
          <t>VÄRMLANDS LÄN</t>
        </is>
      </c>
      <c r="E198" t="inlineStr">
        <is>
          <t>KARLSTAD</t>
        </is>
      </c>
      <c r="F198" t="inlineStr">
        <is>
          <t>Bergvik skog väst AB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46536-2019</t>
        </is>
      </c>
      <c r="B199" s="1" t="n">
        <v>43719</v>
      </c>
      <c r="C199" s="1" t="n">
        <v>45205</v>
      </c>
      <c r="D199" t="inlineStr">
        <is>
          <t>VÄRMLANDS LÄN</t>
        </is>
      </c>
      <c r="E199" t="inlineStr">
        <is>
          <t>KARLSTAD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47188-2019</t>
        </is>
      </c>
      <c r="B200" s="1" t="n">
        <v>43721</v>
      </c>
      <c r="C200" s="1" t="n">
        <v>45205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47700-2019</t>
        </is>
      </c>
      <c r="B201" s="1" t="n">
        <v>43724</v>
      </c>
      <c r="C201" s="1" t="n">
        <v>45205</v>
      </c>
      <c r="D201" t="inlineStr">
        <is>
          <t>VÄRMLANDS LÄN</t>
        </is>
      </c>
      <c r="E201" t="inlineStr">
        <is>
          <t>KARLSTAD</t>
        </is>
      </c>
      <c r="F201" t="inlineStr">
        <is>
          <t>Bergvik skog väst AB</t>
        </is>
      </c>
      <c r="G201" t="n">
        <v>11.9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51551-2019</t>
        </is>
      </c>
      <c r="B202" s="1" t="n">
        <v>43733</v>
      </c>
      <c r="C202" s="1" t="n">
        <v>45205</v>
      </c>
      <c r="D202" t="inlineStr">
        <is>
          <t>VÄRMLANDS LÄN</t>
        </is>
      </c>
      <c r="E202" t="inlineStr">
        <is>
          <t>KARLSTAD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51761-2019</t>
        </is>
      </c>
      <c r="B203" s="1" t="n">
        <v>43741</v>
      </c>
      <c r="C203" s="1" t="n">
        <v>45205</v>
      </c>
      <c r="D203" t="inlineStr">
        <is>
          <t>VÄRMLANDS LÄN</t>
        </is>
      </c>
      <c r="E203" t="inlineStr">
        <is>
          <t>KARLSTAD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54442-2019</t>
        </is>
      </c>
      <c r="B204" s="1" t="n">
        <v>43747</v>
      </c>
      <c r="C204" s="1" t="n">
        <v>45205</v>
      </c>
      <c r="D204" t="inlineStr">
        <is>
          <t>VÄRMLANDS LÄN</t>
        </is>
      </c>
      <c r="E204" t="inlineStr">
        <is>
          <t>KARLSTAD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54438-2019</t>
        </is>
      </c>
      <c r="B205" s="1" t="n">
        <v>43747</v>
      </c>
      <c r="C205" s="1" t="n">
        <v>45205</v>
      </c>
      <c r="D205" t="inlineStr">
        <is>
          <t>VÄRMLANDS LÄN</t>
        </is>
      </c>
      <c r="E205" t="inlineStr">
        <is>
          <t>KARLSTAD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53451-2019</t>
        </is>
      </c>
      <c r="B206" s="1" t="n">
        <v>43748</v>
      </c>
      <c r="C206" s="1" t="n">
        <v>45205</v>
      </c>
      <c r="D206" t="inlineStr">
        <is>
          <t>VÄRMLANDS LÄN</t>
        </is>
      </c>
      <c r="E206" t="inlineStr">
        <is>
          <t>KARLSTAD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54890-2019</t>
        </is>
      </c>
      <c r="B207" s="1" t="n">
        <v>43749</v>
      </c>
      <c r="C207" s="1" t="n">
        <v>45205</v>
      </c>
      <c r="D207" t="inlineStr">
        <is>
          <t>VÄRMLANDS LÄN</t>
        </is>
      </c>
      <c r="E207" t="inlineStr">
        <is>
          <t>KARLSTAD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55371-2019</t>
        </is>
      </c>
      <c r="B208" s="1" t="n">
        <v>43754</v>
      </c>
      <c r="C208" s="1" t="n">
        <v>45205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54904-2019</t>
        </is>
      </c>
      <c r="B209" s="1" t="n">
        <v>43755</v>
      </c>
      <c r="C209" s="1" t="n">
        <v>45205</v>
      </c>
      <c r="D209" t="inlineStr">
        <is>
          <t>VÄRMLANDS LÄN</t>
        </is>
      </c>
      <c r="E209" t="inlineStr">
        <is>
          <t>KARLSTAD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55367-2019</t>
        </is>
      </c>
      <c r="B210" s="1" t="n">
        <v>43756</v>
      </c>
      <c r="C210" s="1" t="n">
        <v>45205</v>
      </c>
      <c r="D210" t="inlineStr">
        <is>
          <t>VÄRMLANDS LÄN</t>
        </is>
      </c>
      <c r="E210" t="inlineStr">
        <is>
          <t>KARLSTAD</t>
        </is>
      </c>
      <c r="G210" t="n">
        <v>13.1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55846-2019</t>
        </is>
      </c>
      <c r="B211" s="1" t="n">
        <v>43759</v>
      </c>
      <c r="C211" s="1" t="n">
        <v>45205</v>
      </c>
      <c r="D211" t="inlineStr">
        <is>
          <t>VÄRMLANDS LÄN</t>
        </is>
      </c>
      <c r="E211" t="inlineStr">
        <is>
          <t>KARLSTAD</t>
        </is>
      </c>
      <c r="F211" t="inlineStr">
        <is>
          <t>Bergvik skog väst AB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56863-2019</t>
        </is>
      </c>
      <c r="B212" s="1" t="n">
        <v>43759</v>
      </c>
      <c r="C212" s="1" t="n">
        <v>45205</v>
      </c>
      <c r="D212" t="inlineStr">
        <is>
          <t>VÄRMLANDS LÄN</t>
        </is>
      </c>
      <c r="E212" t="inlineStr">
        <is>
          <t>KARLSTAD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55561-2019</t>
        </is>
      </c>
      <c r="B213" s="1" t="n">
        <v>43759</v>
      </c>
      <c r="C213" s="1" t="n">
        <v>45205</v>
      </c>
      <c r="D213" t="inlineStr">
        <is>
          <t>VÄRMLANDS LÄN</t>
        </is>
      </c>
      <c r="E213" t="inlineStr">
        <is>
          <t>KARLSTAD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55575-2019</t>
        </is>
      </c>
      <c r="B214" s="1" t="n">
        <v>43760</v>
      </c>
      <c r="C214" s="1" t="n">
        <v>45205</v>
      </c>
      <c r="D214" t="inlineStr">
        <is>
          <t>VÄRMLANDS LÄN</t>
        </is>
      </c>
      <c r="E214" t="inlineStr">
        <is>
          <t>KARLSTAD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45205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45205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45205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45205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45205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45205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45205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45205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45205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45205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45205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45205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45205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45205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45205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45205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45205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45205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45205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45205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45205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45205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45205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45205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45205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45205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45205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45205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45205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45205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45205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45205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45205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45205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45205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45205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45205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45205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45205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45205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45205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45205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45205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45205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45205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45205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45205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45205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45205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45205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45205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45205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45205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45205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45205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45205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45205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45205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45205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45205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45205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45205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45205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45205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45205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45205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45205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45205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45205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45205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45205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45205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45205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45205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45205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45205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45205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45205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45205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45205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45205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45205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45205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45205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45205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45205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45205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45205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45205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45205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45205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45205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45205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45205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45205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45205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45205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45205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45205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45205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45205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45205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45205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45205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45205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45205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45205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45205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45205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45205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45205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45205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45205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45205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45205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45205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45205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45205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45205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45205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45205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45205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45205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45205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45205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45205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45205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45205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45205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45205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45205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45205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45205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45205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45205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45205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45205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45205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45205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45205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45205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45205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45205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45205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45205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45205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45205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45205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45205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45205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45205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45205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45205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45205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45205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45205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45205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45205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45205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45205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45205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45205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45205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45205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45205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45205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45205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45205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45205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45205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45205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45205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45205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45205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45205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45205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45205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45205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45205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45205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45205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45205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45205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45205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45205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45205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45205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45205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45205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45205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45205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45205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45205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45205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45205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45205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45205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45205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45205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45205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45205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45205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45205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45205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45205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45205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45205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45205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45205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45205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45205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45205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45205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45205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45205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45205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45205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45205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45205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45205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45205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45205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45205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45205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45205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45205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45205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45205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45205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45205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45205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45205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45205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45205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45205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45205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45205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45205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45205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45205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45205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45205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45205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45205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45205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45205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45205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45205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45205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45205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45205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45205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45205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45205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45205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45205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45205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45205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45205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45205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45205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45205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45205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45205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45205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45205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45205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45205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45205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45205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45205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45205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45205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45205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45205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45205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45205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45205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45205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45205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45205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45205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45205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45205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45205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45205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45205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45205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45205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45205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45205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45205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45205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45205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45205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45205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45205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45205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45205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45205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45205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45205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45205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45205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45205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45205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45205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45205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45205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45205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45205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45205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45205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45205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45205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45205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45205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45205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45205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45205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45205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45205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45205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45205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45205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45205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45205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45205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55764-2022.png", "A 55764-2022")</f>
        <v/>
      </c>
      <c r="V542">
        <f>HYPERLINK("https://klasma.github.io/Logging_KARLSTAD/klagomål/A 55764-2022.docx", "A 55764-2022")</f>
        <v/>
      </c>
      <c r="W542">
        <f>HYPERLINK("https://klasma.github.io/Logging_KARLSTAD/klagomålsmail/A 55764-2022.docx", "A 55764-2022")</f>
        <v/>
      </c>
      <c r="X542">
        <f>HYPERLINK("https://klasma.github.io/Logging_KARLSTAD/tillsyn/A 55764-2022.docx", "A 55764-2022")</f>
        <v/>
      </c>
      <c r="Y542">
        <f>HYPERLINK("https://klasma.github.io/Logging_KARLSTAD/tillsynsmail/A 55764-2022.docx", "A 55764-2022")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45205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45205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45205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45205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45205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45205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45205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45205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45205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45205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45205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45205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45205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45205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45205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45205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45205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45205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45205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45205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45205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45205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45205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45205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45205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45205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45205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45205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45205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45205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45205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45205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45205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45205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45205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45205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45205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45205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45205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45205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45205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45205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45205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45205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45205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45205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45205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45205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45205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45205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45205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45205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45205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45205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45205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45205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45205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45205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45205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45205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45205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45205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45205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45205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45205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45205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45205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45205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45205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45205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45205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45205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45205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45205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45205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45205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45205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45205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45205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45205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45205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45205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45205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45205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45205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45205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45205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45205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45205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45205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45205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45205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45205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45205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45205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45205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45205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45205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45205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45205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45205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45205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45205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45205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45205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45205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45205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45205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45205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45205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41510-2023</t>
        </is>
      </c>
      <c r="B653" s="1" t="n">
        <v>45175</v>
      </c>
      <c r="C653" s="1" t="n">
        <v>45205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44364-2023</t>
        </is>
      </c>
      <c r="B654" s="1" t="n">
        <v>45188</v>
      </c>
      <c r="C654" s="1" t="n">
        <v>45205</v>
      </c>
      <c r="D654" t="inlineStr">
        <is>
          <t>VÄRMLANDS LÄN</t>
        </is>
      </c>
      <c r="E654" t="inlineStr">
        <is>
          <t>KARLSTAD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46097-2023</t>
        </is>
      </c>
      <c r="B655" s="1" t="n">
        <v>45196</v>
      </c>
      <c r="C655" s="1" t="n">
        <v>45205</v>
      </c>
      <c r="D655" t="inlineStr">
        <is>
          <t>VÄRMLANDS LÄN</t>
        </is>
      </c>
      <c r="E655" t="inlineStr">
        <is>
          <t>KARLSTAD</t>
        </is>
      </c>
      <c r="G655" t="n">
        <v>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46096-2023</t>
        </is>
      </c>
      <c r="B656" s="1" t="n">
        <v>45196</v>
      </c>
      <c r="C656" s="1" t="n">
        <v>45205</v>
      </c>
      <c r="D656" t="inlineStr">
        <is>
          <t>VÄRMLANDS LÄN</t>
        </is>
      </c>
      <c r="E656" t="inlineStr">
        <is>
          <t>KARLSTAD</t>
        </is>
      </c>
      <c r="G656" t="n">
        <v>7.2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46098-2023</t>
        </is>
      </c>
      <c r="B657" s="1" t="n">
        <v>45196</v>
      </c>
      <c r="C657" s="1" t="n">
        <v>45205</v>
      </c>
      <c r="D657" t="inlineStr">
        <is>
          <t>VÄRMLANDS LÄN</t>
        </is>
      </c>
      <c r="E657" t="inlineStr">
        <is>
          <t>KARLSTAD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46967-2023</t>
        </is>
      </c>
      <c r="B658" s="1" t="n">
        <v>45201</v>
      </c>
      <c r="C658" s="1" t="n">
        <v>45205</v>
      </c>
      <c r="D658" t="inlineStr">
        <is>
          <t>VÄRMLANDS LÄN</t>
        </is>
      </c>
      <c r="E658" t="inlineStr">
        <is>
          <t>KARLSTAD</t>
        </is>
      </c>
      <c r="G658" t="n">
        <v>2.2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2023-10-06T15:47:18Z</dcterms:created>
  <dcterms:modified xmlns:dcterms="http://purl.org/dc/terms/" xmlns:xsi="http://www.w3.org/2001/XMLSchema-instance" xsi:type="dcterms:W3CDTF">2023-10-06T15:47:18Z</dcterms:modified>
</cp:coreProperties>
</file>