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HYPERLINK("https://klasma.github.io/Logging_0760/karta/A 63207-2019 karta.png", "A 63207-2019")</f>
        <v/>
      </c>
      <c r="V2">
        <f>HYPERLINK("https://klasma.github.io/Logging_0760/klagomål/A 63207-2019 klagomål.docx", "A 63207-2019")</f>
        <v/>
      </c>
      <c r="W2">
        <f>HYPERLINK("https://klasma.github.io/Logging_0760/klagomålsmail/A 63207-2019 klagomålsmail.docx", "A 63207-2019")</f>
        <v/>
      </c>
      <c r="X2">
        <f>HYPERLINK("https://klasma.github.io/Logging_0760/tillsyn/A 63207-2019 tillsyn.docx", "A 63207-2019")</f>
        <v/>
      </c>
      <c r="Y2">
        <f>HYPERLINK("https://klasma.github.io/Logging_0760/tillsynsmail/A 63207-2019 tillsynsmail.docx",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HYPERLINK("https://klasma.github.io/Logging_0760/karta/A 19990-2019 karta.png", "A 19990-2019")</f>
        <v/>
      </c>
      <c r="V3">
        <f>HYPERLINK("https://klasma.github.io/Logging_0760/klagomål/A 19990-2019 klagomål.docx", "A 19990-2019")</f>
        <v/>
      </c>
      <c r="W3">
        <f>HYPERLINK("https://klasma.github.io/Logging_0760/klagomålsmail/A 19990-2019 klagomålsmail.docx", "A 19990-2019")</f>
        <v/>
      </c>
      <c r="X3">
        <f>HYPERLINK("https://klasma.github.io/Logging_0760/tillsyn/A 19990-2019 tillsyn.docx", "A 19990-2019")</f>
        <v/>
      </c>
      <c r="Y3">
        <f>HYPERLINK("https://klasma.github.io/Logging_0760/tillsynsmail/A 19990-2019 tillsynsmail.docx",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HYPERLINK("https://klasma.github.io/Logging_0780/karta/A 15558-2023 karta.png", "A 15558-2023")</f>
        <v/>
      </c>
      <c r="V4">
        <f>HYPERLINK("https://klasma.github.io/Logging_0780/klagomål/A 15558-2023 klagomål.docx", "A 15558-2023")</f>
        <v/>
      </c>
      <c r="W4">
        <f>HYPERLINK("https://klasma.github.io/Logging_0780/klagomålsmail/A 15558-2023 klagomålsmail.docx", "A 15558-2023")</f>
        <v/>
      </c>
      <c r="X4">
        <f>HYPERLINK("https://klasma.github.io/Logging_0780/tillsyn/A 15558-2023 tillsyn.docx", "A 15558-2023")</f>
        <v/>
      </c>
      <c r="Y4">
        <f>HYPERLINK("https://klasma.github.io/Logging_0780/tillsynsmail/A 15558-2023 tillsynsmail.docx",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HYPERLINK("https://klasma.github.io/Logging_0764/karta/A 35531-2023 karta.png", "A 35531-2023")</f>
        <v/>
      </c>
      <c r="V5">
        <f>HYPERLINK("https://klasma.github.io/Logging_0764/klagomål/A 35531-2023 klagomål.docx", "A 35531-2023")</f>
        <v/>
      </c>
      <c r="W5">
        <f>HYPERLINK("https://klasma.github.io/Logging_0764/klagomålsmail/A 35531-2023 klagomålsmail.docx", "A 35531-2023")</f>
        <v/>
      </c>
      <c r="X5">
        <f>HYPERLINK("https://klasma.github.io/Logging_0764/tillsyn/A 35531-2023 tillsyn.docx", "A 35531-2023")</f>
        <v/>
      </c>
      <c r="Y5">
        <f>HYPERLINK("https://klasma.github.io/Logging_0764/tillsynsmail/A 35531-2023 tillsynsmail.docx",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HYPERLINK("https://klasma.github.io/Logging_0761/karta/A 18960-2021 karta.png", "A 18960-2021")</f>
        <v/>
      </c>
      <c r="V6">
        <f>HYPERLINK("https://klasma.github.io/Logging_0761/klagomål/A 18960-2021 klagomål.docx", "A 18960-2021")</f>
        <v/>
      </c>
      <c r="W6">
        <f>HYPERLINK("https://klasma.github.io/Logging_0761/klagomålsmail/A 18960-2021 klagomålsmail.docx", "A 18960-2021")</f>
        <v/>
      </c>
      <c r="X6">
        <f>HYPERLINK("https://klasma.github.io/Logging_0761/tillsyn/A 18960-2021 tillsyn.docx", "A 18960-2021")</f>
        <v/>
      </c>
      <c r="Y6">
        <f>HYPERLINK("https://klasma.github.io/Logging_0761/tillsynsmail/A 18960-2021 tillsynsmail.docx",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HYPERLINK("https://klasma.github.io/Logging_0760/karta/A 21249-2022 karta.png", "A 21249-2022")</f>
        <v/>
      </c>
      <c r="U7">
        <f>HYPERLINK("https://klasma.github.io/Logging_0760/knärot/A 21249-2022 knärot.png", "A 21249-2022")</f>
        <v/>
      </c>
      <c r="V7">
        <f>HYPERLINK("https://klasma.github.io/Logging_0760/klagomål/A 21249-2022 klagomål.docx", "A 21249-2022")</f>
        <v/>
      </c>
      <c r="W7">
        <f>HYPERLINK("https://klasma.github.io/Logging_0760/klagomålsmail/A 21249-2022 klagomålsmail.docx", "A 21249-2022")</f>
        <v/>
      </c>
      <c r="X7">
        <f>HYPERLINK("https://klasma.github.io/Logging_0760/tillsyn/A 21249-2022 tillsyn.docx", "A 21249-2022")</f>
        <v/>
      </c>
      <c r="Y7">
        <f>HYPERLINK("https://klasma.github.io/Logging_0760/tillsynsmail/A 21249-2022 tillsynsmail.docx",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HYPERLINK("https://klasma.github.io/Logging_0760/karta/A 44963-2019 karta.png", "A 44963-2019")</f>
        <v/>
      </c>
      <c r="V8">
        <f>HYPERLINK("https://klasma.github.io/Logging_0760/klagomål/A 44963-2019 klagomål.docx", "A 44963-2019")</f>
        <v/>
      </c>
      <c r="W8">
        <f>HYPERLINK("https://klasma.github.io/Logging_0760/klagomålsmail/A 44963-2019 klagomålsmail.docx", "A 44963-2019")</f>
        <v/>
      </c>
      <c r="X8">
        <f>HYPERLINK("https://klasma.github.io/Logging_0760/tillsyn/A 44963-2019 tillsyn.docx", "A 44963-2019")</f>
        <v/>
      </c>
      <c r="Y8">
        <f>HYPERLINK("https://klasma.github.io/Logging_0760/tillsynsmail/A 44963-2019 tillsynsmail.docx",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HYPERLINK("https://klasma.github.io/Logging_0760/karta/A 46465-2019 karta.png", "A 46465-2019")</f>
        <v/>
      </c>
      <c r="U9">
        <f>HYPERLINK("https://klasma.github.io/Logging_0760/knärot/A 46465-2019 knärot.png", "A 46465-2019")</f>
        <v/>
      </c>
      <c r="V9">
        <f>HYPERLINK("https://klasma.github.io/Logging_0760/klagomål/A 46465-2019 klagomål.docx", "A 46465-2019")</f>
        <v/>
      </c>
      <c r="W9">
        <f>HYPERLINK("https://klasma.github.io/Logging_0760/klagomålsmail/A 46465-2019 klagomålsmail.docx", "A 46465-2019")</f>
        <v/>
      </c>
      <c r="X9">
        <f>HYPERLINK("https://klasma.github.io/Logging_0760/tillsyn/A 46465-2019 tillsyn.docx", "A 46465-2019")</f>
        <v/>
      </c>
      <c r="Y9">
        <f>HYPERLINK("https://klasma.github.io/Logging_0760/tillsynsmail/A 46465-2019 tillsynsmail.docx",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HYPERLINK("https://klasma.github.io/Logging_0760/karta/A 51291-2020 karta.png", "A 51291-2020")</f>
        <v/>
      </c>
      <c r="V10">
        <f>HYPERLINK("https://klasma.github.io/Logging_0760/klagomål/A 51291-2020 klagomål.docx", "A 51291-2020")</f>
        <v/>
      </c>
      <c r="W10">
        <f>HYPERLINK("https://klasma.github.io/Logging_0760/klagomålsmail/A 51291-2020 klagomålsmail.docx", "A 51291-2020")</f>
        <v/>
      </c>
      <c r="X10">
        <f>HYPERLINK("https://klasma.github.io/Logging_0760/tillsyn/A 51291-2020 tillsyn.docx", "A 51291-2020")</f>
        <v/>
      </c>
      <c r="Y10">
        <f>HYPERLINK("https://klasma.github.io/Logging_0760/tillsynsmail/A 51291-2020 tillsynsmail.docx",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HYPERLINK("https://klasma.github.io/Logging_0763/karta/A 10361-2023 karta.png", "A 10361-2023")</f>
        <v/>
      </c>
      <c r="V11">
        <f>HYPERLINK("https://klasma.github.io/Logging_0763/klagomål/A 10361-2023 klagomål.docx", "A 10361-2023")</f>
        <v/>
      </c>
      <c r="W11">
        <f>HYPERLINK("https://klasma.github.io/Logging_0763/klagomålsmail/A 10361-2023 klagomålsmail.docx", "A 10361-2023")</f>
        <v/>
      </c>
      <c r="X11">
        <f>HYPERLINK("https://klasma.github.io/Logging_0763/tillsyn/A 10361-2023 tillsyn.docx", "A 10361-2023")</f>
        <v/>
      </c>
      <c r="Y11">
        <f>HYPERLINK("https://klasma.github.io/Logging_0763/tillsynsmail/A 10361-2023 tillsynsmail.docx",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HYPERLINK("https://klasma.github.io/Logging_0764/karta/A 44551-2020 karta.png", "A 44551-2020")</f>
        <v/>
      </c>
      <c r="V12">
        <f>HYPERLINK("https://klasma.github.io/Logging_0764/klagomål/A 44551-2020 klagomål.docx", "A 44551-2020")</f>
        <v/>
      </c>
      <c r="W12">
        <f>HYPERLINK("https://klasma.github.io/Logging_0764/klagomålsmail/A 44551-2020 klagomålsmail.docx", "A 44551-2020")</f>
        <v/>
      </c>
      <c r="X12">
        <f>HYPERLINK("https://klasma.github.io/Logging_0764/tillsyn/A 44551-2020 tillsyn.docx", "A 44551-2020")</f>
        <v/>
      </c>
      <c r="Y12">
        <f>HYPERLINK("https://klasma.github.io/Logging_0764/tillsynsmail/A 44551-2020 tillsynsmail.docx",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HYPERLINK("https://klasma.github.io/Logging_0760/karta/A 59898-2021 karta.png", "A 59898-2021")</f>
        <v/>
      </c>
      <c r="U13">
        <f>HYPERLINK("https://klasma.github.io/Logging_0760/knärot/A 59898-2021 knärot.png", "A 59898-2021")</f>
        <v/>
      </c>
      <c r="V13">
        <f>HYPERLINK("https://klasma.github.io/Logging_0760/klagomål/A 59898-2021 klagomål.docx", "A 59898-2021")</f>
        <v/>
      </c>
      <c r="W13">
        <f>HYPERLINK("https://klasma.github.io/Logging_0760/klagomålsmail/A 59898-2021 klagomålsmail.docx", "A 59898-2021")</f>
        <v/>
      </c>
      <c r="X13">
        <f>HYPERLINK("https://klasma.github.io/Logging_0760/tillsyn/A 59898-2021 tillsyn.docx", "A 59898-2021")</f>
        <v/>
      </c>
      <c r="Y13">
        <f>HYPERLINK("https://klasma.github.io/Logging_0760/tillsynsmail/A 59898-2021 tillsynsmail.docx",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HYPERLINK("https://klasma.github.io/Logging_0760/karta/A 25497-2023 karta.png", "A 25497-2023")</f>
        <v/>
      </c>
      <c r="V14">
        <f>HYPERLINK("https://klasma.github.io/Logging_0760/klagomål/A 25497-2023 klagomål.docx", "A 25497-2023")</f>
        <v/>
      </c>
      <c r="W14">
        <f>HYPERLINK("https://klasma.github.io/Logging_0760/klagomålsmail/A 25497-2023 klagomålsmail.docx", "A 25497-2023")</f>
        <v/>
      </c>
      <c r="X14">
        <f>HYPERLINK("https://klasma.github.io/Logging_0760/tillsyn/A 25497-2023 tillsyn.docx", "A 25497-2023")</f>
        <v/>
      </c>
      <c r="Y14">
        <f>HYPERLINK("https://klasma.github.io/Logging_0760/tillsynsmail/A 25497-2023 tillsynsmail.docx",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HYPERLINK("https://klasma.github.io/Logging_0767/karta/A 37062-2021 karta.png", "A 37062-2021")</f>
        <v/>
      </c>
      <c r="V15">
        <f>HYPERLINK("https://klasma.github.io/Logging_0767/klagomål/A 37062-2021 klagomål.docx", "A 37062-2021")</f>
        <v/>
      </c>
      <c r="W15">
        <f>HYPERLINK("https://klasma.github.io/Logging_0767/klagomålsmail/A 37062-2021 klagomålsmail.docx", "A 37062-2021")</f>
        <v/>
      </c>
      <c r="X15">
        <f>HYPERLINK("https://klasma.github.io/Logging_0767/tillsyn/A 37062-2021 tillsyn.docx", "A 37062-2021")</f>
        <v/>
      </c>
      <c r="Y15">
        <f>HYPERLINK("https://klasma.github.io/Logging_0767/tillsynsmail/A 37062-2021 tillsynsmail.docx",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HYPERLINK("https://klasma.github.io/Logging_0780/karta/A 58841-2022 karta.png", "A 58841-2022")</f>
        <v/>
      </c>
      <c r="V16">
        <f>HYPERLINK("https://klasma.github.io/Logging_0780/klagomål/A 58841-2022 klagomål.docx", "A 58841-2022")</f>
        <v/>
      </c>
      <c r="W16">
        <f>HYPERLINK("https://klasma.github.io/Logging_0780/klagomålsmail/A 58841-2022 klagomålsmail.docx", "A 58841-2022")</f>
        <v/>
      </c>
      <c r="X16">
        <f>HYPERLINK("https://klasma.github.io/Logging_0780/tillsyn/A 58841-2022 tillsyn.docx", "A 58841-2022")</f>
        <v/>
      </c>
      <c r="Y16">
        <f>HYPERLINK("https://klasma.github.io/Logging_0780/tillsynsmail/A 58841-2022 tillsynsmail.docx",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HYPERLINK("https://klasma.github.io/Logging_0761/karta/A 59299-2018 karta.png", "A 59299-2018")</f>
        <v/>
      </c>
      <c r="V17">
        <f>HYPERLINK("https://klasma.github.io/Logging_0761/klagomål/A 59299-2018 klagomål.docx", "A 59299-2018")</f>
        <v/>
      </c>
      <c r="W17">
        <f>HYPERLINK("https://klasma.github.io/Logging_0761/klagomålsmail/A 59299-2018 klagomålsmail.docx", "A 59299-2018")</f>
        <v/>
      </c>
      <c r="X17">
        <f>HYPERLINK("https://klasma.github.io/Logging_0761/tillsyn/A 59299-2018 tillsyn.docx", "A 59299-2018")</f>
        <v/>
      </c>
      <c r="Y17">
        <f>HYPERLINK("https://klasma.github.io/Logging_0761/tillsynsmail/A 59299-2018 tillsynsmail.docx",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HYPERLINK("https://klasma.github.io/Logging_0760/karta/A 8442-2019 karta.png", "A 8442-2019")</f>
        <v/>
      </c>
      <c r="V18">
        <f>HYPERLINK("https://klasma.github.io/Logging_0760/klagomål/A 8442-2019 klagomål.docx", "A 8442-2019")</f>
        <v/>
      </c>
      <c r="W18">
        <f>HYPERLINK("https://klasma.github.io/Logging_0760/klagomålsmail/A 8442-2019 klagomålsmail.docx", "A 8442-2019")</f>
        <v/>
      </c>
      <c r="X18">
        <f>HYPERLINK("https://klasma.github.io/Logging_0760/tillsyn/A 8442-2019 tillsyn.docx", "A 8442-2019")</f>
        <v/>
      </c>
      <c r="Y18">
        <f>HYPERLINK("https://klasma.github.io/Logging_0760/tillsynsmail/A 8442-2019 tillsynsmail.docx",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HYPERLINK("https://klasma.github.io/Logging_0781/karta/A 9801-2019 karta.png", "A 9801-2019")</f>
        <v/>
      </c>
      <c r="V19">
        <f>HYPERLINK("https://klasma.github.io/Logging_0781/klagomål/A 9801-2019 klagomål.docx", "A 9801-2019")</f>
        <v/>
      </c>
      <c r="W19">
        <f>HYPERLINK("https://klasma.github.io/Logging_0781/klagomålsmail/A 9801-2019 klagomålsmail.docx", "A 9801-2019")</f>
        <v/>
      </c>
      <c r="X19">
        <f>HYPERLINK("https://klasma.github.io/Logging_0781/tillsyn/A 9801-2019 tillsyn.docx", "A 9801-2019")</f>
        <v/>
      </c>
      <c r="Y19">
        <f>HYPERLINK("https://klasma.github.io/Logging_0781/tillsynsmail/A 9801-2019 tillsynsmail.docx",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HYPERLINK("https://klasma.github.io/Logging_0760/karta/A 31375-2019 karta.png", "A 31375-2019")</f>
        <v/>
      </c>
      <c r="U20">
        <f>HYPERLINK("https://klasma.github.io/Logging_0760/knärot/A 31375-2019 knärot.png", "A 31375-2019")</f>
        <v/>
      </c>
      <c r="V20">
        <f>HYPERLINK("https://klasma.github.io/Logging_0760/klagomål/A 31375-2019 klagomål.docx", "A 31375-2019")</f>
        <v/>
      </c>
      <c r="W20">
        <f>HYPERLINK("https://klasma.github.io/Logging_0760/klagomålsmail/A 31375-2019 klagomålsmail.docx", "A 31375-2019")</f>
        <v/>
      </c>
      <c r="X20">
        <f>HYPERLINK("https://klasma.github.io/Logging_0760/tillsyn/A 31375-2019 tillsyn.docx", "A 31375-2019")</f>
        <v/>
      </c>
      <c r="Y20">
        <f>HYPERLINK("https://klasma.github.io/Logging_0760/tillsynsmail/A 31375-2019 tillsynsmail.docx",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HYPERLINK("https://klasma.github.io/Logging_0760/karta/A 48542-2019 karta.png", "A 48542-2019")</f>
        <v/>
      </c>
      <c r="U21">
        <f>HYPERLINK("https://klasma.github.io/Logging_0760/knärot/A 48542-2019 knärot.png", "A 48542-2019")</f>
        <v/>
      </c>
      <c r="V21">
        <f>HYPERLINK("https://klasma.github.io/Logging_0760/klagomål/A 48542-2019 klagomål.docx", "A 48542-2019")</f>
        <v/>
      </c>
      <c r="W21">
        <f>HYPERLINK("https://klasma.github.io/Logging_0760/klagomålsmail/A 48542-2019 klagomålsmail.docx", "A 48542-2019")</f>
        <v/>
      </c>
      <c r="X21">
        <f>HYPERLINK("https://klasma.github.io/Logging_0760/tillsyn/A 48542-2019 tillsyn.docx", "A 48542-2019")</f>
        <v/>
      </c>
      <c r="Y21">
        <f>HYPERLINK("https://klasma.github.io/Logging_0760/tillsynsmail/A 48542-2019 tillsynsmail.docx",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HYPERLINK("https://klasma.github.io/Logging_0767/karta/A 17273-2020 karta.png", "A 17273-2020")</f>
        <v/>
      </c>
      <c r="V22">
        <f>HYPERLINK("https://klasma.github.io/Logging_0767/klagomål/A 17273-2020 klagomål.docx", "A 17273-2020")</f>
        <v/>
      </c>
      <c r="W22">
        <f>HYPERLINK("https://klasma.github.io/Logging_0767/klagomålsmail/A 17273-2020 klagomålsmail.docx", "A 17273-2020")</f>
        <v/>
      </c>
      <c r="X22">
        <f>HYPERLINK("https://klasma.github.io/Logging_0767/tillsyn/A 17273-2020 tillsyn.docx", "A 17273-2020")</f>
        <v/>
      </c>
      <c r="Y22">
        <f>HYPERLINK("https://klasma.github.io/Logging_0767/tillsynsmail/A 17273-2020 tillsynsmail.docx",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HYPERLINK("https://klasma.github.io/Logging_0765/karta/A 39880-2020 karta.png", "A 39880-2020")</f>
        <v/>
      </c>
      <c r="V23">
        <f>HYPERLINK("https://klasma.github.io/Logging_0765/klagomål/A 39880-2020 klagomål.docx", "A 39880-2020")</f>
        <v/>
      </c>
      <c r="W23">
        <f>HYPERLINK("https://klasma.github.io/Logging_0765/klagomålsmail/A 39880-2020 klagomålsmail.docx", "A 39880-2020")</f>
        <v/>
      </c>
      <c r="X23">
        <f>HYPERLINK("https://klasma.github.io/Logging_0765/tillsyn/A 39880-2020 tillsyn.docx", "A 39880-2020")</f>
        <v/>
      </c>
      <c r="Y23">
        <f>HYPERLINK("https://klasma.github.io/Logging_0765/tillsynsmail/A 39880-2020 tillsynsmail.docx",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HYPERLINK("https://klasma.github.io/Logging_0763/karta/A 54233-2020 karta.png", "A 54233-2020")</f>
        <v/>
      </c>
      <c r="V24">
        <f>HYPERLINK("https://klasma.github.io/Logging_0763/klagomål/A 54233-2020 klagomål.docx", "A 54233-2020")</f>
        <v/>
      </c>
      <c r="W24">
        <f>HYPERLINK("https://klasma.github.io/Logging_0763/klagomålsmail/A 54233-2020 klagomålsmail.docx", "A 54233-2020")</f>
        <v/>
      </c>
      <c r="X24">
        <f>HYPERLINK("https://klasma.github.io/Logging_0763/tillsyn/A 54233-2020 tillsyn.docx", "A 54233-2020")</f>
        <v/>
      </c>
      <c r="Y24">
        <f>HYPERLINK("https://klasma.github.io/Logging_0763/tillsynsmail/A 54233-2020 tillsynsmail.docx",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HYPERLINK("https://klasma.github.io/Logging_0760/karta/A 66733-2020 karta.png", "A 66733-2020")</f>
        <v/>
      </c>
      <c r="U25">
        <f>HYPERLINK("https://klasma.github.io/Logging_0760/knärot/A 66733-2020 knärot.png", "A 66733-2020")</f>
        <v/>
      </c>
      <c r="V25">
        <f>HYPERLINK("https://klasma.github.io/Logging_0760/klagomål/A 66733-2020 klagomål.docx", "A 66733-2020")</f>
        <v/>
      </c>
      <c r="W25">
        <f>HYPERLINK("https://klasma.github.io/Logging_0760/klagomålsmail/A 66733-2020 klagomålsmail.docx", "A 66733-2020")</f>
        <v/>
      </c>
      <c r="X25">
        <f>HYPERLINK("https://klasma.github.io/Logging_0760/tillsyn/A 66733-2020 tillsyn.docx", "A 66733-2020")</f>
        <v/>
      </c>
      <c r="Y25">
        <f>HYPERLINK("https://klasma.github.io/Logging_0760/tillsynsmail/A 66733-2020 tillsynsmail.docx",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HYPERLINK("https://klasma.github.io/Logging_0760/karta/A 12048-2021 karta.png", "A 12048-2021")</f>
        <v/>
      </c>
      <c r="U26">
        <f>HYPERLINK("https://klasma.github.io/Logging_0760/knärot/A 12048-2021 knärot.png", "A 12048-2021")</f>
        <v/>
      </c>
      <c r="V26">
        <f>HYPERLINK("https://klasma.github.io/Logging_0760/klagomål/A 12048-2021 klagomål.docx", "A 12048-2021")</f>
        <v/>
      </c>
      <c r="W26">
        <f>HYPERLINK("https://klasma.github.io/Logging_0760/klagomålsmail/A 12048-2021 klagomålsmail.docx", "A 12048-2021")</f>
        <v/>
      </c>
      <c r="X26">
        <f>HYPERLINK("https://klasma.github.io/Logging_0760/tillsyn/A 12048-2021 tillsyn.docx", "A 12048-2021")</f>
        <v/>
      </c>
      <c r="Y26">
        <f>HYPERLINK("https://klasma.github.io/Logging_0760/tillsynsmail/A 12048-2021 tillsynsmail.docx",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HYPERLINK("https://klasma.github.io/Logging_0760/karta/A 62812-2021 karta.png", "A 62812-2021")</f>
        <v/>
      </c>
      <c r="V27">
        <f>HYPERLINK("https://klasma.github.io/Logging_0760/klagomål/A 62812-2021 klagomål.docx", "A 62812-2021")</f>
        <v/>
      </c>
      <c r="W27">
        <f>HYPERLINK("https://klasma.github.io/Logging_0760/klagomålsmail/A 62812-2021 klagomålsmail.docx", "A 62812-2021")</f>
        <v/>
      </c>
      <c r="X27">
        <f>HYPERLINK("https://klasma.github.io/Logging_0760/tillsyn/A 62812-2021 tillsyn.docx", "A 62812-2021")</f>
        <v/>
      </c>
      <c r="Y27">
        <f>HYPERLINK("https://klasma.github.io/Logging_0760/tillsynsmail/A 62812-2021 tillsynsmail.docx",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HYPERLINK("https://klasma.github.io/Logging_0781/karta/A 42551-2018 karta.png", "A 42551-2018")</f>
        <v/>
      </c>
      <c r="V28">
        <f>HYPERLINK("https://klasma.github.io/Logging_0781/klagomål/A 42551-2018 klagomål.docx", "A 42551-2018")</f>
        <v/>
      </c>
      <c r="W28">
        <f>HYPERLINK("https://klasma.github.io/Logging_0781/klagomålsmail/A 42551-2018 klagomålsmail.docx", "A 42551-2018")</f>
        <v/>
      </c>
      <c r="X28">
        <f>HYPERLINK("https://klasma.github.io/Logging_0781/tillsyn/A 42551-2018 tillsyn.docx", "A 42551-2018")</f>
        <v/>
      </c>
      <c r="Y28">
        <f>HYPERLINK("https://klasma.github.io/Logging_0781/tillsynsmail/A 42551-2018 tillsynsmail.docx",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HYPERLINK("https://klasma.github.io/Logging_0760/karta/A 52330-2018 karta.png", "A 52330-2018")</f>
        <v/>
      </c>
      <c r="V29">
        <f>HYPERLINK("https://klasma.github.io/Logging_0760/klagomål/A 52330-2018 klagomål.docx", "A 52330-2018")</f>
        <v/>
      </c>
      <c r="W29">
        <f>HYPERLINK("https://klasma.github.io/Logging_0760/klagomålsmail/A 52330-2018 klagomålsmail.docx", "A 52330-2018")</f>
        <v/>
      </c>
      <c r="X29">
        <f>HYPERLINK("https://klasma.github.io/Logging_0760/tillsyn/A 52330-2018 tillsyn.docx", "A 52330-2018")</f>
        <v/>
      </c>
      <c r="Y29">
        <f>HYPERLINK("https://klasma.github.io/Logging_0760/tillsynsmail/A 52330-2018 tillsynsmail.docx",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HYPERLINK("https://klasma.github.io/Logging_0781/karta/A 51646-2019 karta.png", "A 51646-2019")</f>
        <v/>
      </c>
      <c r="U30">
        <f>HYPERLINK("https://klasma.github.io/Logging_0781/knärot/A 51646-2019 knärot.png", "A 51646-2019")</f>
        <v/>
      </c>
      <c r="V30">
        <f>HYPERLINK("https://klasma.github.io/Logging_0781/klagomål/A 51646-2019 klagomål.docx", "A 51646-2019")</f>
        <v/>
      </c>
      <c r="W30">
        <f>HYPERLINK("https://klasma.github.io/Logging_0781/klagomålsmail/A 51646-2019 klagomålsmail.docx", "A 51646-2019")</f>
        <v/>
      </c>
      <c r="X30">
        <f>HYPERLINK("https://klasma.github.io/Logging_0781/tillsyn/A 51646-2019 tillsyn.docx", "A 51646-2019")</f>
        <v/>
      </c>
      <c r="Y30">
        <f>HYPERLINK("https://klasma.github.io/Logging_0781/tillsynsmail/A 51646-2019 tillsynsmail.docx",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HYPERLINK("https://klasma.github.io/Logging_0764/karta/A 21810-2021 karta.png", "A 21810-2021")</f>
        <v/>
      </c>
      <c r="V31">
        <f>HYPERLINK("https://klasma.github.io/Logging_0764/klagomål/A 21810-2021 klagomål.docx", "A 21810-2021")</f>
        <v/>
      </c>
      <c r="W31">
        <f>HYPERLINK("https://klasma.github.io/Logging_0764/klagomålsmail/A 21810-2021 klagomålsmail.docx", "A 21810-2021")</f>
        <v/>
      </c>
      <c r="X31">
        <f>HYPERLINK("https://klasma.github.io/Logging_0764/tillsyn/A 21810-2021 tillsyn.docx", "A 21810-2021")</f>
        <v/>
      </c>
      <c r="Y31">
        <f>HYPERLINK("https://klasma.github.io/Logging_0764/tillsynsmail/A 21810-2021 tillsynsmail.docx",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HYPERLINK("https://klasma.github.io/Logging_0767/karta/A 27619-2022 karta.png", "A 27619-2022")</f>
        <v/>
      </c>
      <c r="V32">
        <f>HYPERLINK("https://klasma.github.io/Logging_0767/klagomål/A 27619-2022 klagomål.docx", "A 27619-2022")</f>
        <v/>
      </c>
      <c r="W32">
        <f>HYPERLINK("https://klasma.github.io/Logging_0767/klagomålsmail/A 27619-2022 klagomålsmail.docx", "A 27619-2022")</f>
        <v/>
      </c>
      <c r="X32">
        <f>HYPERLINK("https://klasma.github.io/Logging_0767/tillsyn/A 27619-2022 tillsyn.docx", "A 27619-2022")</f>
        <v/>
      </c>
      <c r="Y32">
        <f>HYPERLINK("https://klasma.github.io/Logging_0767/tillsynsmail/A 27619-2022 tillsynsmail.docx",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HYPERLINK("https://klasma.github.io/Logging_0763/karta/A 34130-2022 karta.png", "A 34130-2022")</f>
        <v/>
      </c>
      <c r="V33">
        <f>HYPERLINK("https://klasma.github.io/Logging_0763/klagomål/A 34130-2022 klagomål.docx", "A 34130-2022")</f>
        <v/>
      </c>
      <c r="W33">
        <f>HYPERLINK("https://klasma.github.io/Logging_0763/klagomålsmail/A 34130-2022 klagomålsmail.docx", "A 34130-2022")</f>
        <v/>
      </c>
      <c r="X33">
        <f>HYPERLINK("https://klasma.github.io/Logging_0763/tillsyn/A 34130-2022 tillsyn.docx", "A 34130-2022")</f>
        <v/>
      </c>
      <c r="Y33">
        <f>HYPERLINK("https://klasma.github.io/Logging_0763/tillsynsmail/A 34130-2022 tillsynsmail.docx",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HYPERLINK("https://klasma.github.io/Logging_0763/karta/A 11575-2023 karta.png", "A 11575-2023")</f>
        <v/>
      </c>
      <c r="U34">
        <f>HYPERLINK("https://klasma.github.io/Logging_0763/knärot/A 11575-2023 knärot.png", "A 11575-2023")</f>
        <v/>
      </c>
      <c r="V34">
        <f>HYPERLINK("https://klasma.github.io/Logging_0763/klagomål/A 11575-2023 klagomål.docx", "A 11575-2023")</f>
        <v/>
      </c>
      <c r="W34">
        <f>HYPERLINK("https://klasma.github.io/Logging_0763/klagomålsmail/A 11575-2023 klagomålsmail.docx", "A 11575-2023")</f>
        <v/>
      </c>
      <c r="X34">
        <f>HYPERLINK("https://klasma.github.io/Logging_0763/tillsyn/A 11575-2023 tillsyn.docx", "A 11575-2023")</f>
        <v/>
      </c>
      <c r="Y34">
        <f>HYPERLINK("https://klasma.github.io/Logging_0763/tillsynsmail/A 11575-2023 tillsynsmail.docx",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HYPERLINK("https://klasma.github.io/Logging_0760/karta/A 12013-2023 karta.png", "A 12013-2023")</f>
        <v/>
      </c>
      <c r="U35">
        <f>HYPERLINK("https://klasma.github.io/Logging_0760/knärot/A 12013-2023 knärot.png", "A 12013-2023")</f>
        <v/>
      </c>
      <c r="V35">
        <f>HYPERLINK("https://klasma.github.io/Logging_0760/klagomål/A 12013-2023 klagomål.docx", "A 12013-2023")</f>
        <v/>
      </c>
      <c r="W35">
        <f>HYPERLINK("https://klasma.github.io/Logging_0760/klagomålsmail/A 12013-2023 klagomålsmail.docx", "A 12013-2023")</f>
        <v/>
      </c>
      <c r="X35">
        <f>HYPERLINK("https://klasma.github.io/Logging_0760/tillsyn/A 12013-2023 tillsyn.docx", "A 12013-2023")</f>
        <v/>
      </c>
      <c r="Y35">
        <f>HYPERLINK("https://klasma.github.io/Logging_0760/tillsynsmail/A 12013-2023 tillsynsmail.docx",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HYPERLINK("https://klasma.github.io/Logging_0780/karta/A 24339-2023 karta.png", "A 24339-2023")</f>
        <v/>
      </c>
      <c r="V36">
        <f>HYPERLINK("https://klasma.github.io/Logging_0780/klagomål/A 24339-2023 klagomål.docx", "A 24339-2023")</f>
        <v/>
      </c>
      <c r="W36">
        <f>HYPERLINK("https://klasma.github.io/Logging_0780/klagomålsmail/A 24339-2023 klagomålsmail.docx", "A 24339-2023")</f>
        <v/>
      </c>
      <c r="X36">
        <f>HYPERLINK("https://klasma.github.io/Logging_0780/tillsyn/A 24339-2023 tillsyn.docx", "A 24339-2023")</f>
        <v/>
      </c>
      <c r="Y36">
        <f>HYPERLINK("https://klasma.github.io/Logging_0780/tillsynsmail/A 24339-2023 tillsynsmail.docx",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45212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HYPERLINK("https://klasma.github.io/Logging_0760/karta/A 45777-2023 karta.png", "A 45777-2023")</f>
        <v/>
      </c>
      <c r="U37">
        <f>HYPERLINK("https://klasma.github.io/Logging_0760/knärot/A 45777-2023 knärot.png", "A 45777-2023")</f>
        <v/>
      </c>
      <c r="V37">
        <f>HYPERLINK("https://klasma.github.io/Logging_0760/klagomål/A 45777-2023 klagomål.docx", "A 45777-2023")</f>
        <v/>
      </c>
      <c r="W37">
        <f>HYPERLINK("https://klasma.github.io/Logging_0760/klagomålsmail/A 45777-2023 klagomålsmail.docx", "A 45777-2023")</f>
        <v/>
      </c>
      <c r="X37">
        <f>HYPERLINK("https://klasma.github.io/Logging_0760/tillsyn/A 45777-2023 tillsyn.docx", "A 45777-2023")</f>
        <v/>
      </c>
      <c r="Y37">
        <f>HYPERLINK("https://klasma.github.io/Logging_0760/tillsynsmail/A 45777-2023 tillsynsmail.docx",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45212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HYPERLINK("https://klasma.github.io/Logging_0765/karta/A 49206-2023 karta.png", "A 49206-2023")</f>
        <v/>
      </c>
      <c r="V38">
        <f>HYPERLINK("https://klasma.github.io/Logging_0765/klagomål/A 49206-2023 klagomål.docx", "A 49206-2023")</f>
        <v/>
      </c>
      <c r="W38">
        <f>HYPERLINK("https://klasma.github.io/Logging_0765/klagomålsmail/A 49206-2023 klagomålsmail.docx", "A 49206-2023")</f>
        <v/>
      </c>
      <c r="X38">
        <f>HYPERLINK("https://klasma.github.io/Logging_0765/tillsyn/A 49206-2023 tillsyn.docx", "A 49206-2023")</f>
        <v/>
      </c>
      <c r="Y38">
        <f>HYPERLINK("https://klasma.github.io/Logging_0765/tillsynsmail/A 49206-2023 tillsynsmail.docx",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45212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HYPERLINK("https://klasma.github.io/Logging_0780/karta/A 40960-2018 karta.png", "A 40960-2018")</f>
        <v/>
      </c>
      <c r="V39">
        <f>HYPERLINK("https://klasma.github.io/Logging_0780/klagomål/A 40960-2018 klagomål.docx", "A 40960-2018")</f>
        <v/>
      </c>
      <c r="W39">
        <f>HYPERLINK("https://klasma.github.io/Logging_0780/klagomålsmail/A 40960-2018 klagomålsmail.docx", "A 40960-2018")</f>
        <v/>
      </c>
      <c r="X39">
        <f>HYPERLINK("https://klasma.github.io/Logging_0780/tillsyn/A 40960-2018 tillsyn.docx", "A 40960-2018")</f>
        <v/>
      </c>
      <c r="Y39">
        <f>HYPERLINK("https://klasma.github.io/Logging_0780/tillsynsmail/A 40960-2018 tillsynsmail.docx",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45212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HYPERLINK("https://klasma.github.io/Logging_0781/karta/A 59861-2018 karta.png", "A 59861-2018")</f>
        <v/>
      </c>
      <c r="V40">
        <f>HYPERLINK("https://klasma.github.io/Logging_0781/klagomål/A 59861-2018 klagomål.docx", "A 59861-2018")</f>
        <v/>
      </c>
      <c r="W40">
        <f>HYPERLINK("https://klasma.github.io/Logging_0781/klagomålsmail/A 59861-2018 klagomålsmail.docx", "A 59861-2018")</f>
        <v/>
      </c>
      <c r="X40">
        <f>HYPERLINK("https://klasma.github.io/Logging_0781/tillsyn/A 59861-2018 tillsyn.docx", "A 59861-2018")</f>
        <v/>
      </c>
      <c r="Y40">
        <f>HYPERLINK("https://klasma.github.io/Logging_0781/tillsynsmail/A 59861-2018 tillsynsmail.docx",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45212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HYPERLINK("https://klasma.github.io/Logging_0780/karta/A 4723-2019 karta.png", "A 4723-2019")</f>
        <v/>
      </c>
      <c r="V41">
        <f>HYPERLINK("https://klasma.github.io/Logging_0780/klagomål/A 4723-2019 klagomål.docx", "A 4723-2019")</f>
        <v/>
      </c>
      <c r="W41">
        <f>HYPERLINK("https://klasma.github.io/Logging_0780/klagomålsmail/A 4723-2019 klagomålsmail.docx", "A 4723-2019")</f>
        <v/>
      </c>
      <c r="X41">
        <f>HYPERLINK("https://klasma.github.io/Logging_0780/tillsyn/A 4723-2019 tillsyn.docx", "A 4723-2019")</f>
        <v/>
      </c>
      <c r="Y41">
        <f>HYPERLINK("https://klasma.github.io/Logging_0780/tillsynsmail/A 4723-2019 tillsynsmail.docx",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45212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HYPERLINK("https://klasma.github.io/Logging_0764/karta/A 4593-2019 karta.png", "A 4593-2019")</f>
        <v/>
      </c>
      <c r="V42">
        <f>HYPERLINK("https://klasma.github.io/Logging_0764/klagomål/A 4593-2019 klagomål.docx", "A 4593-2019")</f>
        <v/>
      </c>
      <c r="W42">
        <f>HYPERLINK("https://klasma.github.io/Logging_0764/klagomålsmail/A 4593-2019 klagomålsmail.docx", "A 4593-2019")</f>
        <v/>
      </c>
      <c r="X42">
        <f>HYPERLINK("https://klasma.github.io/Logging_0764/tillsyn/A 4593-2019 tillsyn.docx", "A 4593-2019")</f>
        <v/>
      </c>
      <c r="Y42">
        <f>HYPERLINK("https://klasma.github.io/Logging_0764/tillsynsmail/A 4593-2019 tillsynsmail.docx",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45212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HYPERLINK("https://klasma.github.io/Logging_0760/karta/A 7092-2019 karta.png", "A 7092-2019")</f>
        <v/>
      </c>
      <c r="V43">
        <f>HYPERLINK("https://klasma.github.io/Logging_0760/klagomål/A 7092-2019 klagomål.docx", "A 7092-2019")</f>
        <v/>
      </c>
      <c r="W43">
        <f>HYPERLINK("https://klasma.github.io/Logging_0760/klagomålsmail/A 7092-2019 klagomålsmail.docx", "A 7092-2019")</f>
        <v/>
      </c>
      <c r="X43">
        <f>HYPERLINK("https://klasma.github.io/Logging_0760/tillsyn/A 7092-2019 tillsyn.docx", "A 7092-2019")</f>
        <v/>
      </c>
      <c r="Y43">
        <f>HYPERLINK("https://klasma.github.io/Logging_0760/tillsynsmail/A 7092-2019 tillsynsmail.docx",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45212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HYPERLINK("https://klasma.github.io/Logging_0780/karta/A 7555-2019 karta.png", "A 7555-2019")</f>
        <v/>
      </c>
      <c r="V44">
        <f>HYPERLINK("https://klasma.github.io/Logging_0780/klagomål/A 7555-2019 klagomål.docx", "A 7555-2019")</f>
        <v/>
      </c>
      <c r="W44">
        <f>HYPERLINK("https://klasma.github.io/Logging_0780/klagomålsmail/A 7555-2019 klagomålsmail.docx", "A 7555-2019")</f>
        <v/>
      </c>
      <c r="X44">
        <f>HYPERLINK("https://klasma.github.io/Logging_0780/tillsyn/A 7555-2019 tillsyn.docx", "A 7555-2019")</f>
        <v/>
      </c>
      <c r="Y44">
        <f>HYPERLINK("https://klasma.github.io/Logging_0780/tillsynsmail/A 7555-2019 tillsynsmail.docx",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45212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HYPERLINK("https://klasma.github.io/Logging_0781/karta/A 17321-2019 karta.png", "A 17321-2019")</f>
        <v/>
      </c>
      <c r="U45">
        <f>HYPERLINK("https://klasma.github.io/Logging_0781/knärot/A 17321-2019 knärot.png", "A 17321-2019")</f>
        <v/>
      </c>
      <c r="V45">
        <f>HYPERLINK("https://klasma.github.io/Logging_0781/klagomål/A 17321-2019 klagomål.docx", "A 17321-2019")</f>
        <v/>
      </c>
      <c r="W45">
        <f>HYPERLINK("https://klasma.github.io/Logging_0781/klagomålsmail/A 17321-2019 klagomålsmail.docx", "A 17321-2019")</f>
        <v/>
      </c>
      <c r="X45">
        <f>HYPERLINK("https://klasma.github.io/Logging_0781/tillsyn/A 17321-2019 tillsyn.docx", "A 17321-2019")</f>
        <v/>
      </c>
      <c r="Y45">
        <f>HYPERLINK("https://klasma.github.io/Logging_0781/tillsynsmail/A 17321-2019 tillsynsmail.docx",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45212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HYPERLINK("https://klasma.github.io/Logging_0764/karta/A 18593-2019 karta.png", "A 18593-2019")</f>
        <v/>
      </c>
      <c r="V46">
        <f>HYPERLINK("https://klasma.github.io/Logging_0764/klagomål/A 18593-2019 klagomål.docx", "A 18593-2019")</f>
        <v/>
      </c>
      <c r="W46">
        <f>HYPERLINK("https://klasma.github.io/Logging_0764/klagomålsmail/A 18593-2019 klagomålsmail.docx", "A 18593-2019")</f>
        <v/>
      </c>
      <c r="X46">
        <f>HYPERLINK("https://klasma.github.io/Logging_0764/tillsyn/A 18593-2019 tillsyn.docx", "A 18593-2019")</f>
        <v/>
      </c>
      <c r="Y46">
        <f>HYPERLINK("https://klasma.github.io/Logging_0764/tillsynsmail/A 18593-2019 tillsynsmail.docx",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45212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HYPERLINK("https://klasma.github.io/Logging_0780/karta/A 37015-2019 karta.png", "A 37015-2019")</f>
        <v/>
      </c>
      <c r="V47">
        <f>HYPERLINK("https://klasma.github.io/Logging_0780/klagomål/A 37015-2019 klagomål.docx", "A 37015-2019")</f>
        <v/>
      </c>
      <c r="W47">
        <f>HYPERLINK("https://klasma.github.io/Logging_0780/klagomålsmail/A 37015-2019 klagomålsmail.docx", "A 37015-2019")</f>
        <v/>
      </c>
      <c r="X47">
        <f>HYPERLINK("https://klasma.github.io/Logging_0780/tillsyn/A 37015-2019 tillsyn.docx", "A 37015-2019")</f>
        <v/>
      </c>
      <c r="Y47">
        <f>HYPERLINK("https://klasma.github.io/Logging_0780/tillsynsmail/A 37015-2019 tillsynsmail.docx",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45212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HYPERLINK("https://klasma.github.io/Logging_0760/karta/A 40210-2019 karta.png", "A 40210-2019")</f>
        <v/>
      </c>
      <c r="V48">
        <f>HYPERLINK("https://klasma.github.io/Logging_0760/klagomål/A 40210-2019 klagomål.docx", "A 40210-2019")</f>
        <v/>
      </c>
      <c r="W48">
        <f>HYPERLINK("https://klasma.github.io/Logging_0760/klagomålsmail/A 40210-2019 klagomålsmail.docx", "A 40210-2019")</f>
        <v/>
      </c>
      <c r="X48">
        <f>HYPERLINK("https://klasma.github.io/Logging_0760/tillsyn/A 40210-2019 tillsyn.docx", "A 40210-2019")</f>
        <v/>
      </c>
      <c r="Y48">
        <f>HYPERLINK("https://klasma.github.io/Logging_0760/tillsynsmail/A 40210-2019 tillsynsmail.docx",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45212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HYPERLINK("https://klasma.github.io/Logging_0781/karta/A 41523-2019 karta.png", "A 41523-2019")</f>
        <v/>
      </c>
      <c r="V49">
        <f>HYPERLINK("https://klasma.github.io/Logging_0781/klagomål/A 41523-2019 klagomål.docx", "A 41523-2019")</f>
        <v/>
      </c>
      <c r="W49">
        <f>HYPERLINK("https://klasma.github.io/Logging_0781/klagomålsmail/A 41523-2019 klagomålsmail.docx", "A 41523-2019")</f>
        <v/>
      </c>
      <c r="X49">
        <f>HYPERLINK("https://klasma.github.io/Logging_0781/tillsyn/A 41523-2019 tillsyn.docx", "A 41523-2019")</f>
        <v/>
      </c>
      <c r="Y49">
        <f>HYPERLINK("https://klasma.github.io/Logging_0781/tillsynsmail/A 41523-2019 tillsynsmail.docx",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45212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HYPERLINK("https://klasma.github.io/Logging_0781/karta/A 48017-2019 karta.png", "A 48017-2019")</f>
        <v/>
      </c>
      <c r="V50">
        <f>HYPERLINK("https://klasma.github.io/Logging_0781/klagomål/A 48017-2019 klagomål.docx", "A 48017-2019")</f>
        <v/>
      </c>
      <c r="W50">
        <f>HYPERLINK("https://klasma.github.io/Logging_0781/klagomålsmail/A 48017-2019 klagomålsmail.docx", "A 48017-2019")</f>
        <v/>
      </c>
      <c r="X50">
        <f>HYPERLINK("https://klasma.github.io/Logging_0781/tillsyn/A 48017-2019 tillsyn.docx", "A 48017-2019")</f>
        <v/>
      </c>
      <c r="Y50">
        <f>HYPERLINK("https://klasma.github.io/Logging_0781/tillsynsmail/A 48017-2019 tillsynsmail.docx",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45212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HYPERLINK("https://klasma.github.io/Logging_0764/karta/A 48668-2019 karta.png", "A 48668-2019")</f>
        <v/>
      </c>
      <c r="V51">
        <f>HYPERLINK("https://klasma.github.io/Logging_0764/klagomål/A 48668-2019 klagomål.docx", "A 48668-2019")</f>
        <v/>
      </c>
      <c r="W51">
        <f>HYPERLINK("https://klasma.github.io/Logging_0764/klagomålsmail/A 48668-2019 klagomålsmail.docx", "A 48668-2019")</f>
        <v/>
      </c>
      <c r="X51">
        <f>HYPERLINK("https://klasma.github.io/Logging_0764/tillsyn/A 48668-2019 tillsyn.docx", "A 48668-2019")</f>
        <v/>
      </c>
      <c r="Y51">
        <f>HYPERLINK("https://klasma.github.io/Logging_0764/tillsynsmail/A 48668-2019 tillsynsmail.docx",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45212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HYPERLINK("https://klasma.github.io/Logging_0781/karta/A 51645-2019 karta.png", "A 51645-2019")</f>
        <v/>
      </c>
      <c r="U52">
        <f>HYPERLINK("https://klasma.github.io/Logging_0781/knärot/A 51645-2019 knärot.png", "A 51645-2019")</f>
        <v/>
      </c>
      <c r="V52">
        <f>HYPERLINK("https://klasma.github.io/Logging_0781/klagomål/A 51645-2019 klagomål.docx", "A 51645-2019")</f>
        <v/>
      </c>
      <c r="W52">
        <f>HYPERLINK("https://klasma.github.io/Logging_0781/klagomålsmail/A 51645-2019 klagomålsmail.docx", "A 51645-2019")</f>
        <v/>
      </c>
      <c r="X52">
        <f>HYPERLINK("https://klasma.github.io/Logging_0781/tillsyn/A 51645-2019 tillsyn.docx", "A 51645-2019")</f>
        <v/>
      </c>
      <c r="Y52">
        <f>HYPERLINK("https://klasma.github.io/Logging_0781/tillsynsmail/A 51645-2019 tillsynsmail.docx",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45212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HYPERLINK("https://klasma.github.io/Logging_0780/karta/A 66340-2019 karta.png", "A 66340-2019")</f>
        <v/>
      </c>
      <c r="V53">
        <f>HYPERLINK("https://klasma.github.io/Logging_0780/klagomål/A 66340-2019 klagomål.docx", "A 66340-2019")</f>
        <v/>
      </c>
      <c r="W53">
        <f>HYPERLINK("https://klasma.github.io/Logging_0780/klagomålsmail/A 66340-2019 klagomålsmail.docx", "A 66340-2019")</f>
        <v/>
      </c>
      <c r="X53">
        <f>HYPERLINK("https://klasma.github.io/Logging_0780/tillsyn/A 66340-2019 tillsyn.docx", "A 66340-2019")</f>
        <v/>
      </c>
      <c r="Y53">
        <f>HYPERLINK("https://klasma.github.io/Logging_0780/tillsynsmail/A 66340-2019 tillsynsmail.docx",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45212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HYPERLINK("https://klasma.github.io/Logging_0763/karta/A 4736-2020 karta.png", "A 4736-2020")</f>
        <v/>
      </c>
      <c r="U54">
        <f>HYPERLINK("https://klasma.github.io/Logging_0763/knärot/A 4736-2020 knärot.png", "A 4736-2020")</f>
        <v/>
      </c>
      <c r="V54">
        <f>HYPERLINK("https://klasma.github.io/Logging_0763/klagomål/A 4736-2020 klagomål.docx", "A 4736-2020")</f>
        <v/>
      </c>
      <c r="W54">
        <f>HYPERLINK("https://klasma.github.io/Logging_0763/klagomålsmail/A 4736-2020 klagomålsmail.docx", "A 4736-2020")</f>
        <v/>
      </c>
      <c r="X54">
        <f>HYPERLINK("https://klasma.github.io/Logging_0763/tillsyn/A 4736-2020 tillsyn.docx", "A 4736-2020")</f>
        <v/>
      </c>
      <c r="Y54">
        <f>HYPERLINK("https://klasma.github.io/Logging_0763/tillsynsmail/A 4736-2020 tillsynsmail.docx",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45212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HYPERLINK("https://klasma.github.io/Logging_0760/karta/A 24921-2020 karta.png", "A 24921-2020")</f>
        <v/>
      </c>
      <c r="U55">
        <f>HYPERLINK("https://klasma.github.io/Logging_0760/knärot/A 24921-2020 knärot.png", "A 24921-2020")</f>
        <v/>
      </c>
      <c r="V55">
        <f>HYPERLINK("https://klasma.github.io/Logging_0760/klagomål/A 24921-2020 klagomål.docx", "A 24921-2020")</f>
        <v/>
      </c>
      <c r="W55">
        <f>HYPERLINK("https://klasma.github.io/Logging_0760/klagomålsmail/A 24921-2020 klagomålsmail.docx", "A 24921-2020")</f>
        <v/>
      </c>
      <c r="X55">
        <f>HYPERLINK("https://klasma.github.io/Logging_0760/tillsyn/A 24921-2020 tillsyn.docx", "A 24921-2020")</f>
        <v/>
      </c>
      <c r="Y55">
        <f>HYPERLINK("https://klasma.github.io/Logging_0760/tillsynsmail/A 24921-2020 tillsynsmail.docx",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45212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HYPERLINK("https://klasma.github.io/Logging_0760/karta/A 1809-2021 karta.png", "A 1809-2021")</f>
        <v/>
      </c>
      <c r="V56">
        <f>HYPERLINK("https://klasma.github.io/Logging_0760/klagomål/A 1809-2021 klagomål.docx", "A 1809-2021")</f>
        <v/>
      </c>
      <c r="W56">
        <f>HYPERLINK("https://klasma.github.io/Logging_0760/klagomålsmail/A 1809-2021 klagomålsmail.docx", "A 1809-2021")</f>
        <v/>
      </c>
      <c r="X56">
        <f>HYPERLINK("https://klasma.github.io/Logging_0760/tillsyn/A 1809-2021 tillsyn.docx", "A 1809-2021")</f>
        <v/>
      </c>
      <c r="Y56">
        <f>HYPERLINK("https://klasma.github.io/Logging_0760/tillsynsmail/A 1809-2021 tillsynsmail.docx",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45212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HYPERLINK("https://klasma.github.io/Logging_0781/karta/A 2988-2021 karta.png", "A 2988-2021")</f>
        <v/>
      </c>
      <c r="U57">
        <f>HYPERLINK("https://klasma.github.io/Logging_0781/knärot/A 2988-2021 knärot.png", "A 2988-2021")</f>
        <v/>
      </c>
      <c r="V57">
        <f>HYPERLINK("https://klasma.github.io/Logging_0781/klagomål/A 2988-2021 klagomål.docx", "A 2988-2021")</f>
        <v/>
      </c>
      <c r="W57">
        <f>HYPERLINK("https://klasma.github.io/Logging_0781/klagomålsmail/A 2988-2021 klagomålsmail.docx", "A 2988-2021")</f>
        <v/>
      </c>
      <c r="X57">
        <f>HYPERLINK("https://klasma.github.io/Logging_0781/tillsyn/A 2988-2021 tillsyn.docx", "A 2988-2021")</f>
        <v/>
      </c>
      <c r="Y57">
        <f>HYPERLINK("https://klasma.github.io/Logging_0781/tillsynsmail/A 2988-2021 tillsynsmail.docx",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45212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HYPERLINK("https://klasma.github.io/Logging_0780/karta/A 6379-2021 karta.png", "A 6379-2021")</f>
        <v/>
      </c>
      <c r="V58">
        <f>HYPERLINK("https://klasma.github.io/Logging_0780/klagomål/A 6379-2021 klagomål.docx", "A 6379-2021")</f>
        <v/>
      </c>
      <c r="W58">
        <f>HYPERLINK("https://klasma.github.io/Logging_0780/klagomålsmail/A 6379-2021 klagomålsmail.docx", "A 6379-2021")</f>
        <v/>
      </c>
      <c r="X58">
        <f>HYPERLINK("https://klasma.github.io/Logging_0780/tillsyn/A 6379-2021 tillsyn.docx", "A 6379-2021")</f>
        <v/>
      </c>
      <c r="Y58">
        <f>HYPERLINK("https://klasma.github.io/Logging_0780/tillsynsmail/A 6379-2021 tillsynsmail.docx",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45212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HYPERLINK("https://klasma.github.io/Logging_0781/karta/A 10670-2021 karta.png", "A 10670-2021")</f>
        <v/>
      </c>
      <c r="V59">
        <f>HYPERLINK("https://klasma.github.io/Logging_0781/klagomål/A 10670-2021 klagomål.docx", "A 10670-2021")</f>
        <v/>
      </c>
      <c r="W59">
        <f>HYPERLINK("https://klasma.github.io/Logging_0781/klagomålsmail/A 10670-2021 klagomålsmail.docx", "A 10670-2021")</f>
        <v/>
      </c>
      <c r="X59">
        <f>HYPERLINK("https://klasma.github.io/Logging_0781/tillsyn/A 10670-2021 tillsyn.docx", "A 10670-2021")</f>
        <v/>
      </c>
      <c r="Y59">
        <f>HYPERLINK("https://klasma.github.io/Logging_0781/tillsynsmail/A 10670-2021 tillsynsmail.docx",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45212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HYPERLINK("https://klasma.github.io/Logging_0780/karta/A 11648-2021 karta.png", "A 11648-2021")</f>
        <v/>
      </c>
      <c r="V60">
        <f>HYPERLINK("https://klasma.github.io/Logging_0780/klagomål/A 11648-2021 klagomål.docx", "A 11648-2021")</f>
        <v/>
      </c>
      <c r="W60">
        <f>HYPERLINK("https://klasma.github.io/Logging_0780/klagomålsmail/A 11648-2021 klagomålsmail.docx", "A 11648-2021")</f>
        <v/>
      </c>
      <c r="X60">
        <f>HYPERLINK("https://klasma.github.io/Logging_0780/tillsyn/A 11648-2021 tillsyn.docx", "A 11648-2021")</f>
        <v/>
      </c>
      <c r="Y60">
        <f>HYPERLINK("https://klasma.github.io/Logging_0780/tillsynsmail/A 11648-2021 tillsynsmail.docx",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45212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HYPERLINK("https://klasma.github.io/Logging_0761/karta/A 18959-2021 karta.png", "A 18959-2021")</f>
        <v/>
      </c>
      <c r="V61">
        <f>HYPERLINK("https://klasma.github.io/Logging_0761/klagomål/A 18959-2021 klagomål.docx", "A 18959-2021")</f>
        <v/>
      </c>
      <c r="W61">
        <f>HYPERLINK("https://klasma.github.io/Logging_0761/klagomålsmail/A 18959-2021 klagomålsmail.docx", "A 18959-2021")</f>
        <v/>
      </c>
      <c r="X61">
        <f>HYPERLINK("https://klasma.github.io/Logging_0761/tillsyn/A 18959-2021 tillsyn.docx", "A 18959-2021")</f>
        <v/>
      </c>
      <c r="Y61">
        <f>HYPERLINK("https://klasma.github.io/Logging_0761/tillsynsmail/A 18959-2021 tillsynsmail.docx",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45212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HYPERLINK("https://klasma.github.io/Logging_0760/karta/A 20623-2021 karta.png", "A 20623-2021")</f>
        <v/>
      </c>
      <c r="V62">
        <f>HYPERLINK("https://klasma.github.io/Logging_0760/klagomål/A 20623-2021 klagomål.docx", "A 20623-2021")</f>
        <v/>
      </c>
      <c r="W62">
        <f>HYPERLINK("https://klasma.github.io/Logging_0760/klagomålsmail/A 20623-2021 klagomålsmail.docx", "A 20623-2021")</f>
        <v/>
      </c>
      <c r="X62">
        <f>HYPERLINK("https://klasma.github.io/Logging_0760/tillsyn/A 20623-2021 tillsyn.docx", "A 20623-2021")</f>
        <v/>
      </c>
      <c r="Y62">
        <f>HYPERLINK("https://klasma.github.io/Logging_0760/tillsynsmail/A 20623-2021 tillsynsmail.docx",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45212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HYPERLINK("https://klasma.github.io/Logging_0781/karta/A 25716-2021 karta.png", "A 25716-2021")</f>
        <v/>
      </c>
      <c r="U63">
        <f>HYPERLINK("https://klasma.github.io/Logging_0781/knärot/A 25716-2021 knärot.png", "A 25716-2021")</f>
        <v/>
      </c>
      <c r="V63">
        <f>HYPERLINK("https://klasma.github.io/Logging_0781/klagomål/A 25716-2021 klagomål.docx", "A 25716-2021")</f>
        <v/>
      </c>
      <c r="W63">
        <f>HYPERLINK("https://klasma.github.io/Logging_0781/klagomålsmail/A 25716-2021 klagomålsmail.docx", "A 25716-2021")</f>
        <v/>
      </c>
      <c r="X63">
        <f>HYPERLINK("https://klasma.github.io/Logging_0781/tillsyn/A 25716-2021 tillsyn.docx", "A 25716-2021")</f>
        <v/>
      </c>
      <c r="Y63">
        <f>HYPERLINK("https://klasma.github.io/Logging_0781/tillsynsmail/A 25716-2021 tillsynsmail.docx",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45212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HYPERLINK("https://klasma.github.io/Logging_0760/karta/A 49727-2021 karta.png", "A 49727-2021")</f>
        <v/>
      </c>
      <c r="V64">
        <f>HYPERLINK("https://klasma.github.io/Logging_0760/klagomål/A 49727-2021 klagomål.docx", "A 49727-2021")</f>
        <v/>
      </c>
      <c r="W64">
        <f>HYPERLINK("https://klasma.github.io/Logging_0760/klagomålsmail/A 49727-2021 klagomålsmail.docx", "A 49727-2021")</f>
        <v/>
      </c>
      <c r="X64">
        <f>HYPERLINK("https://klasma.github.io/Logging_0760/tillsyn/A 49727-2021 tillsyn.docx", "A 49727-2021")</f>
        <v/>
      </c>
      <c r="Y64">
        <f>HYPERLINK("https://klasma.github.io/Logging_0760/tillsynsmail/A 49727-2021 tillsynsmail.docx",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45212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HYPERLINK("https://klasma.github.io/Logging_0764/karta/A 70221-2021 karta.png", "A 70221-2021")</f>
        <v/>
      </c>
      <c r="V65">
        <f>HYPERLINK("https://klasma.github.io/Logging_0764/klagomål/A 70221-2021 klagomål.docx", "A 70221-2021")</f>
        <v/>
      </c>
      <c r="W65">
        <f>HYPERLINK("https://klasma.github.io/Logging_0764/klagomålsmail/A 70221-2021 klagomålsmail.docx", "A 70221-2021")</f>
        <v/>
      </c>
      <c r="X65">
        <f>HYPERLINK("https://klasma.github.io/Logging_0764/tillsyn/A 70221-2021 tillsyn.docx", "A 70221-2021")</f>
        <v/>
      </c>
      <c r="Y65">
        <f>HYPERLINK("https://klasma.github.io/Logging_0764/tillsynsmail/A 70221-2021 tillsynsmail.docx",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45212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HYPERLINK("https://klasma.github.io/Logging_0764/karta/A 4825-2022 karta.png", "A 4825-2022")</f>
        <v/>
      </c>
      <c r="V66">
        <f>HYPERLINK("https://klasma.github.io/Logging_0764/klagomål/A 4825-2022 klagomål.docx", "A 4825-2022")</f>
        <v/>
      </c>
      <c r="W66">
        <f>HYPERLINK("https://klasma.github.io/Logging_0764/klagomålsmail/A 4825-2022 klagomålsmail.docx", "A 4825-2022")</f>
        <v/>
      </c>
      <c r="X66">
        <f>HYPERLINK("https://klasma.github.io/Logging_0764/tillsyn/A 4825-2022 tillsyn.docx", "A 4825-2022")</f>
        <v/>
      </c>
      <c r="Y66">
        <f>HYPERLINK("https://klasma.github.io/Logging_0764/tillsynsmail/A 4825-2022 tillsynsmail.docx",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45212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HYPERLINK("https://klasma.github.io/Logging_0781/karta/A 8314-2022 karta.png", "A 8314-2022")</f>
        <v/>
      </c>
      <c r="V67">
        <f>HYPERLINK("https://klasma.github.io/Logging_0781/klagomål/A 8314-2022 klagomål.docx", "A 8314-2022")</f>
        <v/>
      </c>
      <c r="W67">
        <f>HYPERLINK("https://klasma.github.io/Logging_0781/klagomålsmail/A 8314-2022 klagomålsmail.docx", "A 8314-2022")</f>
        <v/>
      </c>
      <c r="X67">
        <f>HYPERLINK("https://klasma.github.io/Logging_0781/tillsyn/A 8314-2022 tillsyn.docx", "A 8314-2022")</f>
        <v/>
      </c>
      <c r="Y67">
        <f>HYPERLINK("https://klasma.github.io/Logging_0781/tillsynsmail/A 8314-2022 tillsynsmail.docx",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45212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HYPERLINK("https://klasma.github.io/Logging_0767/karta/A 39507-2022 karta.png", "A 39507-2022")</f>
        <v/>
      </c>
      <c r="V68">
        <f>HYPERLINK("https://klasma.github.io/Logging_0767/klagomål/A 39507-2022 klagomål.docx", "A 39507-2022")</f>
        <v/>
      </c>
      <c r="W68">
        <f>HYPERLINK("https://klasma.github.io/Logging_0767/klagomålsmail/A 39507-2022 klagomålsmail.docx", "A 39507-2022")</f>
        <v/>
      </c>
      <c r="X68">
        <f>HYPERLINK("https://klasma.github.io/Logging_0767/tillsyn/A 39507-2022 tillsyn.docx", "A 39507-2022")</f>
        <v/>
      </c>
      <c r="Y68">
        <f>HYPERLINK("https://klasma.github.io/Logging_0767/tillsynsmail/A 39507-2022 tillsynsmail.docx",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45212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HYPERLINK("https://klasma.github.io/Logging_0765/karta/A 41957-2022 karta.png", "A 41957-2022")</f>
        <v/>
      </c>
      <c r="V69">
        <f>HYPERLINK("https://klasma.github.io/Logging_0765/klagomål/A 41957-2022 klagomål.docx", "A 41957-2022")</f>
        <v/>
      </c>
      <c r="W69">
        <f>HYPERLINK("https://klasma.github.io/Logging_0765/klagomålsmail/A 41957-2022 klagomålsmail.docx", "A 41957-2022")</f>
        <v/>
      </c>
      <c r="X69">
        <f>HYPERLINK("https://klasma.github.io/Logging_0765/tillsyn/A 41957-2022 tillsyn.docx", "A 41957-2022")</f>
        <v/>
      </c>
      <c r="Y69">
        <f>HYPERLINK("https://klasma.github.io/Logging_0765/tillsynsmail/A 41957-2022 tillsynsmail.docx",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45212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HYPERLINK("https://klasma.github.io/Logging_0760/karta/A 42930-2022 karta.png", "A 42930-2022")</f>
        <v/>
      </c>
      <c r="V70">
        <f>HYPERLINK("https://klasma.github.io/Logging_0760/klagomål/A 42930-2022 klagomål.docx", "A 42930-2022")</f>
        <v/>
      </c>
      <c r="W70">
        <f>HYPERLINK("https://klasma.github.io/Logging_0760/klagomålsmail/A 42930-2022 klagomålsmail.docx", "A 42930-2022")</f>
        <v/>
      </c>
      <c r="X70">
        <f>HYPERLINK("https://klasma.github.io/Logging_0760/tillsyn/A 42930-2022 tillsyn.docx", "A 42930-2022")</f>
        <v/>
      </c>
      <c r="Y70">
        <f>HYPERLINK("https://klasma.github.io/Logging_0760/tillsynsmail/A 42930-2022 tillsynsmail.docx",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45212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HYPERLINK("https://klasma.github.io/Logging_0760/karta/A 49737-2022 karta.png", "A 49737-2022")</f>
        <v/>
      </c>
      <c r="V71">
        <f>HYPERLINK("https://klasma.github.io/Logging_0760/klagomål/A 49737-2022 klagomål.docx", "A 49737-2022")</f>
        <v/>
      </c>
      <c r="W71">
        <f>HYPERLINK("https://klasma.github.io/Logging_0760/klagomålsmail/A 49737-2022 klagomålsmail.docx", "A 49737-2022")</f>
        <v/>
      </c>
      <c r="X71">
        <f>HYPERLINK("https://klasma.github.io/Logging_0760/tillsyn/A 49737-2022 tillsyn.docx", "A 49737-2022")</f>
        <v/>
      </c>
      <c r="Y71">
        <f>HYPERLINK("https://klasma.github.io/Logging_0760/tillsynsmail/A 49737-2022 tillsynsmail.docx",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45212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HYPERLINK("https://klasma.github.io/Logging_0763/karta/A 51691-2022 karta.png", "A 51691-2022")</f>
        <v/>
      </c>
      <c r="U72">
        <f>HYPERLINK("https://klasma.github.io/Logging_0763/knärot/A 51691-2022 knärot.png", "A 51691-2022")</f>
        <v/>
      </c>
      <c r="V72">
        <f>HYPERLINK("https://klasma.github.io/Logging_0763/klagomål/A 51691-2022 klagomål.docx", "A 51691-2022")</f>
        <v/>
      </c>
      <c r="W72">
        <f>HYPERLINK("https://klasma.github.io/Logging_0763/klagomålsmail/A 51691-2022 klagomålsmail.docx", "A 51691-2022")</f>
        <v/>
      </c>
      <c r="X72">
        <f>HYPERLINK("https://klasma.github.io/Logging_0763/tillsyn/A 51691-2022 tillsyn.docx", "A 51691-2022")</f>
        <v/>
      </c>
      <c r="Y72">
        <f>HYPERLINK("https://klasma.github.io/Logging_0763/tillsynsmail/A 51691-2022 tillsynsmail.docx",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45212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HYPERLINK("https://klasma.github.io/Logging_0764/karta/A 52816-2022 karta.png", "A 52816-2022")</f>
        <v/>
      </c>
      <c r="V73">
        <f>HYPERLINK("https://klasma.github.io/Logging_0764/klagomål/A 52816-2022 klagomål.docx", "A 52816-2022")</f>
        <v/>
      </c>
      <c r="W73">
        <f>HYPERLINK("https://klasma.github.io/Logging_0764/klagomålsmail/A 52816-2022 klagomålsmail.docx", "A 52816-2022")</f>
        <v/>
      </c>
      <c r="X73">
        <f>HYPERLINK("https://klasma.github.io/Logging_0764/tillsyn/A 52816-2022 tillsyn.docx", "A 52816-2022")</f>
        <v/>
      </c>
      <c r="Y73">
        <f>HYPERLINK("https://klasma.github.io/Logging_0764/tillsynsmail/A 52816-2022 tillsynsmail.docx",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45212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HYPERLINK("https://klasma.github.io/Logging_0760/karta/A 62341-2022 karta.png", "A 62341-2022")</f>
        <v/>
      </c>
      <c r="V74">
        <f>HYPERLINK("https://klasma.github.io/Logging_0760/klagomål/A 62341-2022 klagomål.docx", "A 62341-2022")</f>
        <v/>
      </c>
      <c r="W74">
        <f>HYPERLINK("https://klasma.github.io/Logging_0760/klagomålsmail/A 62341-2022 klagomålsmail.docx", "A 62341-2022")</f>
        <v/>
      </c>
      <c r="X74">
        <f>HYPERLINK("https://klasma.github.io/Logging_0760/tillsyn/A 62341-2022 tillsyn.docx", "A 62341-2022")</f>
        <v/>
      </c>
      <c r="Y74">
        <f>HYPERLINK("https://klasma.github.io/Logging_0760/tillsynsmail/A 62341-2022 tillsynsmail.docx",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45212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HYPERLINK("https://klasma.github.io/Logging_0760/karta/A 1917-2023 karta.png", "A 1917-2023")</f>
        <v/>
      </c>
      <c r="V75">
        <f>HYPERLINK("https://klasma.github.io/Logging_0760/klagomål/A 1917-2023 klagomål.docx", "A 1917-2023")</f>
        <v/>
      </c>
      <c r="W75">
        <f>HYPERLINK("https://klasma.github.io/Logging_0760/klagomålsmail/A 1917-2023 klagomålsmail.docx", "A 1917-2023")</f>
        <v/>
      </c>
      <c r="X75">
        <f>HYPERLINK("https://klasma.github.io/Logging_0760/tillsyn/A 1917-2023 tillsyn.docx", "A 1917-2023")</f>
        <v/>
      </c>
      <c r="Y75">
        <f>HYPERLINK("https://klasma.github.io/Logging_0760/tillsynsmail/A 1917-2023 tillsynsmail.docx",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45212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HYPERLINK("https://klasma.github.io/Logging_0781/karta/A 11855-2023 karta.png", "A 11855-2023")</f>
        <v/>
      </c>
      <c r="V76">
        <f>HYPERLINK("https://klasma.github.io/Logging_0781/klagomål/A 11855-2023 klagomål.docx", "A 11855-2023")</f>
        <v/>
      </c>
      <c r="W76">
        <f>HYPERLINK("https://klasma.github.io/Logging_0781/klagomålsmail/A 11855-2023 klagomålsmail.docx", "A 11855-2023")</f>
        <v/>
      </c>
      <c r="X76">
        <f>HYPERLINK("https://klasma.github.io/Logging_0781/tillsyn/A 11855-2023 tillsyn.docx", "A 11855-2023")</f>
        <v/>
      </c>
      <c r="Y76">
        <f>HYPERLINK("https://klasma.github.io/Logging_0781/tillsynsmail/A 11855-2023 tillsynsmail.docx",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45212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HYPERLINK("https://klasma.github.io/Logging_0781/karta/A 24024-2023 karta.png", "A 24024-2023")</f>
        <v/>
      </c>
      <c r="V77">
        <f>HYPERLINK("https://klasma.github.io/Logging_0781/klagomål/A 24024-2023 klagomål.docx", "A 24024-2023")</f>
        <v/>
      </c>
      <c r="W77">
        <f>HYPERLINK("https://klasma.github.io/Logging_0781/klagomålsmail/A 24024-2023 klagomålsmail.docx", "A 24024-2023")</f>
        <v/>
      </c>
      <c r="X77">
        <f>HYPERLINK("https://klasma.github.io/Logging_0781/tillsyn/A 24024-2023 tillsyn.docx", "A 24024-2023")</f>
        <v/>
      </c>
      <c r="Y77">
        <f>HYPERLINK("https://klasma.github.io/Logging_0781/tillsynsmail/A 24024-2023 tillsynsmail.docx",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45212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HYPERLINK("https://klasma.github.io/Logging_0781/karta/A 24031-2023 karta.png", "A 24031-2023")</f>
        <v/>
      </c>
      <c r="V78">
        <f>HYPERLINK("https://klasma.github.io/Logging_0781/klagomål/A 24031-2023 klagomål.docx", "A 24031-2023")</f>
        <v/>
      </c>
      <c r="W78">
        <f>HYPERLINK("https://klasma.github.io/Logging_0781/klagomålsmail/A 24031-2023 klagomålsmail.docx", "A 24031-2023")</f>
        <v/>
      </c>
      <c r="X78">
        <f>HYPERLINK("https://klasma.github.io/Logging_0781/tillsyn/A 24031-2023 tillsyn.docx", "A 24031-2023")</f>
        <v/>
      </c>
      <c r="Y78">
        <f>HYPERLINK("https://klasma.github.io/Logging_0781/tillsynsmail/A 24031-2023 tillsynsmail.docx",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45212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HYPERLINK("https://klasma.github.io/Logging_0760/karta/A 26057-2023 karta.png", "A 26057-2023")</f>
        <v/>
      </c>
      <c r="V79">
        <f>HYPERLINK("https://klasma.github.io/Logging_0760/klagomål/A 26057-2023 klagomål.docx", "A 26057-2023")</f>
        <v/>
      </c>
      <c r="W79">
        <f>HYPERLINK("https://klasma.github.io/Logging_0760/klagomålsmail/A 26057-2023 klagomålsmail.docx", "A 26057-2023")</f>
        <v/>
      </c>
      <c r="X79">
        <f>HYPERLINK("https://klasma.github.io/Logging_0760/tillsyn/A 26057-2023 tillsyn.docx", "A 26057-2023")</f>
        <v/>
      </c>
      <c r="Y79">
        <f>HYPERLINK("https://klasma.github.io/Logging_0760/tillsynsmail/A 26057-2023 tillsynsmail.docx",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45212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HYPERLINK("https://klasma.github.io/Logging_0760/karta/A 28468-2023 karta.png", "A 28468-2023")</f>
        <v/>
      </c>
      <c r="V80">
        <f>HYPERLINK("https://klasma.github.io/Logging_0760/klagomål/A 28468-2023 klagomål.docx", "A 28468-2023")</f>
        <v/>
      </c>
      <c r="W80">
        <f>HYPERLINK("https://klasma.github.io/Logging_0760/klagomålsmail/A 28468-2023 klagomålsmail.docx", "A 28468-2023")</f>
        <v/>
      </c>
      <c r="X80">
        <f>HYPERLINK("https://klasma.github.io/Logging_0760/tillsyn/A 28468-2023 tillsyn.docx", "A 28468-2023")</f>
        <v/>
      </c>
      <c r="Y80">
        <f>HYPERLINK("https://klasma.github.io/Logging_0760/tillsynsmail/A 28468-2023 tillsynsmail.docx",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45212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HYPERLINK("https://klasma.github.io/Logging_0763/karta/A 37459-2018 karta.png", "A 37459-2018")</f>
        <v/>
      </c>
      <c r="U81">
        <f>HYPERLINK("https://klasma.github.io/Logging_0763/knärot/A 37459-2018 knärot.png", "A 37459-2018")</f>
        <v/>
      </c>
      <c r="V81">
        <f>HYPERLINK("https://klasma.github.io/Logging_0763/klagomål/A 37459-2018 klagomål.docx", "A 37459-2018")</f>
        <v/>
      </c>
      <c r="W81">
        <f>HYPERLINK("https://klasma.github.io/Logging_0763/klagomålsmail/A 37459-2018 klagomålsmail.docx", "A 37459-2018")</f>
        <v/>
      </c>
      <c r="X81">
        <f>HYPERLINK("https://klasma.github.io/Logging_0763/tillsyn/A 37459-2018 tillsyn.docx", "A 37459-2018")</f>
        <v/>
      </c>
      <c r="Y81">
        <f>HYPERLINK("https://klasma.github.io/Logging_0763/tillsynsmail/A 37459-2018 tillsynsmail.docx",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45212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HYPERLINK("https://klasma.github.io/Logging_0761/karta/A 39453-2018 karta.png", "A 39453-2018")</f>
        <v/>
      </c>
      <c r="V82">
        <f>HYPERLINK("https://klasma.github.io/Logging_0761/klagomål/A 39453-2018 klagomål.docx", "A 39453-2018")</f>
        <v/>
      </c>
      <c r="W82">
        <f>HYPERLINK("https://klasma.github.io/Logging_0761/klagomålsmail/A 39453-2018 klagomålsmail.docx", "A 39453-2018")</f>
        <v/>
      </c>
      <c r="X82">
        <f>HYPERLINK("https://klasma.github.io/Logging_0761/tillsyn/A 39453-2018 tillsyn.docx", "A 39453-2018")</f>
        <v/>
      </c>
      <c r="Y82">
        <f>HYPERLINK("https://klasma.github.io/Logging_0761/tillsynsmail/A 39453-2018 tillsynsmail.docx",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45212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HYPERLINK("https://klasma.github.io/Logging_0781/karta/A 48695-2018 karta.png", "A 48695-2018")</f>
        <v/>
      </c>
      <c r="V83">
        <f>HYPERLINK("https://klasma.github.io/Logging_0781/klagomål/A 48695-2018 klagomål.docx", "A 48695-2018")</f>
        <v/>
      </c>
      <c r="W83">
        <f>HYPERLINK("https://klasma.github.io/Logging_0781/klagomålsmail/A 48695-2018 klagomålsmail.docx", "A 48695-2018")</f>
        <v/>
      </c>
      <c r="X83">
        <f>HYPERLINK("https://klasma.github.io/Logging_0781/tillsyn/A 48695-2018 tillsyn.docx", "A 48695-2018")</f>
        <v/>
      </c>
      <c r="Y83">
        <f>HYPERLINK("https://klasma.github.io/Logging_0781/tillsynsmail/A 48695-2018 tillsynsmail.docx",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45212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HYPERLINK("https://klasma.github.io/Logging_0763/karta/A 54429-2018 karta.png", "A 54429-2018")</f>
        <v/>
      </c>
      <c r="V84">
        <f>HYPERLINK("https://klasma.github.io/Logging_0763/klagomål/A 54429-2018 klagomål.docx", "A 54429-2018")</f>
        <v/>
      </c>
      <c r="W84">
        <f>HYPERLINK("https://klasma.github.io/Logging_0763/klagomålsmail/A 54429-2018 klagomålsmail.docx", "A 54429-2018")</f>
        <v/>
      </c>
      <c r="X84">
        <f>HYPERLINK("https://klasma.github.io/Logging_0763/tillsyn/A 54429-2018 tillsyn.docx", "A 54429-2018")</f>
        <v/>
      </c>
      <c r="Y84">
        <f>HYPERLINK("https://klasma.github.io/Logging_0763/tillsynsmail/A 54429-2018 tillsynsmail.docx",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45212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HYPERLINK("https://klasma.github.io/Logging_0780/karta/A 58421-2018 karta.png", "A 58421-2018")</f>
        <v/>
      </c>
      <c r="V85">
        <f>HYPERLINK("https://klasma.github.io/Logging_0780/klagomål/A 58421-2018 klagomål.docx", "A 58421-2018")</f>
        <v/>
      </c>
      <c r="W85">
        <f>HYPERLINK("https://klasma.github.io/Logging_0780/klagomålsmail/A 58421-2018 klagomålsmail.docx", "A 58421-2018")</f>
        <v/>
      </c>
      <c r="X85">
        <f>HYPERLINK("https://klasma.github.io/Logging_0780/tillsyn/A 58421-2018 tillsyn.docx", "A 58421-2018")</f>
        <v/>
      </c>
      <c r="Y85">
        <f>HYPERLINK("https://klasma.github.io/Logging_0780/tillsynsmail/A 58421-2018 tillsynsmail.docx",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45212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HYPERLINK("https://klasma.github.io/Logging_0780/karta/A 58429-2018 karta.png", "A 58429-2018")</f>
        <v/>
      </c>
      <c r="V86">
        <f>HYPERLINK("https://klasma.github.io/Logging_0780/klagomål/A 58429-2018 klagomål.docx", "A 58429-2018")</f>
        <v/>
      </c>
      <c r="W86">
        <f>HYPERLINK("https://klasma.github.io/Logging_0780/klagomålsmail/A 58429-2018 klagomålsmail.docx", "A 58429-2018")</f>
        <v/>
      </c>
      <c r="X86">
        <f>HYPERLINK("https://klasma.github.io/Logging_0780/tillsyn/A 58429-2018 tillsyn.docx", "A 58429-2018")</f>
        <v/>
      </c>
      <c r="Y86">
        <f>HYPERLINK("https://klasma.github.io/Logging_0780/tillsynsmail/A 58429-2018 tillsynsmail.docx",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45212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HYPERLINK("https://klasma.github.io/Logging_0780/karta/A 59150-2018 karta.png", "A 59150-2018")</f>
        <v/>
      </c>
      <c r="V87">
        <f>HYPERLINK("https://klasma.github.io/Logging_0780/klagomål/A 59150-2018 klagomål.docx", "A 59150-2018")</f>
        <v/>
      </c>
      <c r="W87">
        <f>HYPERLINK("https://klasma.github.io/Logging_0780/klagomålsmail/A 59150-2018 klagomålsmail.docx", "A 59150-2018")</f>
        <v/>
      </c>
      <c r="X87">
        <f>HYPERLINK("https://klasma.github.io/Logging_0780/tillsyn/A 59150-2018 tillsyn.docx", "A 59150-2018")</f>
        <v/>
      </c>
      <c r="Y87">
        <f>HYPERLINK("https://klasma.github.io/Logging_0780/tillsynsmail/A 59150-2018 tillsynsmail.docx", "A 59150-2018")</f>
        <v/>
      </c>
    </row>
    <row r="88" ht="15" customHeight="1">
      <c r="A88" t="inlineStr">
        <is>
          <t>A 59844-2018</t>
        </is>
      </c>
      <c r="B88" s="1" t="n">
        <v>43419</v>
      </c>
      <c r="C88" s="1" t="n">
        <v>45212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Vårärt</t>
        </is>
      </c>
      <c r="S88">
        <f>HYPERLINK("https://klasma.github.io/Logging_0761/artfynd/A 59844-2018 artfynd.xlsx", "A 59844-2018")</f>
        <v/>
      </c>
      <c r="T88">
        <f>HYPERLINK("https://klasma.github.io/Logging_0761/karta/A 59844-2018 karta.png", "A 59844-2018")</f>
        <v/>
      </c>
      <c r="V88">
        <f>HYPERLINK("https://klasma.github.io/Logging_0761/klagomål/A 59844-2018 klagomål.docx", "A 59844-2018")</f>
        <v/>
      </c>
      <c r="W88">
        <f>HYPERLINK("https://klasma.github.io/Logging_0761/klagomålsmail/A 59844-2018 klagomålsmail.docx", "A 59844-2018")</f>
        <v/>
      </c>
      <c r="X88">
        <f>HYPERLINK("https://klasma.github.io/Logging_0761/tillsyn/A 59844-2018 tillsyn.docx", "A 59844-2018")</f>
        <v/>
      </c>
      <c r="Y88">
        <f>HYPERLINK("https://klasma.github.io/Logging_0761/tillsynsmail/A 59844-2018 tillsynsmail.docx", "A 59844-2018")</f>
        <v/>
      </c>
    </row>
    <row r="89" ht="15" customHeight="1">
      <c r="A89" t="inlineStr">
        <is>
          <t>A 61620-2018</t>
        </is>
      </c>
      <c r="B89" s="1" t="n">
        <v>43424</v>
      </c>
      <c r="C89" s="1" t="n">
        <v>45212</v>
      </c>
      <c r="D89" t="inlineStr">
        <is>
          <t>KRONOBERGS LÄN</t>
        </is>
      </c>
      <c r="E89" t="inlineStr">
        <is>
          <t>ÄLMHULT</t>
        </is>
      </c>
      <c r="G89" t="n">
        <v>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Gullklöver</t>
        </is>
      </c>
      <c r="S89">
        <f>HYPERLINK("https://klasma.github.io/Logging_0765/artfynd/A 61620-2018 artfynd.xlsx", "A 61620-2018")</f>
        <v/>
      </c>
      <c r="T89">
        <f>HYPERLINK("https://klasma.github.io/Logging_0765/karta/A 61620-2018 karta.png", "A 61620-2018")</f>
        <v/>
      </c>
      <c r="V89">
        <f>HYPERLINK("https://klasma.github.io/Logging_0765/klagomål/A 61620-2018 klagomål.docx", "A 61620-2018")</f>
        <v/>
      </c>
      <c r="W89">
        <f>HYPERLINK("https://klasma.github.io/Logging_0765/klagomålsmail/A 61620-2018 klagomålsmail.docx", "A 61620-2018")</f>
        <v/>
      </c>
      <c r="X89">
        <f>HYPERLINK("https://klasma.github.io/Logging_0765/tillsyn/A 61620-2018 tillsyn.docx", "A 61620-2018")</f>
        <v/>
      </c>
      <c r="Y89">
        <f>HYPERLINK("https://klasma.github.io/Logging_0765/tillsynsmail/A 61620-2018 tillsynsmail.docx", "A 61620-2018")</f>
        <v/>
      </c>
    </row>
    <row r="90" ht="15" customHeight="1">
      <c r="A90" t="inlineStr">
        <is>
          <t>A 64794-2018</t>
        </is>
      </c>
      <c r="B90" s="1" t="n">
        <v>43431</v>
      </c>
      <c r="C90" s="1" t="n">
        <v>45212</v>
      </c>
      <c r="D90" t="inlineStr">
        <is>
          <t>KRONOBERGS LÄN</t>
        </is>
      </c>
      <c r="E90" t="inlineStr">
        <is>
          <t>TINGSRYD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Mörk dunört</t>
        </is>
      </c>
      <c r="S90">
        <f>HYPERLINK("https://klasma.github.io/Logging_0763/artfynd/A 64794-2018 artfynd.xlsx", "A 64794-2018")</f>
        <v/>
      </c>
      <c r="T90">
        <f>HYPERLINK("https://klasma.github.io/Logging_0763/karta/A 64794-2018 karta.png", "A 64794-2018")</f>
        <v/>
      </c>
      <c r="V90">
        <f>HYPERLINK("https://klasma.github.io/Logging_0763/klagomål/A 64794-2018 klagomål.docx", "A 64794-2018")</f>
        <v/>
      </c>
      <c r="W90">
        <f>HYPERLINK("https://klasma.github.io/Logging_0763/klagomålsmail/A 64794-2018 klagomålsmail.docx", "A 64794-2018")</f>
        <v/>
      </c>
      <c r="X90">
        <f>HYPERLINK("https://klasma.github.io/Logging_0763/tillsyn/A 64794-2018 tillsyn.docx", "A 64794-2018")</f>
        <v/>
      </c>
      <c r="Y90">
        <f>HYPERLINK("https://klasma.github.io/Logging_0763/tillsynsmail/A 64794-2018 tillsynsmail.docx", "A 64794-2018")</f>
        <v/>
      </c>
    </row>
    <row r="91" ht="15" customHeight="1">
      <c r="A91" t="inlineStr">
        <is>
          <t>A 68145-2018</t>
        </is>
      </c>
      <c r="B91" s="1" t="n">
        <v>43437</v>
      </c>
      <c r="C91" s="1" t="n">
        <v>45212</v>
      </c>
      <c r="D91" t="inlineStr">
        <is>
          <t>KRONOBERGS LÄN</t>
        </is>
      </c>
      <c r="E91" t="inlineStr">
        <is>
          <t>VÄXJÖ</t>
        </is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Fällmossa</t>
        </is>
      </c>
      <c r="S91">
        <f>HYPERLINK("https://klasma.github.io/Logging_0780/artfynd/A 68145-2018 artfynd.xlsx", "A 68145-2018")</f>
        <v/>
      </c>
      <c r="T91">
        <f>HYPERLINK("https://klasma.github.io/Logging_0780/karta/A 68145-2018 karta.png", "A 68145-2018")</f>
        <v/>
      </c>
      <c r="V91">
        <f>HYPERLINK("https://klasma.github.io/Logging_0780/klagomål/A 68145-2018 klagomål.docx", "A 68145-2018")</f>
        <v/>
      </c>
      <c r="W91">
        <f>HYPERLINK("https://klasma.github.io/Logging_0780/klagomålsmail/A 68145-2018 klagomålsmail.docx", "A 68145-2018")</f>
        <v/>
      </c>
      <c r="X91">
        <f>HYPERLINK("https://klasma.github.io/Logging_0780/tillsyn/A 68145-2018 tillsyn.docx", "A 68145-2018")</f>
        <v/>
      </c>
      <c r="Y91">
        <f>HYPERLINK("https://klasma.github.io/Logging_0780/tillsynsmail/A 68145-2018 tillsynsmail.docx", "A 68145-2018")</f>
        <v/>
      </c>
    </row>
    <row r="92" ht="15" customHeight="1">
      <c r="A92" t="inlineStr">
        <is>
          <t>A 69243-2018</t>
        </is>
      </c>
      <c r="B92" s="1" t="n">
        <v>43446</v>
      </c>
      <c r="C92" s="1" t="n">
        <v>45212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Grantaggsvamp</t>
        </is>
      </c>
      <c r="S92">
        <f>HYPERLINK("https://klasma.github.io/Logging_0763/artfynd/A 69243-2018 artfynd.xlsx", "A 69243-2018")</f>
        <v/>
      </c>
      <c r="T92">
        <f>HYPERLINK("https://klasma.github.io/Logging_0763/karta/A 69243-2018 karta.png", "A 69243-2018")</f>
        <v/>
      </c>
      <c r="V92">
        <f>HYPERLINK("https://klasma.github.io/Logging_0763/klagomål/A 69243-2018 klagomål.docx", "A 69243-2018")</f>
        <v/>
      </c>
      <c r="W92">
        <f>HYPERLINK("https://klasma.github.io/Logging_0763/klagomålsmail/A 69243-2018 klagomålsmail.docx", "A 69243-2018")</f>
        <v/>
      </c>
      <c r="X92">
        <f>HYPERLINK("https://klasma.github.io/Logging_0763/tillsyn/A 69243-2018 tillsyn.docx", "A 69243-2018")</f>
        <v/>
      </c>
      <c r="Y92">
        <f>HYPERLINK("https://klasma.github.io/Logging_0763/tillsynsmail/A 69243-2018 tillsynsmail.docx", "A 69243-2018")</f>
        <v/>
      </c>
    </row>
    <row r="93" ht="15" customHeight="1">
      <c r="A93" t="inlineStr">
        <is>
          <t>A 69561-2018</t>
        </is>
      </c>
      <c r="B93" s="1" t="n">
        <v>43446</v>
      </c>
      <c r="C93" s="1" t="n">
        <v>45212</v>
      </c>
      <c r="D93" t="inlineStr">
        <is>
          <t>KRONOBERGS LÄN</t>
        </is>
      </c>
      <c r="E93" t="inlineStr">
        <is>
          <t>VÄXJÖ</t>
        </is>
      </c>
      <c r="F93" t="inlineStr">
        <is>
          <t>Sveaskog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HYPERLINK("https://klasma.github.io/Logging_0780/artfynd/A 69561-2018 artfynd.xlsx", "A 69561-2018")</f>
        <v/>
      </c>
      <c r="T93">
        <f>HYPERLINK("https://klasma.github.io/Logging_0780/karta/A 69561-2018 karta.png", "A 69561-2018")</f>
        <v/>
      </c>
      <c r="V93">
        <f>HYPERLINK("https://klasma.github.io/Logging_0780/klagomål/A 69561-2018 klagomål.docx", "A 69561-2018")</f>
        <v/>
      </c>
      <c r="W93">
        <f>HYPERLINK("https://klasma.github.io/Logging_0780/klagomålsmail/A 69561-2018 klagomålsmail.docx", "A 69561-2018")</f>
        <v/>
      </c>
      <c r="X93">
        <f>HYPERLINK("https://klasma.github.io/Logging_0780/tillsyn/A 69561-2018 tillsyn.docx", "A 69561-2018")</f>
        <v/>
      </c>
      <c r="Y93">
        <f>HYPERLINK("https://klasma.github.io/Logging_0780/tillsynsmail/A 69561-2018 tillsynsmail.docx", "A 69561-2018")</f>
        <v/>
      </c>
    </row>
    <row r="94" ht="15" customHeight="1">
      <c r="A94" t="inlineStr">
        <is>
          <t>A 71531-2018</t>
        </is>
      </c>
      <c r="B94" s="1" t="n">
        <v>43454</v>
      </c>
      <c r="C94" s="1" t="n">
        <v>45212</v>
      </c>
      <c r="D94" t="inlineStr">
        <is>
          <t>KRONOBERGS LÄN</t>
        </is>
      </c>
      <c r="E94" t="inlineStr">
        <is>
          <t>MARKARYD</t>
        </is>
      </c>
      <c r="G94" t="n">
        <v>1.2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HYPERLINK("https://klasma.github.io/Logging_0767/artfynd/A 71531-2018 artfynd.xlsx", "A 71531-2018")</f>
        <v/>
      </c>
      <c r="T94">
        <f>HYPERLINK("https://klasma.github.io/Logging_0767/karta/A 71531-2018 karta.png", "A 71531-2018")</f>
        <v/>
      </c>
      <c r="U94">
        <f>HYPERLINK("https://klasma.github.io/Logging_0767/knärot/A 71531-2018 knärot.png", "A 71531-2018")</f>
        <v/>
      </c>
      <c r="V94">
        <f>HYPERLINK("https://klasma.github.io/Logging_0767/klagomål/A 71531-2018 klagomål.docx", "A 71531-2018")</f>
        <v/>
      </c>
      <c r="W94">
        <f>HYPERLINK("https://klasma.github.io/Logging_0767/klagomålsmail/A 71531-2018 klagomålsmail.docx", "A 71531-2018")</f>
        <v/>
      </c>
      <c r="X94">
        <f>HYPERLINK("https://klasma.github.io/Logging_0767/tillsyn/A 71531-2018 tillsyn.docx", "A 71531-2018")</f>
        <v/>
      </c>
      <c r="Y94">
        <f>HYPERLINK("https://klasma.github.io/Logging_0767/tillsynsmail/A 71531-2018 tillsynsmail.docx", "A 71531-2018")</f>
        <v/>
      </c>
    </row>
    <row r="95" ht="15" customHeight="1">
      <c r="A95" t="inlineStr">
        <is>
          <t>A 2159-2019</t>
        </is>
      </c>
      <c r="B95" s="1" t="n">
        <v>43475</v>
      </c>
      <c r="C95" s="1" t="n">
        <v>45212</v>
      </c>
      <c r="D95" t="inlineStr">
        <is>
          <t>KRONOBERGS LÄN</t>
        </is>
      </c>
      <c r="E95" t="inlineStr">
        <is>
          <t>ALVESTA</t>
        </is>
      </c>
      <c r="G95" t="n">
        <v>6.7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Västlig hakmossa</t>
        </is>
      </c>
      <c r="S95">
        <f>HYPERLINK("https://klasma.github.io/Logging_0764/artfynd/A 2159-2019 artfynd.xlsx", "A 2159-2019")</f>
        <v/>
      </c>
      <c r="T95">
        <f>HYPERLINK("https://klasma.github.io/Logging_0764/karta/A 2159-2019 karta.png", "A 2159-2019")</f>
        <v/>
      </c>
      <c r="V95">
        <f>HYPERLINK("https://klasma.github.io/Logging_0764/klagomål/A 2159-2019 klagomål.docx", "A 2159-2019")</f>
        <v/>
      </c>
      <c r="W95">
        <f>HYPERLINK("https://klasma.github.io/Logging_0764/klagomålsmail/A 2159-2019 klagomålsmail.docx", "A 2159-2019")</f>
        <v/>
      </c>
      <c r="X95">
        <f>HYPERLINK("https://klasma.github.io/Logging_0764/tillsyn/A 2159-2019 tillsyn.docx", "A 2159-2019")</f>
        <v/>
      </c>
      <c r="Y95">
        <f>HYPERLINK("https://klasma.github.io/Logging_0764/tillsynsmail/A 2159-2019 tillsynsmail.docx", "A 2159-2019")</f>
        <v/>
      </c>
    </row>
    <row r="96" ht="15" customHeight="1">
      <c r="A96" t="inlineStr">
        <is>
          <t>A 4955-2019</t>
        </is>
      </c>
      <c r="B96" s="1" t="n">
        <v>43487</v>
      </c>
      <c r="C96" s="1" t="n">
        <v>45212</v>
      </c>
      <c r="D96" t="inlineStr">
        <is>
          <t>KRONOBERGS LÄN</t>
        </is>
      </c>
      <c r="E96" t="inlineStr">
        <is>
          <t>UPPVIDINGE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Loppstarr</t>
        </is>
      </c>
      <c r="S96">
        <f>HYPERLINK("https://klasma.github.io/Logging_0760/artfynd/A 4955-2019 artfynd.xlsx", "A 4955-2019")</f>
        <v/>
      </c>
      <c r="T96">
        <f>HYPERLINK("https://klasma.github.io/Logging_0760/karta/A 4955-2019 karta.png", "A 4955-2019")</f>
        <v/>
      </c>
      <c r="V96">
        <f>HYPERLINK("https://klasma.github.io/Logging_0760/klagomål/A 4955-2019 klagomål.docx", "A 4955-2019")</f>
        <v/>
      </c>
      <c r="W96">
        <f>HYPERLINK("https://klasma.github.io/Logging_0760/klagomålsmail/A 4955-2019 klagomålsmail.docx", "A 4955-2019")</f>
        <v/>
      </c>
      <c r="X96">
        <f>HYPERLINK("https://klasma.github.io/Logging_0760/tillsyn/A 4955-2019 tillsyn.docx", "A 4955-2019")</f>
        <v/>
      </c>
      <c r="Y96">
        <f>HYPERLINK("https://klasma.github.io/Logging_0760/tillsynsmail/A 4955-2019 tillsynsmail.docx", "A 4955-2019")</f>
        <v/>
      </c>
    </row>
    <row r="97" ht="15" customHeight="1">
      <c r="A97" t="inlineStr">
        <is>
          <t>A 4988-2019</t>
        </is>
      </c>
      <c r="B97" s="1" t="n">
        <v>43487</v>
      </c>
      <c r="C97" s="1" t="n">
        <v>45212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31.3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Mattlummer</t>
        </is>
      </c>
      <c r="S97">
        <f>HYPERLINK("https://klasma.github.io/Logging_0760/artfynd/A 4988-2019 artfynd.xlsx", "A 4988-2019")</f>
        <v/>
      </c>
      <c r="T97">
        <f>HYPERLINK("https://klasma.github.io/Logging_0760/karta/A 4988-2019 karta.png", "A 4988-2019")</f>
        <v/>
      </c>
      <c r="V97">
        <f>HYPERLINK("https://klasma.github.io/Logging_0760/klagomål/A 4988-2019 klagomål.docx", "A 4988-2019")</f>
        <v/>
      </c>
      <c r="W97">
        <f>HYPERLINK("https://klasma.github.io/Logging_0760/klagomålsmail/A 4988-2019 klagomålsmail.docx", "A 4988-2019")</f>
        <v/>
      </c>
      <c r="X97">
        <f>HYPERLINK("https://klasma.github.io/Logging_0760/tillsyn/A 4988-2019 tillsyn.docx", "A 4988-2019")</f>
        <v/>
      </c>
      <c r="Y97">
        <f>HYPERLINK("https://klasma.github.io/Logging_0760/tillsynsmail/A 4988-2019 tillsynsmail.docx", "A 4988-2019")</f>
        <v/>
      </c>
    </row>
    <row r="98" ht="15" customHeight="1">
      <c r="A98" t="inlineStr">
        <is>
          <t>A 8437-2019</t>
        </is>
      </c>
      <c r="B98" s="1" t="n">
        <v>43497</v>
      </c>
      <c r="C98" s="1" t="n">
        <v>45212</v>
      </c>
      <c r="D98" t="inlineStr">
        <is>
          <t>KRONOBERGS LÄN</t>
        </is>
      </c>
      <c r="E98" t="inlineStr">
        <is>
          <t>ALVESTA</t>
        </is>
      </c>
      <c r="G98" t="n">
        <v>5.5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Västlig hakmossa</t>
        </is>
      </c>
      <c r="S98">
        <f>HYPERLINK("https://klasma.github.io/Logging_0764/artfynd/A 8437-2019 artfynd.xlsx", "A 8437-2019")</f>
        <v/>
      </c>
      <c r="T98">
        <f>HYPERLINK("https://klasma.github.io/Logging_0764/karta/A 8437-2019 karta.png", "A 8437-2019")</f>
        <v/>
      </c>
      <c r="V98">
        <f>HYPERLINK("https://klasma.github.io/Logging_0764/klagomål/A 8437-2019 klagomål.docx", "A 8437-2019")</f>
        <v/>
      </c>
      <c r="W98">
        <f>HYPERLINK("https://klasma.github.io/Logging_0764/klagomålsmail/A 8437-2019 klagomålsmail.docx", "A 8437-2019")</f>
        <v/>
      </c>
      <c r="X98">
        <f>HYPERLINK("https://klasma.github.io/Logging_0764/tillsyn/A 8437-2019 tillsyn.docx", "A 8437-2019")</f>
        <v/>
      </c>
      <c r="Y98">
        <f>HYPERLINK("https://klasma.github.io/Logging_0764/tillsynsmail/A 8437-2019 tillsynsmail.docx", "A 8437-2019")</f>
        <v/>
      </c>
    </row>
    <row r="99" ht="15" customHeight="1">
      <c r="A99" t="inlineStr">
        <is>
          <t>A 9887-2019</t>
        </is>
      </c>
      <c r="B99" s="1" t="n">
        <v>43509</v>
      </c>
      <c r="C99" s="1" t="n">
        <v>45212</v>
      </c>
      <c r="D99" t="inlineStr">
        <is>
          <t>KRONOBERGS LÄN</t>
        </is>
      </c>
      <c r="E99" t="inlineStr">
        <is>
          <t>UPPVIDINGE</t>
        </is>
      </c>
      <c r="G99" t="n">
        <v>2.3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Fjällig taggsvamp s.str.</t>
        </is>
      </c>
      <c r="S99">
        <f>HYPERLINK("https://klasma.github.io/Logging_0760/artfynd/A 9887-2019 artfynd.xlsx", "A 9887-2019")</f>
        <v/>
      </c>
      <c r="T99">
        <f>HYPERLINK("https://klasma.github.io/Logging_0760/karta/A 9887-2019 karta.png", "A 9887-2019")</f>
        <v/>
      </c>
      <c r="V99">
        <f>HYPERLINK("https://klasma.github.io/Logging_0760/klagomål/A 9887-2019 klagomål.docx", "A 9887-2019")</f>
        <v/>
      </c>
      <c r="W99">
        <f>HYPERLINK("https://klasma.github.io/Logging_0760/klagomålsmail/A 9887-2019 klagomålsmail.docx", "A 9887-2019")</f>
        <v/>
      </c>
      <c r="X99">
        <f>HYPERLINK("https://klasma.github.io/Logging_0760/tillsyn/A 9887-2019 tillsyn.docx", "A 9887-2019")</f>
        <v/>
      </c>
      <c r="Y99">
        <f>HYPERLINK("https://klasma.github.io/Logging_0760/tillsynsmail/A 9887-2019 tillsynsmail.docx", "A 9887-2019")</f>
        <v/>
      </c>
    </row>
    <row r="100" ht="15" customHeight="1">
      <c r="A100" t="inlineStr">
        <is>
          <t>A 10169-2019</t>
        </is>
      </c>
      <c r="B100" s="1" t="n">
        <v>43510</v>
      </c>
      <c r="C100" s="1" t="n">
        <v>45212</v>
      </c>
      <c r="D100" t="inlineStr">
        <is>
          <t>KRONOBERGS LÄN</t>
        </is>
      </c>
      <c r="E100" t="inlineStr">
        <is>
          <t>LJUNGBY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Borsttåg</t>
        </is>
      </c>
      <c r="S100">
        <f>HYPERLINK("https://klasma.github.io/Logging_0781/artfynd/A 10169-2019 artfynd.xlsx", "A 10169-2019")</f>
        <v/>
      </c>
      <c r="T100">
        <f>HYPERLINK("https://klasma.github.io/Logging_0781/karta/A 10169-2019 karta.png", "A 10169-2019")</f>
        <v/>
      </c>
      <c r="V100">
        <f>HYPERLINK("https://klasma.github.io/Logging_0781/klagomål/A 10169-2019 klagomål.docx", "A 10169-2019")</f>
        <v/>
      </c>
      <c r="W100">
        <f>HYPERLINK("https://klasma.github.io/Logging_0781/klagomålsmail/A 10169-2019 klagomålsmail.docx", "A 10169-2019")</f>
        <v/>
      </c>
      <c r="X100">
        <f>HYPERLINK("https://klasma.github.io/Logging_0781/tillsyn/A 10169-2019 tillsyn.docx", "A 10169-2019")</f>
        <v/>
      </c>
      <c r="Y100">
        <f>HYPERLINK("https://klasma.github.io/Logging_0781/tillsynsmail/A 10169-2019 tillsynsmail.docx", "A 10169-2019")</f>
        <v/>
      </c>
    </row>
    <row r="101" ht="15" customHeight="1">
      <c r="A101" t="inlineStr">
        <is>
          <t>A 12414-2019</t>
        </is>
      </c>
      <c r="B101" s="1" t="n">
        <v>43523</v>
      </c>
      <c r="C101" s="1" t="n">
        <v>45212</v>
      </c>
      <c r="D101" t="inlineStr">
        <is>
          <t>KRONOBERGS LÄN</t>
        </is>
      </c>
      <c r="E101" t="inlineStr">
        <is>
          <t>ALVESTA</t>
        </is>
      </c>
      <c r="G101" t="n">
        <v>2.7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HYPERLINK("https://klasma.github.io/Logging_0764/artfynd/A 12414-2019 artfynd.xlsx", "A 12414-2019")</f>
        <v/>
      </c>
      <c r="T101">
        <f>HYPERLINK("https://klasma.github.io/Logging_0764/karta/A 12414-2019 karta.png", "A 12414-2019")</f>
        <v/>
      </c>
      <c r="V101">
        <f>HYPERLINK("https://klasma.github.io/Logging_0764/klagomål/A 12414-2019 klagomål.docx", "A 12414-2019")</f>
        <v/>
      </c>
      <c r="W101">
        <f>HYPERLINK("https://klasma.github.io/Logging_0764/klagomålsmail/A 12414-2019 klagomålsmail.docx", "A 12414-2019")</f>
        <v/>
      </c>
      <c r="X101">
        <f>HYPERLINK("https://klasma.github.io/Logging_0764/tillsyn/A 12414-2019 tillsyn.docx", "A 12414-2019")</f>
        <v/>
      </c>
      <c r="Y101">
        <f>HYPERLINK("https://klasma.github.io/Logging_0764/tillsynsmail/A 12414-2019 tillsynsmail.docx", "A 12414-2019")</f>
        <v/>
      </c>
    </row>
    <row r="102" ht="15" customHeight="1">
      <c r="A102" t="inlineStr">
        <is>
          <t>A 17331-2019</t>
        </is>
      </c>
      <c r="B102" s="1" t="n">
        <v>43550</v>
      </c>
      <c r="C102" s="1" t="n">
        <v>45212</v>
      </c>
      <c r="D102" t="inlineStr">
        <is>
          <t>KRONOBERGS LÄN</t>
        </is>
      </c>
      <c r="E102" t="inlineStr">
        <is>
          <t>LJUNGBY</t>
        </is>
      </c>
      <c r="G102" t="n">
        <v>6.9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HYPERLINK("https://klasma.github.io/Logging_0781/artfynd/A 17331-2019 artfynd.xlsx", "A 17331-2019")</f>
        <v/>
      </c>
      <c r="T102">
        <f>HYPERLINK("https://klasma.github.io/Logging_0781/karta/A 17331-2019 karta.png", "A 17331-2019")</f>
        <v/>
      </c>
      <c r="U102">
        <f>HYPERLINK("https://klasma.github.io/Logging_0781/knärot/A 17331-2019 knärot.png", "A 17331-2019")</f>
        <v/>
      </c>
      <c r="V102">
        <f>HYPERLINK("https://klasma.github.io/Logging_0781/klagomål/A 17331-2019 klagomål.docx", "A 17331-2019")</f>
        <v/>
      </c>
      <c r="W102">
        <f>HYPERLINK("https://klasma.github.io/Logging_0781/klagomålsmail/A 17331-2019 klagomålsmail.docx", "A 17331-2019")</f>
        <v/>
      </c>
      <c r="X102">
        <f>HYPERLINK("https://klasma.github.io/Logging_0781/tillsyn/A 17331-2019 tillsyn.docx", "A 17331-2019")</f>
        <v/>
      </c>
      <c r="Y102">
        <f>HYPERLINK("https://klasma.github.io/Logging_0781/tillsynsmail/A 17331-2019 tillsynsmail.docx", "A 17331-2019")</f>
        <v/>
      </c>
    </row>
    <row r="103" ht="15" customHeight="1">
      <c r="A103" t="inlineStr">
        <is>
          <t>A 18590-2019</t>
        </is>
      </c>
      <c r="B103" s="1" t="n">
        <v>43560</v>
      </c>
      <c r="C103" s="1" t="n">
        <v>45212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Gropticka</t>
        </is>
      </c>
      <c r="S103">
        <f>HYPERLINK("https://klasma.github.io/Logging_0764/artfynd/A 18590-2019 artfynd.xlsx", "A 18590-2019")</f>
        <v/>
      </c>
      <c r="T103">
        <f>HYPERLINK("https://klasma.github.io/Logging_0764/karta/A 18590-2019 karta.png", "A 18590-2019")</f>
        <v/>
      </c>
      <c r="V103">
        <f>HYPERLINK("https://klasma.github.io/Logging_0764/klagomål/A 18590-2019 klagomål.docx", "A 18590-2019")</f>
        <v/>
      </c>
      <c r="W103">
        <f>HYPERLINK("https://klasma.github.io/Logging_0764/klagomålsmail/A 18590-2019 klagomålsmail.docx", "A 18590-2019")</f>
        <v/>
      </c>
      <c r="X103">
        <f>HYPERLINK("https://klasma.github.io/Logging_0764/tillsyn/A 18590-2019 tillsyn.docx", "A 18590-2019")</f>
        <v/>
      </c>
      <c r="Y103">
        <f>HYPERLINK("https://klasma.github.io/Logging_0764/tillsynsmail/A 18590-2019 tillsynsmail.docx", "A 18590-2019")</f>
        <v/>
      </c>
    </row>
    <row r="104" ht="15" customHeight="1">
      <c r="A104" t="inlineStr">
        <is>
          <t>A 22170-2019</t>
        </is>
      </c>
      <c r="B104" s="1" t="n">
        <v>43585</v>
      </c>
      <c r="C104" s="1" t="n">
        <v>45212</v>
      </c>
      <c r="D104" t="inlineStr">
        <is>
          <t>KRONOBERGS LÄN</t>
        </is>
      </c>
      <c r="E104" t="inlineStr">
        <is>
          <t>TINGSRYD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HYPERLINK("https://klasma.github.io/Logging_0763/artfynd/A 22170-2019 artfynd.xlsx", "A 22170-2019")</f>
        <v/>
      </c>
      <c r="T104">
        <f>HYPERLINK("https://klasma.github.io/Logging_0763/karta/A 22170-2019 karta.png", "A 22170-2019")</f>
        <v/>
      </c>
      <c r="V104">
        <f>HYPERLINK("https://klasma.github.io/Logging_0763/klagomål/A 22170-2019 klagomål.docx", "A 22170-2019")</f>
        <v/>
      </c>
      <c r="W104">
        <f>HYPERLINK("https://klasma.github.io/Logging_0763/klagomålsmail/A 22170-2019 klagomålsmail.docx", "A 22170-2019")</f>
        <v/>
      </c>
      <c r="X104">
        <f>HYPERLINK("https://klasma.github.io/Logging_0763/tillsyn/A 22170-2019 tillsyn.docx", "A 22170-2019")</f>
        <v/>
      </c>
      <c r="Y104">
        <f>HYPERLINK("https://klasma.github.io/Logging_0763/tillsynsmail/A 22170-2019 tillsynsmail.docx", "A 22170-2019")</f>
        <v/>
      </c>
    </row>
    <row r="105" ht="15" customHeight="1">
      <c r="A105" t="inlineStr">
        <is>
          <t>A 22980-2019</t>
        </is>
      </c>
      <c r="B105" s="1" t="n">
        <v>43591</v>
      </c>
      <c r="C105" s="1" t="n">
        <v>45212</v>
      </c>
      <c r="D105" t="inlineStr">
        <is>
          <t>KRONOBERGS LÄN</t>
        </is>
      </c>
      <c r="E105" t="inlineStr">
        <is>
          <t>ALVESTA</t>
        </is>
      </c>
      <c r="G105" t="n">
        <v>4.9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HYPERLINK("https://klasma.github.io/Logging_0764/artfynd/A 22980-2019 artfynd.xlsx", "A 22980-2019")</f>
        <v/>
      </c>
      <c r="T105">
        <f>HYPERLINK("https://klasma.github.io/Logging_0764/karta/A 22980-2019 karta.png", "A 22980-2019")</f>
        <v/>
      </c>
      <c r="V105">
        <f>HYPERLINK("https://klasma.github.io/Logging_0764/klagomål/A 22980-2019 klagomål.docx", "A 22980-2019")</f>
        <v/>
      </c>
      <c r="W105">
        <f>HYPERLINK("https://klasma.github.io/Logging_0764/klagomålsmail/A 22980-2019 klagomålsmail.docx", "A 22980-2019")</f>
        <v/>
      </c>
      <c r="X105">
        <f>HYPERLINK("https://klasma.github.io/Logging_0764/tillsyn/A 22980-2019 tillsyn.docx", "A 22980-2019")</f>
        <v/>
      </c>
      <c r="Y105">
        <f>HYPERLINK("https://klasma.github.io/Logging_0764/tillsynsmail/A 22980-2019 tillsynsmail.docx", "A 22980-2019")</f>
        <v/>
      </c>
    </row>
    <row r="106" ht="15" customHeight="1">
      <c r="A106" t="inlineStr">
        <is>
          <t>A 26557-2019</t>
        </is>
      </c>
      <c r="B106" s="1" t="n">
        <v>43612</v>
      </c>
      <c r="C106" s="1" t="n">
        <v>45212</v>
      </c>
      <c r="D106" t="inlineStr">
        <is>
          <t>KRONOBERGS LÄN</t>
        </is>
      </c>
      <c r="E106" t="inlineStr">
        <is>
          <t>ALVESTA</t>
        </is>
      </c>
      <c r="F106" t="inlineStr">
        <is>
          <t>Kommuner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Silkesslidskivling</t>
        </is>
      </c>
      <c r="S106">
        <f>HYPERLINK("https://klasma.github.io/Logging_0764/artfynd/A 26557-2019 artfynd.xlsx", "A 26557-2019")</f>
        <v/>
      </c>
      <c r="T106">
        <f>HYPERLINK("https://klasma.github.io/Logging_0764/karta/A 26557-2019 karta.png", "A 26557-2019")</f>
        <v/>
      </c>
      <c r="V106">
        <f>HYPERLINK("https://klasma.github.io/Logging_0764/klagomål/A 26557-2019 klagomål.docx", "A 26557-2019")</f>
        <v/>
      </c>
      <c r="W106">
        <f>HYPERLINK("https://klasma.github.io/Logging_0764/klagomålsmail/A 26557-2019 klagomålsmail.docx", "A 26557-2019")</f>
        <v/>
      </c>
      <c r="X106">
        <f>HYPERLINK("https://klasma.github.io/Logging_0764/tillsyn/A 26557-2019 tillsyn.docx", "A 26557-2019")</f>
        <v/>
      </c>
      <c r="Y106">
        <f>HYPERLINK("https://klasma.github.io/Logging_0764/tillsynsmail/A 26557-2019 tillsynsmail.docx", "A 26557-2019")</f>
        <v/>
      </c>
    </row>
    <row r="107" ht="15" customHeight="1">
      <c r="A107" t="inlineStr">
        <is>
          <t>A 29192-2019</t>
        </is>
      </c>
      <c r="B107" s="1" t="n">
        <v>43623</v>
      </c>
      <c r="C107" s="1" t="n">
        <v>45212</v>
      </c>
      <c r="D107" t="inlineStr">
        <is>
          <t>KRONOBERGS LÄN</t>
        </is>
      </c>
      <c r="E107" t="inlineStr">
        <is>
          <t>UPPVIDINGE</t>
        </is>
      </c>
      <c r="G107" t="n">
        <v>1.7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Blomkålssvamp</t>
        </is>
      </c>
      <c r="S107">
        <f>HYPERLINK("https://klasma.github.io/Logging_0760/artfynd/A 29192-2019 artfynd.xlsx", "A 29192-2019")</f>
        <v/>
      </c>
      <c r="T107">
        <f>HYPERLINK("https://klasma.github.io/Logging_0760/karta/A 29192-2019 karta.png", "A 29192-2019")</f>
        <v/>
      </c>
      <c r="V107">
        <f>HYPERLINK("https://klasma.github.io/Logging_0760/klagomål/A 29192-2019 klagomål.docx", "A 29192-2019")</f>
        <v/>
      </c>
      <c r="W107">
        <f>HYPERLINK("https://klasma.github.io/Logging_0760/klagomålsmail/A 29192-2019 klagomålsmail.docx", "A 29192-2019")</f>
        <v/>
      </c>
      <c r="X107">
        <f>HYPERLINK("https://klasma.github.io/Logging_0760/tillsyn/A 29192-2019 tillsyn.docx", "A 29192-2019")</f>
        <v/>
      </c>
      <c r="Y107">
        <f>HYPERLINK("https://klasma.github.io/Logging_0760/tillsynsmail/A 29192-2019 tillsynsmail.docx", "A 29192-2019")</f>
        <v/>
      </c>
    </row>
    <row r="108" ht="15" customHeight="1">
      <c r="A108" t="inlineStr">
        <is>
          <t>A 32517-2019</t>
        </is>
      </c>
      <c r="B108" s="1" t="n">
        <v>43646</v>
      </c>
      <c r="C108" s="1" t="n">
        <v>45212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HYPERLINK("https://klasma.github.io/Logging_0780/artfynd/A 32517-2019 artfynd.xlsx", "A 32517-2019")</f>
        <v/>
      </c>
      <c r="T108">
        <f>HYPERLINK("https://klasma.github.io/Logging_0780/karta/A 32517-2019 karta.png", "A 32517-2019")</f>
        <v/>
      </c>
      <c r="V108">
        <f>HYPERLINK("https://klasma.github.io/Logging_0780/klagomål/A 32517-2019 klagomål.docx", "A 32517-2019")</f>
        <v/>
      </c>
      <c r="W108">
        <f>HYPERLINK("https://klasma.github.io/Logging_0780/klagomålsmail/A 32517-2019 klagomålsmail.docx", "A 32517-2019")</f>
        <v/>
      </c>
      <c r="X108">
        <f>HYPERLINK("https://klasma.github.io/Logging_0780/tillsyn/A 32517-2019 tillsyn.docx", "A 32517-2019")</f>
        <v/>
      </c>
      <c r="Y108">
        <f>HYPERLINK("https://klasma.github.io/Logging_0780/tillsynsmail/A 32517-2019 tillsynsmail.docx", "A 32517-2019")</f>
        <v/>
      </c>
    </row>
    <row r="109" ht="15" customHeight="1">
      <c r="A109" t="inlineStr">
        <is>
          <t>A 40952-2019</t>
        </is>
      </c>
      <c r="B109" s="1" t="n">
        <v>43696</v>
      </c>
      <c r="C109" s="1" t="n">
        <v>45212</v>
      </c>
      <c r="D109" t="inlineStr">
        <is>
          <t>KRONOBERGS LÄN</t>
        </is>
      </c>
      <c r="E109" t="inlineStr">
        <is>
          <t>UPPVIDINGE</t>
        </is>
      </c>
      <c r="G109" t="n">
        <v>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40952-2019 artfynd.xlsx", "A 40952-2019")</f>
        <v/>
      </c>
      <c r="T109">
        <f>HYPERLINK("https://klasma.github.io/Logging_0760/karta/A 40952-2019 karta.png", "A 40952-2019")</f>
        <v/>
      </c>
      <c r="V109">
        <f>HYPERLINK("https://klasma.github.io/Logging_0760/klagomål/A 40952-2019 klagomål.docx", "A 40952-2019")</f>
        <v/>
      </c>
      <c r="W109">
        <f>HYPERLINK("https://klasma.github.io/Logging_0760/klagomålsmail/A 40952-2019 klagomålsmail.docx", "A 40952-2019")</f>
        <v/>
      </c>
      <c r="X109">
        <f>HYPERLINK("https://klasma.github.io/Logging_0760/tillsyn/A 40952-2019 tillsyn.docx", "A 40952-2019")</f>
        <v/>
      </c>
      <c r="Y109">
        <f>HYPERLINK("https://klasma.github.io/Logging_0760/tillsynsmail/A 40952-2019 tillsynsmail.docx", "A 40952-2019")</f>
        <v/>
      </c>
    </row>
    <row r="110" ht="15" customHeight="1">
      <c r="A110" t="inlineStr">
        <is>
          <t>A 41158-2019</t>
        </is>
      </c>
      <c r="B110" s="1" t="n">
        <v>43698</v>
      </c>
      <c r="C110" s="1" t="n">
        <v>45212</v>
      </c>
      <c r="D110" t="inlineStr">
        <is>
          <t>KRONOBERGS LÄN</t>
        </is>
      </c>
      <c r="E110" t="inlineStr">
        <is>
          <t>VÄXJÖ</t>
        </is>
      </c>
      <c r="G110" t="n">
        <v>6.5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HYPERLINK("https://klasma.github.io/Logging_0780/artfynd/A 41158-2019 artfynd.xlsx", "A 41158-2019")</f>
        <v/>
      </c>
      <c r="T110">
        <f>HYPERLINK("https://klasma.github.io/Logging_0780/karta/A 41158-2019 karta.png", "A 41158-2019")</f>
        <v/>
      </c>
      <c r="U110">
        <f>HYPERLINK("https://klasma.github.io/Logging_0780/knärot/A 41158-2019 knärot.png", "A 41158-2019")</f>
        <v/>
      </c>
      <c r="V110">
        <f>HYPERLINK("https://klasma.github.io/Logging_0780/klagomål/A 41158-2019 klagomål.docx", "A 41158-2019")</f>
        <v/>
      </c>
      <c r="W110">
        <f>HYPERLINK("https://klasma.github.io/Logging_0780/klagomålsmail/A 41158-2019 klagomålsmail.docx", "A 41158-2019")</f>
        <v/>
      </c>
      <c r="X110">
        <f>HYPERLINK("https://klasma.github.io/Logging_0780/tillsyn/A 41158-2019 tillsyn.docx", "A 41158-2019")</f>
        <v/>
      </c>
      <c r="Y110">
        <f>HYPERLINK("https://klasma.github.io/Logging_0780/tillsynsmail/A 41158-2019 tillsynsmail.docx", "A 41158-2019")</f>
        <v/>
      </c>
    </row>
    <row r="111" ht="15" customHeight="1">
      <c r="A111" t="inlineStr">
        <is>
          <t>A 53911-2019</t>
        </is>
      </c>
      <c r="B111" s="1" t="n">
        <v>43741</v>
      </c>
      <c r="C111" s="1" t="n">
        <v>45212</v>
      </c>
      <c r="D111" t="inlineStr">
        <is>
          <t>KRONOBERGS LÄN</t>
        </is>
      </c>
      <c r="E111" t="inlineStr">
        <is>
          <t>ALVESTA</t>
        </is>
      </c>
      <c r="G111" t="n">
        <v>24.1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Sotlav</t>
        </is>
      </c>
      <c r="S111">
        <f>HYPERLINK("https://klasma.github.io/Logging_0764/artfynd/A 53911-2019 artfynd.xlsx", "A 53911-2019")</f>
        <v/>
      </c>
      <c r="T111">
        <f>HYPERLINK("https://klasma.github.io/Logging_0764/karta/A 53911-2019 karta.png", "A 53911-2019")</f>
        <v/>
      </c>
      <c r="V111">
        <f>HYPERLINK("https://klasma.github.io/Logging_0764/klagomål/A 53911-2019 klagomål.docx", "A 53911-2019")</f>
        <v/>
      </c>
      <c r="W111">
        <f>HYPERLINK("https://klasma.github.io/Logging_0764/klagomålsmail/A 53911-2019 klagomålsmail.docx", "A 53911-2019")</f>
        <v/>
      </c>
      <c r="X111">
        <f>HYPERLINK("https://klasma.github.io/Logging_0764/tillsyn/A 53911-2019 tillsyn.docx", "A 53911-2019")</f>
        <v/>
      </c>
      <c r="Y111">
        <f>HYPERLINK("https://klasma.github.io/Logging_0764/tillsynsmail/A 53911-2019 tillsynsmail.docx", "A 53911-2019")</f>
        <v/>
      </c>
    </row>
    <row r="112" ht="15" customHeight="1">
      <c r="A112" t="inlineStr">
        <is>
          <t>A 54638-2019</t>
        </is>
      </c>
      <c r="B112" s="1" t="n">
        <v>43748</v>
      </c>
      <c r="C112" s="1" t="n">
        <v>45212</v>
      </c>
      <c r="D112" t="inlineStr">
        <is>
          <t>KRONOBERGS LÄN</t>
        </is>
      </c>
      <c r="E112" t="inlineStr">
        <is>
          <t>LJUNGBY</t>
        </is>
      </c>
      <c r="G112" t="n">
        <v>12.3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Hasselmus</t>
        </is>
      </c>
      <c r="S112">
        <f>HYPERLINK("https://klasma.github.io/Logging_0781/artfynd/A 54638-2019 artfynd.xlsx", "A 54638-2019")</f>
        <v/>
      </c>
      <c r="T112">
        <f>HYPERLINK("https://klasma.github.io/Logging_0781/karta/A 54638-2019 karta.png", "A 54638-2019")</f>
        <v/>
      </c>
      <c r="V112">
        <f>HYPERLINK("https://klasma.github.io/Logging_0781/klagomål/A 54638-2019 klagomål.docx", "A 54638-2019")</f>
        <v/>
      </c>
      <c r="W112">
        <f>HYPERLINK("https://klasma.github.io/Logging_0781/klagomålsmail/A 54638-2019 klagomålsmail.docx", "A 54638-2019")</f>
        <v/>
      </c>
      <c r="X112">
        <f>HYPERLINK("https://klasma.github.io/Logging_0781/tillsyn/A 54638-2019 tillsyn.docx", "A 54638-2019")</f>
        <v/>
      </c>
      <c r="Y112">
        <f>HYPERLINK("https://klasma.github.io/Logging_0781/tillsynsmail/A 54638-2019 tillsynsmail.docx", "A 54638-2019")</f>
        <v/>
      </c>
    </row>
    <row r="113" ht="15" customHeight="1">
      <c r="A113" t="inlineStr">
        <is>
          <t>A 62203-2019</t>
        </is>
      </c>
      <c r="B113" s="1" t="n">
        <v>43788</v>
      </c>
      <c r="C113" s="1" t="n">
        <v>45212</v>
      </c>
      <c r="D113" t="inlineStr">
        <is>
          <t>KRONOBERGS LÄN</t>
        </is>
      </c>
      <c r="E113" t="inlineStr">
        <is>
          <t>LJUNGBY</t>
        </is>
      </c>
      <c r="G113" t="n">
        <v>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Nattviol</t>
        </is>
      </c>
      <c r="S113">
        <f>HYPERLINK("https://klasma.github.io/Logging_0781/artfynd/A 62203-2019 artfynd.xlsx", "A 62203-2019")</f>
        <v/>
      </c>
      <c r="T113">
        <f>HYPERLINK("https://klasma.github.io/Logging_0781/karta/A 62203-2019 karta.png", "A 62203-2019")</f>
        <v/>
      </c>
      <c r="V113">
        <f>HYPERLINK("https://klasma.github.io/Logging_0781/klagomål/A 62203-2019 klagomål.docx", "A 62203-2019")</f>
        <v/>
      </c>
      <c r="W113">
        <f>HYPERLINK("https://klasma.github.io/Logging_0781/klagomålsmail/A 62203-2019 klagomålsmail.docx", "A 62203-2019")</f>
        <v/>
      </c>
      <c r="X113">
        <f>HYPERLINK("https://klasma.github.io/Logging_0781/tillsyn/A 62203-2019 tillsyn.docx", "A 62203-2019")</f>
        <v/>
      </c>
      <c r="Y113">
        <f>HYPERLINK("https://klasma.github.io/Logging_0781/tillsynsmail/A 62203-2019 tillsynsmail.docx", "A 62203-2019")</f>
        <v/>
      </c>
    </row>
    <row r="114" ht="15" customHeight="1">
      <c r="A114" t="inlineStr">
        <is>
          <t>A 63168-2019</t>
        </is>
      </c>
      <c r="B114" s="1" t="n">
        <v>43791</v>
      </c>
      <c r="C114" s="1" t="n">
        <v>45212</v>
      </c>
      <c r="D114" t="inlineStr">
        <is>
          <t>KRONOBERGS LÄN</t>
        </is>
      </c>
      <c r="E114" t="inlineStr">
        <is>
          <t>UPPVIDINGE</t>
        </is>
      </c>
      <c r="G114" t="n">
        <v>7.4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Knärot</t>
        </is>
      </c>
      <c r="S114">
        <f>HYPERLINK("https://klasma.github.io/Logging_0760/artfynd/A 63168-2019 artfynd.xlsx", "A 63168-2019")</f>
        <v/>
      </c>
      <c r="T114">
        <f>HYPERLINK("https://klasma.github.io/Logging_0760/karta/A 63168-2019 karta.png", "A 63168-2019")</f>
        <v/>
      </c>
      <c r="U114">
        <f>HYPERLINK("https://klasma.github.io/Logging_0760/knärot/A 63168-2019 knärot.png", "A 63168-2019")</f>
        <v/>
      </c>
      <c r="V114">
        <f>HYPERLINK("https://klasma.github.io/Logging_0760/klagomål/A 63168-2019 klagomål.docx", "A 63168-2019")</f>
        <v/>
      </c>
      <c r="W114">
        <f>HYPERLINK("https://klasma.github.io/Logging_0760/klagomålsmail/A 63168-2019 klagomålsmail.docx", "A 63168-2019")</f>
        <v/>
      </c>
      <c r="X114">
        <f>HYPERLINK("https://klasma.github.io/Logging_0760/tillsyn/A 63168-2019 tillsyn.docx", "A 63168-2019")</f>
        <v/>
      </c>
      <c r="Y114">
        <f>HYPERLINK("https://klasma.github.io/Logging_0760/tillsynsmail/A 63168-2019 tillsynsmail.docx", "A 63168-2019")</f>
        <v/>
      </c>
    </row>
    <row r="115" ht="15" customHeight="1">
      <c r="A115" t="inlineStr">
        <is>
          <t>A 63735-2019</t>
        </is>
      </c>
      <c r="B115" s="1" t="n">
        <v>43795</v>
      </c>
      <c r="C115" s="1" t="n">
        <v>45212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Mellanlummer</t>
        </is>
      </c>
      <c r="S115">
        <f>HYPERLINK("https://klasma.github.io/Logging_0760/artfynd/A 63735-2019 artfynd.xlsx", "A 63735-2019")</f>
        <v/>
      </c>
      <c r="T115">
        <f>HYPERLINK("https://klasma.github.io/Logging_0760/karta/A 63735-2019 karta.png", "A 63735-2019")</f>
        <v/>
      </c>
      <c r="V115">
        <f>HYPERLINK("https://klasma.github.io/Logging_0760/klagomål/A 63735-2019 klagomål.docx", "A 63735-2019")</f>
        <v/>
      </c>
      <c r="W115">
        <f>HYPERLINK("https://klasma.github.io/Logging_0760/klagomålsmail/A 63735-2019 klagomålsmail.docx", "A 63735-2019")</f>
        <v/>
      </c>
      <c r="X115">
        <f>HYPERLINK("https://klasma.github.io/Logging_0760/tillsyn/A 63735-2019 tillsyn.docx", "A 63735-2019")</f>
        <v/>
      </c>
      <c r="Y115">
        <f>HYPERLINK("https://klasma.github.io/Logging_0760/tillsynsmail/A 63735-2019 tillsynsmail.docx", "A 63735-2019")</f>
        <v/>
      </c>
    </row>
    <row r="116" ht="15" customHeight="1">
      <c r="A116" t="inlineStr">
        <is>
          <t>A 65143-2019</t>
        </is>
      </c>
      <c r="B116" s="1" t="n">
        <v>43802</v>
      </c>
      <c r="C116" s="1" t="n">
        <v>45212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2.8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Kopparödla</t>
        </is>
      </c>
      <c r="S116">
        <f>HYPERLINK("https://klasma.github.io/Logging_0761/artfynd/A 65143-2019 artfynd.xlsx", "A 65143-2019")</f>
        <v/>
      </c>
      <c r="T116">
        <f>HYPERLINK("https://klasma.github.io/Logging_0761/karta/A 65143-2019 karta.png", "A 65143-2019")</f>
        <v/>
      </c>
      <c r="V116">
        <f>HYPERLINK("https://klasma.github.io/Logging_0761/klagomål/A 65143-2019 klagomål.docx", "A 65143-2019")</f>
        <v/>
      </c>
      <c r="W116">
        <f>HYPERLINK("https://klasma.github.io/Logging_0761/klagomålsmail/A 65143-2019 klagomålsmail.docx", "A 65143-2019")</f>
        <v/>
      </c>
      <c r="X116">
        <f>HYPERLINK("https://klasma.github.io/Logging_0761/tillsyn/A 65143-2019 tillsyn.docx", "A 65143-2019")</f>
        <v/>
      </c>
      <c r="Y116">
        <f>HYPERLINK("https://klasma.github.io/Logging_0761/tillsynsmail/A 65143-2019 tillsynsmail.docx", "A 65143-2019")</f>
        <v/>
      </c>
    </row>
    <row r="117" ht="15" customHeight="1">
      <c r="A117" t="inlineStr">
        <is>
          <t>A 4757-2020</t>
        </is>
      </c>
      <c r="B117" s="1" t="n">
        <v>43850</v>
      </c>
      <c r="C117" s="1" t="n">
        <v>45212</v>
      </c>
      <c r="D117" t="inlineStr">
        <is>
          <t>KRONOBERGS LÄN</t>
        </is>
      </c>
      <c r="E117" t="inlineStr">
        <is>
          <t>UPPVIDINGE</t>
        </is>
      </c>
      <c r="F117" t="inlineStr">
        <is>
          <t>Kommuner</t>
        </is>
      </c>
      <c r="G117" t="n">
        <v>2.6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Granbräken</t>
        </is>
      </c>
      <c r="S117">
        <f>HYPERLINK("https://klasma.github.io/Logging_0760/artfynd/A 4757-2020 artfynd.xlsx", "A 4757-2020")</f>
        <v/>
      </c>
      <c r="T117">
        <f>HYPERLINK("https://klasma.github.io/Logging_0760/karta/A 4757-2020 karta.png", "A 4757-2020")</f>
        <v/>
      </c>
      <c r="V117">
        <f>HYPERLINK("https://klasma.github.io/Logging_0760/klagomål/A 4757-2020 klagomål.docx", "A 4757-2020")</f>
        <v/>
      </c>
      <c r="W117">
        <f>HYPERLINK("https://klasma.github.io/Logging_0760/klagomålsmail/A 4757-2020 klagomålsmail.docx", "A 4757-2020")</f>
        <v/>
      </c>
      <c r="X117">
        <f>HYPERLINK("https://klasma.github.io/Logging_0760/tillsyn/A 4757-2020 tillsyn.docx", "A 4757-2020")</f>
        <v/>
      </c>
      <c r="Y117">
        <f>HYPERLINK("https://klasma.github.io/Logging_0760/tillsynsmail/A 4757-2020 tillsynsmail.docx", "A 4757-2020")</f>
        <v/>
      </c>
    </row>
    <row r="118" ht="15" customHeight="1">
      <c r="A118" t="inlineStr">
        <is>
          <t>A 4022-2020</t>
        </is>
      </c>
      <c r="B118" s="1" t="n">
        <v>43857</v>
      </c>
      <c r="C118" s="1" t="n">
        <v>45212</v>
      </c>
      <c r="D118" t="inlineStr">
        <is>
          <t>KRONOBERGS LÄN</t>
        </is>
      </c>
      <c r="E118" t="inlineStr">
        <is>
          <t>TINGSRYD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Nattviol</t>
        </is>
      </c>
      <c r="S118">
        <f>HYPERLINK("https://klasma.github.io/Logging_0763/artfynd/A 4022-2020 artfynd.xlsx", "A 4022-2020")</f>
        <v/>
      </c>
      <c r="T118">
        <f>HYPERLINK("https://klasma.github.io/Logging_0763/karta/A 4022-2020 karta.png", "A 4022-2020")</f>
        <v/>
      </c>
      <c r="V118">
        <f>HYPERLINK("https://klasma.github.io/Logging_0763/klagomål/A 4022-2020 klagomål.docx", "A 4022-2020")</f>
        <v/>
      </c>
      <c r="W118">
        <f>HYPERLINK("https://klasma.github.io/Logging_0763/klagomålsmail/A 4022-2020 klagomålsmail.docx", "A 4022-2020")</f>
        <v/>
      </c>
      <c r="X118">
        <f>HYPERLINK("https://klasma.github.io/Logging_0763/tillsyn/A 4022-2020 tillsyn.docx", "A 4022-2020")</f>
        <v/>
      </c>
      <c r="Y118">
        <f>HYPERLINK("https://klasma.github.io/Logging_0763/tillsynsmail/A 4022-2020 tillsynsmail.docx", "A 4022-2020")</f>
        <v/>
      </c>
    </row>
    <row r="119" ht="15" customHeight="1">
      <c r="A119" t="inlineStr">
        <is>
          <t>A 5701-2020</t>
        </is>
      </c>
      <c r="B119" s="1" t="n">
        <v>43861</v>
      </c>
      <c r="C119" s="1" t="n">
        <v>45212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0.6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HYPERLINK("https://klasma.github.io/Logging_0760/artfynd/A 5701-2020 artfynd.xlsx", "A 5701-2020")</f>
        <v/>
      </c>
      <c r="T119">
        <f>HYPERLINK("https://klasma.github.io/Logging_0760/karta/A 5701-2020 karta.png", "A 5701-2020")</f>
        <v/>
      </c>
      <c r="U119">
        <f>HYPERLINK("https://klasma.github.io/Logging_0760/knärot/A 5701-2020 knärot.png", "A 5701-2020")</f>
        <v/>
      </c>
      <c r="V119">
        <f>HYPERLINK("https://klasma.github.io/Logging_0760/klagomål/A 5701-2020 klagomål.docx", "A 5701-2020")</f>
        <v/>
      </c>
      <c r="W119">
        <f>HYPERLINK("https://klasma.github.io/Logging_0760/klagomålsmail/A 5701-2020 klagomålsmail.docx", "A 5701-2020")</f>
        <v/>
      </c>
      <c r="X119">
        <f>HYPERLINK("https://klasma.github.io/Logging_0760/tillsyn/A 5701-2020 tillsyn.docx", "A 5701-2020")</f>
        <v/>
      </c>
      <c r="Y119">
        <f>HYPERLINK("https://klasma.github.io/Logging_0760/tillsynsmail/A 5701-2020 tillsynsmail.docx", "A 5701-2020")</f>
        <v/>
      </c>
    </row>
    <row r="120" ht="15" customHeight="1">
      <c r="A120" t="inlineStr">
        <is>
          <t>A 13774-2020</t>
        </is>
      </c>
      <c r="B120" s="1" t="n">
        <v>43903</v>
      </c>
      <c r="C120" s="1" t="n">
        <v>45212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HYPERLINK("https://klasma.github.io/Logging_0763/artfynd/A 13774-2020 artfynd.xlsx", "A 13774-2020")</f>
        <v/>
      </c>
      <c r="T120">
        <f>HYPERLINK("https://klasma.github.io/Logging_0763/karta/A 13774-2020 karta.png", "A 13774-2020")</f>
        <v/>
      </c>
      <c r="V120">
        <f>HYPERLINK("https://klasma.github.io/Logging_0763/klagomål/A 13774-2020 klagomål.docx", "A 13774-2020")</f>
        <v/>
      </c>
      <c r="W120">
        <f>HYPERLINK("https://klasma.github.io/Logging_0763/klagomålsmail/A 13774-2020 klagomålsmail.docx", "A 13774-2020")</f>
        <v/>
      </c>
      <c r="X120">
        <f>HYPERLINK("https://klasma.github.io/Logging_0763/tillsyn/A 13774-2020 tillsyn.docx", "A 13774-2020")</f>
        <v/>
      </c>
      <c r="Y120">
        <f>HYPERLINK("https://klasma.github.io/Logging_0763/tillsynsmail/A 13774-2020 tillsynsmail.docx", "A 13774-2020")</f>
        <v/>
      </c>
    </row>
    <row r="121" ht="15" customHeight="1">
      <c r="A121" t="inlineStr">
        <is>
          <t>A 24609-2020</t>
        </is>
      </c>
      <c r="B121" s="1" t="n">
        <v>43977</v>
      </c>
      <c r="C121" s="1" t="n">
        <v>45212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Hårklomossa</t>
        </is>
      </c>
      <c r="S121">
        <f>HYPERLINK("https://klasma.github.io/Logging_0765/artfynd/A 24609-2020 artfynd.xlsx", "A 24609-2020")</f>
        <v/>
      </c>
      <c r="T121">
        <f>HYPERLINK("https://klasma.github.io/Logging_0765/karta/A 24609-2020 karta.png", "A 24609-2020")</f>
        <v/>
      </c>
      <c r="V121">
        <f>HYPERLINK("https://klasma.github.io/Logging_0765/klagomål/A 24609-2020 klagomål.docx", "A 24609-2020")</f>
        <v/>
      </c>
      <c r="W121">
        <f>HYPERLINK("https://klasma.github.io/Logging_0765/klagomålsmail/A 24609-2020 klagomålsmail.docx", "A 24609-2020")</f>
        <v/>
      </c>
      <c r="X121">
        <f>HYPERLINK("https://klasma.github.io/Logging_0765/tillsyn/A 24609-2020 tillsyn.docx", "A 24609-2020")</f>
        <v/>
      </c>
      <c r="Y121">
        <f>HYPERLINK("https://klasma.github.io/Logging_0765/tillsynsmail/A 24609-2020 tillsynsmail.docx", "A 24609-2020")</f>
        <v/>
      </c>
    </row>
    <row r="122" ht="15" customHeight="1">
      <c r="A122" t="inlineStr">
        <is>
          <t>A 33646-2020</t>
        </is>
      </c>
      <c r="B122" s="1" t="n">
        <v>44022</v>
      </c>
      <c r="C122" s="1" t="n">
        <v>45212</v>
      </c>
      <c r="D122" t="inlineStr">
        <is>
          <t>KRONOBERGS LÄN</t>
        </is>
      </c>
      <c r="E122" t="inlineStr">
        <is>
          <t>UPPVIDINGE</t>
        </is>
      </c>
      <c r="G122" t="n">
        <v>1.4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Nattviol</t>
        </is>
      </c>
      <c r="S122">
        <f>HYPERLINK("https://klasma.github.io/Logging_0760/artfynd/A 33646-2020 artfynd.xlsx", "A 33646-2020")</f>
        <v/>
      </c>
      <c r="T122">
        <f>HYPERLINK("https://klasma.github.io/Logging_0760/karta/A 33646-2020 karta.png", "A 33646-2020")</f>
        <v/>
      </c>
      <c r="V122">
        <f>HYPERLINK("https://klasma.github.io/Logging_0760/klagomål/A 33646-2020 klagomål.docx", "A 33646-2020")</f>
        <v/>
      </c>
      <c r="W122">
        <f>HYPERLINK("https://klasma.github.io/Logging_0760/klagomålsmail/A 33646-2020 klagomålsmail.docx", "A 33646-2020")</f>
        <v/>
      </c>
      <c r="X122">
        <f>HYPERLINK("https://klasma.github.io/Logging_0760/tillsyn/A 33646-2020 tillsyn.docx", "A 33646-2020")</f>
        <v/>
      </c>
      <c r="Y122">
        <f>HYPERLINK("https://klasma.github.io/Logging_0760/tillsynsmail/A 33646-2020 tillsynsmail.docx", "A 33646-2020")</f>
        <v/>
      </c>
    </row>
    <row r="123" ht="15" customHeight="1">
      <c r="A123" t="inlineStr">
        <is>
          <t>A 34610-2020</t>
        </is>
      </c>
      <c r="B123" s="1" t="n">
        <v>44034</v>
      </c>
      <c r="C123" s="1" t="n">
        <v>45212</v>
      </c>
      <c r="D123" t="inlineStr">
        <is>
          <t>KRONOBERGS LÄN</t>
        </is>
      </c>
      <c r="E123" t="inlineStr">
        <is>
          <t>UPPVIDINGE</t>
        </is>
      </c>
      <c r="G123" t="n">
        <v>4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Utter</t>
        </is>
      </c>
      <c r="S123">
        <f>HYPERLINK("https://klasma.github.io/Logging_0760/artfynd/A 34610-2020 artfynd.xlsx", "A 34610-2020")</f>
        <v/>
      </c>
      <c r="T123">
        <f>HYPERLINK("https://klasma.github.io/Logging_0760/karta/A 34610-2020 karta.png", "A 34610-2020")</f>
        <v/>
      </c>
      <c r="V123">
        <f>HYPERLINK("https://klasma.github.io/Logging_0760/klagomål/A 34610-2020 klagomål.docx", "A 34610-2020")</f>
        <v/>
      </c>
      <c r="W123">
        <f>HYPERLINK("https://klasma.github.io/Logging_0760/klagomålsmail/A 34610-2020 klagomålsmail.docx", "A 34610-2020")</f>
        <v/>
      </c>
      <c r="X123">
        <f>HYPERLINK("https://klasma.github.io/Logging_0760/tillsyn/A 34610-2020 tillsyn.docx", "A 34610-2020")</f>
        <v/>
      </c>
      <c r="Y123">
        <f>HYPERLINK("https://klasma.github.io/Logging_0760/tillsynsmail/A 34610-2020 tillsynsmail.docx", "A 34610-2020")</f>
        <v/>
      </c>
    </row>
    <row r="124" ht="15" customHeight="1">
      <c r="A124" t="inlineStr">
        <is>
          <t>A 36311-2020</t>
        </is>
      </c>
      <c r="B124" s="1" t="n">
        <v>44049</v>
      </c>
      <c r="C124" s="1" t="n">
        <v>45212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Blåsfliksmossa</t>
        </is>
      </c>
      <c r="S124">
        <f>HYPERLINK("https://klasma.github.io/Logging_0765/artfynd/A 36311-2020 artfynd.xlsx", "A 36311-2020")</f>
        <v/>
      </c>
      <c r="T124">
        <f>HYPERLINK("https://klasma.github.io/Logging_0765/karta/A 36311-2020 karta.png", "A 36311-2020")</f>
        <v/>
      </c>
      <c r="V124">
        <f>HYPERLINK("https://klasma.github.io/Logging_0765/klagomål/A 36311-2020 klagomål.docx", "A 36311-2020")</f>
        <v/>
      </c>
      <c r="W124">
        <f>HYPERLINK("https://klasma.github.io/Logging_0765/klagomålsmail/A 36311-2020 klagomålsmail.docx", "A 36311-2020")</f>
        <v/>
      </c>
      <c r="X124">
        <f>HYPERLINK("https://klasma.github.io/Logging_0765/tillsyn/A 36311-2020 tillsyn.docx", "A 36311-2020")</f>
        <v/>
      </c>
      <c r="Y124">
        <f>HYPERLINK("https://klasma.github.io/Logging_0765/tillsynsmail/A 36311-2020 tillsynsmail.docx", "A 36311-2020")</f>
        <v/>
      </c>
    </row>
    <row r="125" ht="15" customHeight="1">
      <c r="A125" t="inlineStr">
        <is>
          <t>A 37018-2020</t>
        </is>
      </c>
      <c r="B125" s="1" t="n">
        <v>44054</v>
      </c>
      <c r="C125" s="1" t="n">
        <v>45212</v>
      </c>
      <c r="D125" t="inlineStr">
        <is>
          <t>KRONOBERGS LÄN</t>
        </is>
      </c>
      <c r="E125" t="inlineStr">
        <is>
          <t>UPPVIDINGE</t>
        </is>
      </c>
      <c r="G125" t="n">
        <v>1.7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HYPERLINK("https://klasma.github.io/Logging_0760/artfynd/A 37018-2020 artfynd.xlsx", "A 37018-2020")</f>
        <v/>
      </c>
      <c r="T125">
        <f>HYPERLINK("https://klasma.github.io/Logging_0760/karta/A 37018-2020 karta.png", "A 37018-2020")</f>
        <v/>
      </c>
      <c r="V125">
        <f>HYPERLINK("https://klasma.github.io/Logging_0760/klagomål/A 37018-2020 klagomål.docx", "A 37018-2020")</f>
        <v/>
      </c>
      <c r="W125">
        <f>HYPERLINK("https://klasma.github.io/Logging_0760/klagomålsmail/A 37018-2020 klagomålsmail.docx", "A 37018-2020")</f>
        <v/>
      </c>
      <c r="X125">
        <f>HYPERLINK("https://klasma.github.io/Logging_0760/tillsyn/A 37018-2020 tillsyn.docx", "A 37018-2020")</f>
        <v/>
      </c>
      <c r="Y125">
        <f>HYPERLINK("https://klasma.github.io/Logging_0760/tillsynsmail/A 37018-2020 tillsynsmail.docx", "A 37018-2020")</f>
        <v/>
      </c>
    </row>
    <row r="126" ht="15" customHeight="1">
      <c r="A126" t="inlineStr">
        <is>
          <t>A 41394-2020</t>
        </is>
      </c>
      <c r="B126" s="1" t="n">
        <v>44073</v>
      </c>
      <c r="C126" s="1" t="n">
        <v>45212</v>
      </c>
      <c r="D126" t="inlineStr">
        <is>
          <t>KRONOBERGS LÄN</t>
        </is>
      </c>
      <c r="E126" t="inlineStr">
        <is>
          <t>UPPVIDINGE</t>
        </is>
      </c>
      <c r="G126" t="n">
        <v>7.1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Nattviol</t>
        </is>
      </c>
      <c r="S126">
        <f>HYPERLINK("https://klasma.github.io/Logging_0760/artfynd/A 41394-2020 artfynd.xlsx", "A 41394-2020")</f>
        <v/>
      </c>
      <c r="T126">
        <f>HYPERLINK("https://klasma.github.io/Logging_0760/karta/A 41394-2020 karta.png", "A 41394-2020")</f>
        <v/>
      </c>
      <c r="V126">
        <f>HYPERLINK("https://klasma.github.io/Logging_0760/klagomål/A 41394-2020 klagomål.docx", "A 41394-2020")</f>
        <v/>
      </c>
      <c r="W126">
        <f>HYPERLINK("https://klasma.github.io/Logging_0760/klagomålsmail/A 41394-2020 klagomålsmail.docx", "A 41394-2020")</f>
        <v/>
      </c>
      <c r="X126">
        <f>HYPERLINK("https://klasma.github.io/Logging_0760/tillsyn/A 41394-2020 tillsyn.docx", "A 41394-2020")</f>
        <v/>
      </c>
      <c r="Y126">
        <f>HYPERLINK("https://klasma.github.io/Logging_0760/tillsynsmail/A 41394-2020 tillsynsmail.docx", "A 41394-2020")</f>
        <v/>
      </c>
    </row>
    <row r="127" ht="15" customHeight="1">
      <c r="A127" t="inlineStr">
        <is>
          <t>A 45420-2020</t>
        </is>
      </c>
      <c r="B127" s="1" t="n">
        <v>44089</v>
      </c>
      <c r="C127" s="1" t="n">
        <v>45212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Ljungögontröst</t>
        </is>
      </c>
      <c r="S127">
        <f>HYPERLINK("https://klasma.github.io/Logging_0760/artfynd/A 45420-2020 artfynd.xlsx", "A 45420-2020")</f>
        <v/>
      </c>
      <c r="T127">
        <f>HYPERLINK("https://klasma.github.io/Logging_0760/karta/A 45420-2020 karta.png", "A 45420-2020")</f>
        <v/>
      </c>
      <c r="V127">
        <f>HYPERLINK("https://klasma.github.io/Logging_0760/klagomål/A 45420-2020 klagomål.docx", "A 45420-2020")</f>
        <v/>
      </c>
      <c r="W127">
        <f>HYPERLINK("https://klasma.github.io/Logging_0760/klagomålsmail/A 45420-2020 klagomålsmail.docx", "A 45420-2020")</f>
        <v/>
      </c>
      <c r="X127">
        <f>HYPERLINK("https://klasma.github.io/Logging_0760/tillsyn/A 45420-2020 tillsyn.docx", "A 45420-2020")</f>
        <v/>
      </c>
      <c r="Y127">
        <f>HYPERLINK("https://klasma.github.io/Logging_0760/tillsynsmail/A 45420-2020 tillsynsmail.docx", "A 45420-2020")</f>
        <v/>
      </c>
    </row>
    <row r="128" ht="15" customHeight="1">
      <c r="A128" t="inlineStr">
        <is>
          <t>A 45886-2020</t>
        </is>
      </c>
      <c r="B128" s="1" t="n">
        <v>44091</v>
      </c>
      <c r="C128" s="1" t="n">
        <v>45212</v>
      </c>
      <c r="D128" t="inlineStr">
        <is>
          <t>KRONOBERGS LÄN</t>
        </is>
      </c>
      <c r="E128" t="inlineStr">
        <is>
          <t>UPPVIDINGE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Hagfingersvamp</t>
        </is>
      </c>
      <c r="S128">
        <f>HYPERLINK("https://klasma.github.io/Logging_0760/artfynd/A 45886-2020 artfynd.xlsx", "A 45886-2020")</f>
        <v/>
      </c>
      <c r="T128">
        <f>HYPERLINK("https://klasma.github.io/Logging_0760/karta/A 45886-2020 karta.png", "A 45886-2020")</f>
        <v/>
      </c>
      <c r="V128">
        <f>HYPERLINK("https://klasma.github.io/Logging_0760/klagomål/A 45886-2020 klagomål.docx", "A 45886-2020")</f>
        <v/>
      </c>
      <c r="W128">
        <f>HYPERLINK("https://klasma.github.io/Logging_0760/klagomålsmail/A 45886-2020 klagomålsmail.docx", "A 45886-2020")</f>
        <v/>
      </c>
      <c r="X128">
        <f>HYPERLINK("https://klasma.github.io/Logging_0760/tillsyn/A 45886-2020 tillsyn.docx", "A 45886-2020")</f>
        <v/>
      </c>
      <c r="Y128">
        <f>HYPERLINK("https://klasma.github.io/Logging_0760/tillsynsmail/A 45886-2020 tillsynsmail.docx", "A 45886-2020")</f>
        <v/>
      </c>
    </row>
    <row r="129" ht="15" customHeight="1">
      <c r="A129" t="inlineStr">
        <is>
          <t>A 47090-2020</t>
        </is>
      </c>
      <c r="B129" s="1" t="n">
        <v>44096</v>
      </c>
      <c r="C129" s="1" t="n">
        <v>45212</v>
      </c>
      <c r="D129" t="inlineStr">
        <is>
          <t>KRONOBERGS LÄN</t>
        </is>
      </c>
      <c r="E129" t="inlineStr">
        <is>
          <t>TINGSRYD</t>
        </is>
      </c>
      <c r="G129" t="n">
        <v>3.9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Huggorm</t>
        </is>
      </c>
      <c r="S129">
        <f>HYPERLINK("https://klasma.github.io/Logging_0763/artfynd/A 47090-2020 artfynd.xlsx", "A 47090-2020")</f>
        <v/>
      </c>
      <c r="T129">
        <f>HYPERLINK("https://klasma.github.io/Logging_0763/karta/A 47090-2020 karta.png", "A 47090-2020")</f>
        <v/>
      </c>
      <c r="V129">
        <f>HYPERLINK("https://klasma.github.io/Logging_0763/klagomål/A 47090-2020 klagomål.docx", "A 47090-2020")</f>
        <v/>
      </c>
      <c r="W129">
        <f>HYPERLINK("https://klasma.github.io/Logging_0763/klagomålsmail/A 47090-2020 klagomålsmail.docx", "A 47090-2020")</f>
        <v/>
      </c>
      <c r="X129">
        <f>HYPERLINK("https://klasma.github.io/Logging_0763/tillsyn/A 47090-2020 tillsyn.docx", "A 47090-2020")</f>
        <v/>
      </c>
      <c r="Y129">
        <f>HYPERLINK("https://klasma.github.io/Logging_0763/tillsynsmail/A 47090-2020 tillsynsmail.docx", "A 47090-2020")</f>
        <v/>
      </c>
    </row>
    <row r="130" ht="15" customHeight="1">
      <c r="A130" t="inlineStr">
        <is>
          <t>A 52984-2020</t>
        </is>
      </c>
      <c r="B130" s="1" t="n">
        <v>44119</v>
      </c>
      <c r="C130" s="1" t="n">
        <v>45212</v>
      </c>
      <c r="D130" t="inlineStr">
        <is>
          <t>KRONOBERGS LÄN</t>
        </is>
      </c>
      <c r="E130" t="inlineStr">
        <is>
          <t>UPPVIDINGE</t>
        </is>
      </c>
      <c r="G130" t="n">
        <v>3.3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52984-2020 artfynd.xlsx", "A 52984-2020")</f>
        <v/>
      </c>
      <c r="T130">
        <f>HYPERLINK("https://klasma.github.io/Logging_0760/karta/A 52984-2020 karta.png", "A 52984-2020")</f>
        <v/>
      </c>
      <c r="U130">
        <f>HYPERLINK("https://klasma.github.io/Logging_0760/knärot/A 52984-2020 knärot.png", "A 52984-2020")</f>
        <v/>
      </c>
      <c r="V130">
        <f>HYPERLINK("https://klasma.github.io/Logging_0760/klagomål/A 52984-2020 klagomål.docx", "A 52984-2020")</f>
        <v/>
      </c>
      <c r="W130">
        <f>HYPERLINK("https://klasma.github.io/Logging_0760/klagomålsmail/A 52984-2020 klagomålsmail.docx", "A 52984-2020")</f>
        <v/>
      </c>
      <c r="X130">
        <f>HYPERLINK("https://klasma.github.io/Logging_0760/tillsyn/A 52984-2020 tillsyn.docx", "A 52984-2020")</f>
        <v/>
      </c>
      <c r="Y130">
        <f>HYPERLINK("https://klasma.github.io/Logging_0760/tillsynsmail/A 52984-2020 tillsynsmail.docx", "A 52984-2020")</f>
        <v/>
      </c>
    </row>
    <row r="131" ht="15" customHeight="1">
      <c r="A131" t="inlineStr">
        <is>
          <t>A 55805-2020</t>
        </is>
      </c>
      <c r="B131" s="1" t="n">
        <v>44132</v>
      </c>
      <c r="C131" s="1" t="n">
        <v>45212</v>
      </c>
      <c r="D131" t="inlineStr">
        <is>
          <t>KRONOBERGS LÄN</t>
        </is>
      </c>
      <c r="E131" t="inlineStr">
        <is>
          <t>UPPVIDINGE</t>
        </is>
      </c>
      <c r="G131" t="n">
        <v>5.7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55805-2020 artfynd.xlsx", "A 55805-2020")</f>
        <v/>
      </c>
      <c r="T131">
        <f>HYPERLINK("https://klasma.github.io/Logging_0760/karta/A 55805-2020 karta.png", "A 55805-2020")</f>
        <v/>
      </c>
      <c r="U131">
        <f>HYPERLINK("https://klasma.github.io/Logging_0760/knärot/A 55805-2020 knärot.png", "A 55805-2020")</f>
        <v/>
      </c>
      <c r="V131">
        <f>HYPERLINK("https://klasma.github.io/Logging_0760/klagomål/A 55805-2020 klagomål.docx", "A 55805-2020")</f>
        <v/>
      </c>
      <c r="W131">
        <f>HYPERLINK("https://klasma.github.io/Logging_0760/klagomålsmail/A 55805-2020 klagomålsmail.docx", "A 55805-2020")</f>
        <v/>
      </c>
      <c r="X131">
        <f>HYPERLINK("https://klasma.github.io/Logging_0760/tillsyn/A 55805-2020 tillsyn.docx", "A 55805-2020")</f>
        <v/>
      </c>
      <c r="Y131">
        <f>HYPERLINK("https://klasma.github.io/Logging_0760/tillsynsmail/A 55805-2020 tillsynsmail.docx", "A 55805-2020")</f>
        <v/>
      </c>
    </row>
    <row r="132" ht="15" customHeight="1">
      <c r="A132" t="inlineStr">
        <is>
          <t>A 59685-2020</t>
        </is>
      </c>
      <c r="B132" s="1" t="n">
        <v>44151</v>
      </c>
      <c r="C132" s="1" t="n">
        <v>45212</v>
      </c>
      <c r="D132" t="inlineStr">
        <is>
          <t>KRONOBERGS LÄN</t>
        </is>
      </c>
      <c r="E132" t="inlineStr">
        <is>
          <t>LJUNGBY</t>
        </is>
      </c>
      <c r="G132" t="n">
        <v>1.2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59685-2020 artfynd.xlsx", "A 59685-2020")</f>
        <v/>
      </c>
      <c r="T132">
        <f>HYPERLINK("https://klasma.github.io/Logging_0781/karta/A 59685-2020 karta.png", "A 59685-2020")</f>
        <v/>
      </c>
      <c r="V132">
        <f>HYPERLINK("https://klasma.github.io/Logging_0781/klagomål/A 59685-2020 klagomål.docx", "A 59685-2020")</f>
        <v/>
      </c>
      <c r="W132">
        <f>HYPERLINK("https://klasma.github.io/Logging_0781/klagomålsmail/A 59685-2020 klagomålsmail.docx", "A 59685-2020")</f>
        <v/>
      </c>
      <c r="X132">
        <f>HYPERLINK("https://klasma.github.io/Logging_0781/tillsyn/A 59685-2020 tillsyn.docx", "A 59685-2020")</f>
        <v/>
      </c>
      <c r="Y132">
        <f>HYPERLINK("https://klasma.github.io/Logging_0781/tillsynsmail/A 59685-2020 tillsynsmail.docx", "A 59685-2020")</f>
        <v/>
      </c>
    </row>
    <row r="133" ht="15" customHeight="1">
      <c r="A133" t="inlineStr">
        <is>
          <t>A 63385-2020</t>
        </is>
      </c>
      <c r="B133" s="1" t="n">
        <v>44160</v>
      </c>
      <c r="C133" s="1" t="n">
        <v>45212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Blodvaxskivling</t>
        </is>
      </c>
      <c r="S133">
        <f>HYPERLINK("https://klasma.github.io/Logging_0760/artfynd/A 63385-2020 artfynd.xlsx", "A 63385-2020")</f>
        <v/>
      </c>
      <c r="T133">
        <f>HYPERLINK("https://klasma.github.io/Logging_0760/karta/A 63385-2020 karta.png", "A 63385-2020")</f>
        <v/>
      </c>
      <c r="V133">
        <f>HYPERLINK("https://klasma.github.io/Logging_0760/klagomål/A 63385-2020 klagomål.docx", "A 63385-2020")</f>
        <v/>
      </c>
      <c r="W133">
        <f>HYPERLINK("https://klasma.github.io/Logging_0760/klagomålsmail/A 63385-2020 klagomålsmail.docx", "A 63385-2020")</f>
        <v/>
      </c>
      <c r="X133">
        <f>HYPERLINK("https://klasma.github.io/Logging_0760/tillsyn/A 63385-2020 tillsyn.docx", "A 63385-2020")</f>
        <v/>
      </c>
      <c r="Y133">
        <f>HYPERLINK("https://klasma.github.io/Logging_0760/tillsynsmail/A 63385-2020 tillsynsmail.docx", "A 63385-2020")</f>
        <v/>
      </c>
    </row>
    <row r="134" ht="15" customHeight="1">
      <c r="A134" t="inlineStr">
        <is>
          <t>A 62695-2020</t>
        </is>
      </c>
      <c r="B134" s="1" t="n">
        <v>44161</v>
      </c>
      <c r="C134" s="1" t="n">
        <v>45212</v>
      </c>
      <c r="D134" t="inlineStr">
        <is>
          <t>KRONOBERGS LÄN</t>
        </is>
      </c>
      <c r="E134" t="inlineStr">
        <is>
          <t>VÄXJÖ</t>
        </is>
      </c>
      <c r="G134" t="n">
        <v>0.8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Mindre bastardsvärmare</t>
        </is>
      </c>
      <c r="S134">
        <f>HYPERLINK("https://klasma.github.io/Logging_0780/artfynd/A 62695-2020 artfynd.xlsx", "A 62695-2020")</f>
        <v/>
      </c>
      <c r="T134">
        <f>HYPERLINK("https://klasma.github.io/Logging_0780/karta/A 62695-2020 karta.png", "A 62695-2020")</f>
        <v/>
      </c>
      <c r="V134">
        <f>HYPERLINK("https://klasma.github.io/Logging_0780/klagomål/A 62695-2020 klagomål.docx", "A 62695-2020")</f>
        <v/>
      </c>
      <c r="W134">
        <f>HYPERLINK("https://klasma.github.io/Logging_0780/klagomålsmail/A 62695-2020 klagomålsmail.docx", "A 62695-2020")</f>
        <v/>
      </c>
      <c r="X134">
        <f>HYPERLINK("https://klasma.github.io/Logging_0780/tillsyn/A 62695-2020 tillsyn.docx", "A 62695-2020")</f>
        <v/>
      </c>
      <c r="Y134">
        <f>HYPERLINK("https://klasma.github.io/Logging_0780/tillsynsmail/A 62695-2020 tillsynsmail.docx", "A 62695-2020")</f>
        <v/>
      </c>
    </row>
    <row r="135" ht="15" customHeight="1">
      <c r="A135" t="inlineStr">
        <is>
          <t>A 69178-2020</t>
        </is>
      </c>
      <c r="B135" s="1" t="n">
        <v>44189</v>
      </c>
      <c r="C135" s="1" t="n">
        <v>45212</v>
      </c>
      <c r="D135" t="inlineStr">
        <is>
          <t>KRONOBERGS LÄN</t>
        </is>
      </c>
      <c r="E135" t="inlineStr">
        <is>
          <t>VÄXJÖ</t>
        </is>
      </c>
      <c r="G135" t="n">
        <v>1.1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Sävsparv</t>
        </is>
      </c>
      <c r="S135">
        <f>HYPERLINK("https://klasma.github.io/Logging_0780/artfynd/A 69178-2020 artfynd.xlsx", "A 69178-2020")</f>
        <v/>
      </c>
      <c r="T135">
        <f>HYPERLINK("https://klasma.github.io/Logging_0780/karta/A 69178-2020 karta.png", "A 69178-2020")</f>
        <v/>
      </c>
      <c r="V135">
        <f>HYPERLINK("https://klasma.github.io/Logging_0780/klagomål/A 69178-2020 klagomål.docx", "A 69178-2020")</f>
        <v/>
      </c>
      <c r="W135">
        <f>HYPERLINK("https://klasma.github.io/Logging_0780/klagomålsmail/A 69178-2020 klagomålsmail.docx", "A 69178-2020")</f>
        <v/>
      </c>
      <c r="X135">
        <f>HYPERLINK("https://klasma.github.io/Logging_0780/tillsyn/A 69178-2020 tillsyn.docx", "A 69178-2020")</f>
        <v/>
      </c>
      <c r="Y135">
        <f>HYPERLINK("https://klasma.github.io/Logging_0780/tillsynsmail/A 69178-2020 tillsynsmail.docx", "A 69178-2020")</f>
        <v/>
      </c>
    </row>
    <row r="136" ht="15" customHeight="1">
      <c r="A136" t="inlineStr">
        <is>
          <t>A 927-2021</t>
        </is>
      </c>
      <c r="B136" s="1" t="n">
        <v>44207</v>
      </c>
      <c r="C136" s="1" t="n">
        <v>45212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1.3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HYPERLINK("https://klasma.github.io/Logging_0760/artfynd/A 927-2021 artfynd.xlsx", "A 927-2021")</f>
        <v/>
      </c>
      <c r="T136">
        <f>HYPERLINK("https://klasma.github.io/Logging_0760/karta/A 927-2021 karta.png", "A 927-2021")</f>
        <v/>
      </c>
      <c r="V136">
        <f>HYPERLINK("https://klasma.github.io/Logging_0760/klagomål/A 927-2021 klagomål.docx", "A 927-2021")</f>
        <v/>
      </c>
      <c r="W136">
        <f>HYPERLINK("https://klasma.github.io/Logging_0760/klagomålsmail/A 927-2021 klagomålsmail.docx", "A 927-2021")</f>
        <v/>
      </c>
      <c r="X136">
        <f>HYPERLINK("https://klasma.github.io/Logging_0760/tillsyn/A 927-2021 tillsyn.docx", "A 927-2021")</f>
        <v/>
      </c>
      <c r="Y136">
        <f>HYPERLINK("https://klasma.github.io/Logging_0760/tillsynsmail/A 927-2021 tillsynsmail.docx", "A 927-2021")</f>
        <v/>
      </c>
    </row>
    <row r="137" ht="15" customHeight="1">
      <c r="A137" t="inlineStr">
        <is>
          <t>A 4737-2021</t>
        </is>
      </c>
      <c r="B137" s="1" t="n">
        <v>44225</v>
      </c>
      <c r="C137" s="1" t="n">
        <v>45212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5.4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Västlig hakmossa</t>
        </is>
      </c>
      <c r="S137">
        <f>HYPERLINK("https://klasma.github.io/Logging_0760/artfynd/A 4737-2021 artfynd.xlsx", "A 4737-2021")</f>
        <v/>
      </c>
      <c r="T137">
        <f>HYPERLINK("https://klasma.github.io/Logging_0760/karta/A 4737-2021 karta.png", "A 4737-2021")</f>
        <v/>
      </c>
      <c r="V137">
        <f>HYPERLINK("https://klasma.github.io/Logging_0760/klagomål/A 4737-2021 klagomål.docx", "A 4737-2021")</f>
        <v/>
      </c>
      <c r="W137">
        <f>HYPERLINK("https://klasma.github.io/Logging_0760/klagomålsmail/A 4737-2021 klagomålsmail.docx", "A 4737-2021")</f>
        <v/>
      </c>
      <c r="X137">
        <f>HYPERLINK("https://klasma.github.io/Logging_0760/tillsyn/A 4737-2021 tillsyn.docx", "A 4737-2021")</f>
        <v/>
      </c>
      <c r="Y137">
        <f>HYPERLINK("https://klasma.github.io/Logging_0760/tillsynsmail/A 4737-2021 tillsynsmail.docx", "A 4737-2021")</f>
        <v/>
      </c>
    </row>
    <row r="138" ht="15" customHeight="1">
      <c r="A138" t="inlineStr">
        <is>
          <t>A 5364-2021</t>
        </is>
      </c>
      <c r="B138" s="1" t="n">
        <v>44229</v>
      </c>
      <c r="C138" s="1" t="n">
        <v>45212</v>
      </c>
      <c r="D138" t="inlineStr">
        <is>
          <t>KRONOBERGS LÄN</t>
        </is>
      </c>
      <c r="E138" t="inlineStr">
        <is>
          <t>VÄXJÖ</t>
        </is>
      </c>
      <c r="G138" t="n">
        <v>1.3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Grönpyrola</t>
        </is>
      </c>
      <c r="S138">
        <f>HYPERLINK("https://klasma.github.io/Logging_0780/artfynd/A 5364-2021 artfynd.xlsx", "A 5364-2021")</f>
        <v/>
      </c>
      <c r="T138">
        <f>HYPERLINK("https://klasma.github.io/Logging_0780/karta/A 5364-2021 karta.png", "A 5364-2021")</f>
        <v/>
      </c>
      <c r="V138">
        <f>HYPERLINK("https://klasma.github.io/Logging_0780/klagomål/A 5364-2021 klagomål.docx", "A 5364-2021")</f>
        <v/>
      </c>
      <c r="W138">
        <f>HYPERLINK("https://klasma.github.io/Logging_0780/klagomålsmail/A 5364-2021 klagomålsmail.docx", "A 5364-2021")</f>
        <v/>
      </c>
      <c r="X138">
        <f>HYPERLINK("https://klasma.github.io/Logging_0780/tillsyn/A 5364-2021 tillsyn.docx", "A 5364-2021")</f>
        <v/>
      </c>
      <c r="Y138">
        <f>HYPERLINK("https://klasma.github.io/Logging_0780/tillsynsmail/A 5364-2021 tillsynsmail.docx", "A 5364-2021")</f>
        <v/>
      </c>
    </row>
    <row r="139" ht="15" customHeight="1">
      <c r="A139" t="inlineStr">
        <is>
          <t>A 6165-2021</t>
        </is>
      </c>
      <c r="B139" s="1" t="n">
        <v>44232</v>
      </c>
      <c r="C139" s="1" t="n">
        <v>45212</v>
      </c>
      <c r="D139" t="inlineStr">
        <is>
          <t>KRONOBERGS LÄN</t>
        </is>
      </c>
      <c r="E139" t="inlineStr">
        <is>
          <t>LJUNGBY</t>
        </is>
      </c>
      <c r="G139" t="n">
        <v>4.2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HYPERLINK("https://klasma.github.io/Logging_0781/artfynd/A 6165-2021 artfynd.xlsx", "A 6165-2021")</f>
        <v/>
      </c>
      <c r="T139">
        <f>HYPERLINK("https://klasma.github.io/Logging_0781/karta/A 6165-2021 karta.png", "A 6165-2021")</f>
        <v/>
      </c>
      <c r="V139">
        <f>HYPERLINK("https://klasma.github.io/Logging_0781/klagomål/A 6165-2021 klagomål.docx", "A 6165-2021")</f>
        <v/>
      </c>
      <c r="W139">
        <f>HYPERLINK("https://klasma.github.io/Logging_0781/klagomålsmail/A 6165-2021 klagomålsmail.docx", "A 6165-2021")</f>
        <v/>
      </c>
      <c r="X139">
        <f>HYPERLINK("https://klasma.github.io/Logging_0781/tillsyn/A 6165-2021 tillsyn.docx", "A 6165-2021")</f>
        <v/>
      </c>
      <c r="Y139">
        <f>HYPERLINK("https://klasma.github.io/Logging_0781/tillsynsmail/A 6165-2021 tillsynsmail.docx", "A 6165-2021")</f>
        <v/>
      </c>
    </row>
    <row r="140" ht="15" customHeight="1">
      <c r="A140" t="inlineStr">
        <is>
          <t>A 7040-2021</t>
        </is>
      </c>
      <c r="B140" s="1" t="n">
        <v>44237</v>
      </c>
      <c r="C140" s="1" t="n">
        <v>45212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3.2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Skogsödla</t>
        </is>
      </c>
      <c r="S140">
        <f>HYPERLINK("https://klasma.github.io/Logging_0781/artfynd/A 7040-2021 artfynd.xlsx", "A 7040-2021")</f>
        <v/>
      </c>
      <c r="T140">
        <f>HYPERLINK("https://klasma.github.io/Logging_0781/karta/A 7040-2021 karta.png", "A 7040-2021")</f>
        <v/>
      </c>
      <c r="V140">
        <f>HYPERLINK("https://klasma.github.io/Logging_0781/klagomål/A 7040-2021 klagomål.docx", "A 7040-2021")</f>
        <v/>
      </c>
      <c r="W140">
        <f>HYPERLINK("https://klasma.github.io/Logging_0781/klagomålsmail/A 7040-2021 klagomålsmail.docx", "A 7040-2021")</f>
        <v/>
      </c>
      <c r="X140">
        <f>HYPERLINK("https://klasma.github.io/Logging_0781/tillsyn/A 7040-2021 tillsyn.docx", "A 7040-2021")</f>
        <v/>
      </c>
      <c r="Y140">
        <f>HYPERLINK("https://klasma.github.io/Logging_0781/tillsynsmail/A 7040-2021 tillsynsmail.docx", "A 7040-2021")</f>
        <v/>
      </c>
    </row>
    <row r="141" ht="15" customHeight="1">
      <c r="A141" t="inlineStr">
        <is>
          <t>A 16358-2021</t>
        </is>
      </c>
      <c r="B141" s="1" t="n">
        <v>44292</v>
      </c>
      <c r="C141" s="1" t="n">
        <v>45212</v>
      </c>
      <c r="D141" t="inlineStr">
        <is>
          <t>KRONOBERGS LÄN</t>
        </is>
      </c>
      <c r="E141" t="inlineStr">
        <is>
          <t>LJUNGBY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HYPERLINK("https://klasma.github.io/Logging_0781/artfynd/A 16358-2021 artfynd.xlsx", "A 16358-2021")</f>
        <v/>
      </c>
      <c r="T141">
        <f>HYPERLINK("https://klasma.github.io/Logging_0781/karta/A 16358-2021 karta.png", "A 16358-2021")</f>
        <v/>
      </c>
      <c r="V141">
        <f>HYPERLINK("https://klasma.github.io/Logging_0781/klagomål/A 16358-2021 klagomål.docx", "A 16358-2021")</f>
        <v/>
      </c>
      <c r="W141">
        <f>HYPERLINK("https://klasma.github.io/Logging_0781/klagomålsmail/A 16358-2021 klagomålsmail.docx", "A 16358-2021")</f>
        <v/>
      </c>
      <c r="X141">
        <f>HYPERLINK("https://klasma.github.io/Logging_0781/tillsyn/A 16358-2021 tillsyn.docx", "A 16358-2021")</f>
        <v/>
      </c>
      <c r="Y141">
        <f>HYPERLINK("https://klasma.github.io/Logging_0781/tillsynsmail/A 16358-2021 tillsynsmail.docx", "A 16358-2021")</f>
        <v/>
      </c>
    </row>
    <row r="142" ht="15" customHeight="1">
      <c r="A142" t="inlineStr">
        <is>
          <t>A 16871-2021</t>
        </is>
      </c>
      <c r="B142" s="1" t="n">
        <v>44295</v>
      </c>
      <c r="C142" s="1" t="n">
        <v>45212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Brunpudrad nållav</t>
        </is>
      </c>
      <c r="S142">
        <f>HYPERLINK("https://klasma.github.io/Logging_0760/artfynd/A 16871-2021 artfynd.xlsx", "A 16871-2021")</f>
        <v/>
      </c>
      <c r="T142">
        <f>HYPERLINK("https://klasma.github.io/Logging_0760/karta/A 16871-2021 karta.png", "A 16871-2021")</f>
        <v/>
      </c>
      <c r="V142">
        <f>HYPERLINK("https://klasma.github.io/Logging_0760/klagomål/A 16871-2021 klagomål.docx", "A 16871-2021")</f>
        <v/>
      </c>
      <c r="W142">
        <f>HYPERLINK("https://klasma.github.io/Logging_0760/klagomålsmail/A 16871-2021 klagomålsmail.docx", "A 16871-2021")</f>
        <v/>
      </c>
      <c r="X142">
        <f>HYPERLINK("https://klasma.github.io/Logging_0760/tillsyn/A 16871-2021 tillsyn.docx", "A 16871-2021")</f>
        <v/>
      </c>
      <c r="Y142">
        <f>HYPERLINK("https://klasma.github.io/Logging_0760/tillsynsmail/A 16871-2021 tillsynsmail.docx", "A 16871-2021")</f>
        <v/>
      </c>
    </row>
    <row r="143" ht="15" customHeight="1">
      <c r="A143" t="inlineStr">
        <is>
          <t>A 21191-2021</t>
        </is>
      </c>
      <c r="B143" s="1" t="n">
        <v>44320</v>
      </c>
      <c r="C143" s="1" t="n">
        <v>45212</v>
      </c>
      <c r="D143" t="inlineStr">
        <is>
          <t>KRONOBERGS LÄN</t>
        </is>
      </c>
      <c r="E143" t="inlineStr">
        <is>
          <t>VÄXJÖ</t>
        </is>
      </c>
      <c r="G143" t="n">
        <v>3.6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HYPERLINK("https://klasma.github.io/Logging_0780/artfynd/A 21191-2021 artfynd.xlsx", "A 21191-2021")</f>
        <v/>
      </c>
      <c r="T143">
        <f>HYPERLINK("https://klasma.github.io/Logging_0780/karta/A 21191-2021 karta.png", "A 21191-2021")</f>
        <v/>
      </c>
      <c r="U143">
        <f>HYPERLINK("https://klasma.github.io/Logging_0780/knärot/A 21191-2021 knärot.png", "A 21191-2021")</f>
        <v/>
      </c>
      <c r="V143">
        <f>HYPERLINK("https://klasma.github.io/Logging_0780/klagomål/A 21191-2021 klagomål.docx", "A 21191-2021")</f>
        <v/>
      </c>
      <c r="W143">
        <f>HYPERLINK("https://klasma.github.io/Logging_0780/klagomålsmail/A 21191-2021 klagomålsmail.docx", "A 21191-2021")</f>
        <v/>
      </c>
      <c r="X143">
        <f>HYPERLINK("https://klasma.github.io/Logging_0780/tillsyn/A 21191-2021 tillsyn.docx", "A 21191-2021")</f>
        <v/>
      </c>
      <c r="Y143">
        <f>HYPERLINK("https://klasma.github.io/Logging_0780/tillsynsmail/A 21191-2021 tillsynsmail.docx", "A 21191-2021")</f>
        <v/>
      </c>
    </row>
    <row r="144" ht="15" customHeight="1">
      <c r="A144" t="inlineStr">
        <is>
          <t>A 32873-2021</t>
        </is>
      </c>
      <c r="B144" s="1" t="n">
        <v>44375</v>
      </c>
      <c r="C144" s="1" t="n">
        <v>45212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Fjällig taggsvamp s.str.</t>
        </is>
      </c>
      <c r="S144">
        <f>HYPERLINK("https://klasma.github.io/Logging_0760/artfynd/A 32873-2021 artfynd.xlsx", "A 32873-2021")</f>
        <v/>
      </c>
      <c r="T144">
        <f>HYPERLINK("https://klasma.github.io/Logging_0760/karta/A 32873-2021 karta.png", "A 32873-2021")</f>
        <v/>
      </c>
      <c r="V144">
        <f>HYPERLINK("https://klasma.github.io/Logging_0760/klagomål/A 32873-2021 klagomål.docx", "A 32873-2021")</f>
        <v/>
      </c>
      <c r="W144">
        <f>HYPERLINK("https://klasma.github.io/Logging_0760/klagomålsmail/A 32873-2021 klagomålsmail.docx", "A 32873-2021")</f>
        <v/>
      </c>
      <c r="X144">
        <f>HYPERLINK("https://klasma.github.io/Logging_0760/tillsyn/A 32873-2021 tillsyn.docx", "A 32873-2021")</f>
        <v/>
      </c>
      <c r="Y144">
        <f>HYPERLINK("https://klasma.github.io/Logging_0760/tillsynsmail/A 32873-2021 tillsynsmail.docx", "A 32873-2021")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45212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HYPERLINK("https://klasma.github.io/Logging_0760/karta/A 35200-2021 karta.png", "A 35200-2021")</f>
        <v/>
      </c>
      <c r="V145">
        <f>HYPERLINK("https://klasma.github.io/Logging_0760/klagomål/A 35200-2021 klagomål.docx", "A 35200-2021")</f>
        <v/>
      </c>
      <c r="W145">
        <f>HYPERLINK("https://klasma.github.io/Logging_0760/klagomålsmail/A 35200-2021 klagomålsmail.docx", "A 35200-2021")</f>
        <v/>
      </c>
      <c r="X145">
        <f>HYPERLINK("https://klasma.github.io/Logging_0760/tillsyn/A 35200-2021 tillsyn.docx", "A 35200-2021")</f>
        <v/>
      </c>
      <c r="Y145">
        <f>HYPERLINK("https://klasma.github.io/Logging_0760/tillsynsmail/A 35200-2021 tillsynsmail.docx", "A 35200-2021")</f>
        <v/>
      </c>
    </row>
    <row r="146" ht="15" customHeight="1">
      <c r="A146" t="inlineStr">
        <is>
          <t>A 35815-2021</t>
        </is>
      </c>
      <c r="B146" s="1" t="n">
        <v>44386</v>
      </c>
      <c r="C146" s="1" t="n">
        <v>45212</v>
      </c>
      <c r="D146" t="inlineStr">
        <is>
          <t>KRONOBERGS LÄN</t>
        </is>
      </c>
      <c r="E146" t="inlineStr">
        <is>
          <t>VÄXJÖ</t>
        </is>
      </c>
      <c r="G146" t="n">
        <v>2.7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Svinrot</t>
        </is>
      </c>
      <c r="S146">
        <f>HYPERLINK("https://klasma.github.io/Logging_0780/artfynd/A 35815-2021 artfynd.xlsx", "A 35815-2021")</f>
        <v/>
      </c>
      <c r="T146">
        <f>HYPERLINK("https://klasma.github.io/Logging_0780/karta/A 35815-2021 karta.png", "A 35815-2021")</f>
        <v/>
      </c>
      <c r="V146">
        <f>HYPERLINK("https://klasma.github.io/Logging_0780/klagomål/A 35815-2021 klagomål.docx", "A 35815-2021")</f>
        <v/>
      </c>
      <c r="W146">
        <f>HYPERLINK("https://klasma.github.io/Logging_0780/klagomålsmail/A 35815-2021 klagomålsmail.docx", "A 35815-2021")</f>
        <v/>
      </c>
      <c r="X146">
        <f>HYPERLINK("https://klasma.github.io/Logging_0780/tillsyn/A 35815-2021 tillsyn.docx", "A 35815-2021")</f>
        <v/>
      </c>
      <c r="Y146">
        <f>HYPERLINK("https://klasma.github.io/Logging_0780/tillsynsmail/A 35815-2021 tillsynsmail.docx", "A 35815-2021")</f>
        <v/>
      </c>
    </row>
    <row r="147" ht="15" customHeight="1">
      <c r="A147" t="inlineStr">
        <is>
          <t>A 37936-2021</t>
        </is>
      </c>
      <c r="B147" s="1" t="n">
        <v>44403</v>
      </c>
      <c r="C147" s="1" t="n">
        <v>45212</v>
      </c>
      <c r="D147" t="inlineStr">
        <is>
          <t>KRONOBERGS LÄN</t>
        </is>
      </c>
      <c r="E147" t="inlineStr">
        <is>
          <t>LESSEBO</t>
        </is>
      </c>
      <c r="G147" t="n">
        <v>6.2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HYPERLINK("https://klasma.github.io/Logging_0761/artfynd/A 37936-2021 artfynd.xlsx", "A 37936-2021")</f>
        <v/>
      </c>
      <c r="T147">
        <f>HYPERLINK("https://klasma.github.io/Logging_0761/karta/A 37936-2021 karta.png", "A 37936-2021")</f>
        <v/>
      </c>
      <c r="U147">
        <f>HYPERLINK("https://klasma.github.io/Logging_0761/knärot/A 37936-2021 knärot.png", "A 37936-2021")</f>
        <v/>
      </c>
      <c r="V147">
        <f>HYPERLINK("https://klasma.github.io/Logging_0761/klagomål/A 37936-2021 klagomål.docx", "A 37936-2021")</f>
        <v/>
      </c>
      <c r="W147">
        <f>HYPERLINK("https://klasma.github.io/Logging_0761/klagomålsmail/A 37936-2021 klagomålsmail.docx", "A 37936-2021")</f>
        <v/>
      </c>
      <c r="X147">
        <f>HYPERLINK("https://klasma.github.io/Logging_0761/tillsyn/A 37936-2021 tillsyn.docx", "A 37936-2021")</f>
        <v/>
      </c>
      <c r="Y147">
        <f>HYPERLINK("https://klasma.github.io/Logging_0761/tillsynsmail/A 37936-2021 tillsynsmail.docx", "A 37936-2021")</f>
        <v/>
      </c>
    </row>
    <row r="148" ht="15" customHeight="1">
      <c r="A148" t="inlineStr">
        <is>
          <t>A 47908-2021</t>
        </is>
      </c>
      <c r="B148" s="1" t="n">
        <v>44448</v>
      </c>
      <c r="C148" s="1" t="n">
        <v>45212</v>
      </c>
      <c r="D148" t="inlineStr">
        <is>
          <t>KRONOBERGS LÄN</t>
        </is>
      </c>
      <c r="E148" t="inlineStr">
        <is>
          <t>LJUNGBY</t>
        </is>
      </c>
      <c r="G148" t="n">
        <v>4.4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HYPERLINK("https://klasma.github.io/Logging_0781/artfynd/A 47908-2021 artfynd.xlsx", "A 47908-2021")</f>
        <v/>
      </c>
      <c r="T148">
        <f>HYPERLINK("https://klasma.github.io/Logging_0781/karta/A 47908-2021 karta.png", "A 47908-2021")</f>
        <v/>
      </c>
      <c r="U148">
        <f>HYPERLINK("https://klasma.github.io/Logging_0781/knärot/A 47908-2021 knärot.png", "A 47908-2021")</f>
        <v/>
      </c>
      <c r="V148">
        <f>HYPERLINK("https://klasma.github.io/Logging_0781/klagomål/A 47908-2021 klagomål.docx", "A 47908-2021")</f>
        <v/>
      </c>
      <c r="W148">
        <f>HYPERLINK("https://klasma.github.io/Logging_0781/klagomålsmail/A 47908-2021 klagomålsmail.docx", "A 47908-2021")</f>
        <v/>
      </c>
      <c r="X148">
        <f>HYPERLINK("https://klasma.github.io/Logging_0781/tillsyn/A 47908-2021 tillsyn.docx", "A 47908-2021")</f>
        <v/>
      </c>
      <c r="Y148">
        <f>HYPERLINK("https://klasma.github.io/Logging_0781/tillsynsmail/A 47908-2021 tillsynsmail.docx", "A 47908-2021")</f>
        <v/>
      </c>
    </row>
    <row r="149" ht="15" customHeight="1">
      <c r="A149" t="inlineStr">
        <is>
          <t>A 47909-2021</t>
        </is>
      </c>
      <c r="B149" s="1" t="n">
        <v>44448</v>
      </c>
      <c r="C149" s="1" t="n">
        <v>45212</v>
      </c>
      <c r="D149" t="inlineStr">
        <is>
          <t>KRONOBERGS LÄN</t>
        </is>
      </c>
      <c r="E149" t="inlineStr">
        <is>
          <t>LJUNGBY</t>
        </is>
      </c>
      <c r="G149" t="n">
        <v>2.9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Klippfrullania</t>
        </is>
      </c>
      <c r="S149">
        <f>HYPERLINK("https://klasma.github.io/Logging_0781/artfynd/A 47909-2021 artfynd.xlsx", "A 47909-2021")</f>
        <v/>
      </c>
      <c r="T149">
        <f>HYPERLINK("https://klasma.github.io/Logging_0781/karta/A 47909-2021 karta.png", "A 47909-2021")</f>
        <v/>
      </c>
      <c r="V149">
        <f>HYPERLINK("https://klasma.github.io/Logging_0781/klagomål/A 47909-2021 klagomål.docx", "A 47909-2021")</f>
        <v/>
      </c>
      <c r="W149">
        <f>HYPERLINK("https://klasma.github.io/Logging_0781/klagomålsmail/A 47909-2021 klagomålsmail.docx", "A 47909-2021")</f>
        <v/>
      </c>
      <c r="X149">
        <f>HYPERLINK("https://klasma.github.io/Logging_0781/tillsyn/A 47909-2021 tillsyn.docx", "A 47909-2021")</f>
        <v/>
      </c>
      <c r="Y149">
        <f>HYPERLINK("https://klasma.github.io/Logging_0781/tillsynsmail/A 47909-2021 tillsynsmail.docx", "A 47909-2021")</f>
        <v/>
      </c>
    </row>
    <row r="150" ht="15" customHeight="1">
      <c r="A150" t="inlineStr">
        <is>
          <t>A 51284-2021</t>
        </is>
      </c>
      <c r="B150" s="1" t="n">
        <v>44461</v>
      </c>
      <c r="C150" s="1" t="n">
        <v>45212</v>
      </c>
      <c r="D150" t="inlineStr">
        <is>
          <t>KRONOBERGS LÄN</t>
        </is>
      </c>
      <c r="E150" t="inlineStr">
        <is>
          <t>LJUNGBY</t>
        </is>
      </c>
      <c r="G150" t="n">
        <v>1.1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Spillkråka</t>
        </is>
      </c>
      <c r="S150">
        <f>HYPERLINK("https://klasma.github.io/Logging_0781/artfynd/A 51284-2021 artfynd.xlsx", "A 51284-2021")</f>
        <v/>
      </c>
      <c r="T150">
        <f>HYPERLINK("https://klasma.github.io/Logging_0781/karta/A 51284-2021 karta.png", "A 51284-2021")</f>
        <v/>
      </c>
      <c r="V150">
        <f>HYPERLINK("https://klasma.github.io/Logging_0781/klagomål/A 51284-2021 klagomål.docx", "A 51284-2021")</f>
        <v/>
      </c>
      <c r="W150">
        <f>HYPERLINK("https://klasma.github.io/Logging_0781/klagomålsmail/A 51284-2021 klagomålsmail.docx", "A 51284-2021")</f>
        <v/>
      </c>
      <c r="X150">
        <f>HYPERLINK("https://klasma.github.io/Logging_0781/tillsyn/A 51284-2021 tillsyn.docx", "A 51284-2021")</f>
        <v/>
      </c>
      <c r="Y150">
        <f>HYPERLINK("https://klasma.github.io/Logging_0781/tillsynsmail/A 51284-2021 tillsynsmail.docx", "A 51284-2021")</f>
        <v/>
      </c>
    </row>
    <row r="151" ht="15" customHeight="1">
      <c r="A151" t="inlineStr">
        <is>
          <t>A 58629-2021</t>
        </is>
      </c>
      <c r="B151" s="1" t="n">
        <v>44489</v>
      </c>
      <c r="C151" s="1" t="n">
        <v>45212</v>
      </c>
      <c r="D151" t="inlineStr">
        <is>
          <t>KRONOBERGS LÄN</t>
        </is>
      </c>
      <c r="E151" t="inlineStr">
        <is>
          <t>TINGSRYD</t>
        </is>
      </c>
      <c r="G151" t="n">
        <v>2.3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Kavelhirs</t>
        </is>
      </c>
      <c r="S151">
        <f>HYPERLINK("https://klasma.github.io/Logging_0763/artfynd/A 58629-2021 artfynd.xlsx", "A 58629-2021")</f>
        <v/>
      </c>
      <c r="T151">
        <f>HYPERLINK("https://klasma.github.io/Logging_0763/karta/A 58629-2021 karta.png", "A 58629-2021")</f>
        <v/>
      </c>
      <c r="V151">
        <f>HYPERLINK("https://klasma.github.io/Logging_0763/klagomål/A 58629-2021 klagomål.docx", "A 58629-2021")</f>
        <v/>
      </c>
      <c r="W151">
        <f>HYPERLINK("https://klasma.github.io/Logging_0763/klagomålsmail/A 58629-2021 klagomålsmail.docx", "A 58629-2021")</f>
        <v/>
      </c>
      <c r="X151">
        <f>HYPERLINK("https://klasma.github.io/Logging_0763/tillsyn/A 58629-2021 tillsyn.docx", "A 58629-2021")</f>
        <v/>
      </c>
      <c r="Y151">
        <f>HYPERLINK("https://klasma.github.io/Logging_0763/tillsynsmail/A 58629-2021 tillsynsmail.docx", "A 58629-2021")</f>
        <v/>
      </c>
    </row>
    <row r="152" ht="15" customHeight="1">
      <c r="A152" t="inlineStr">
        <is>
          <t>A 67665-2021</t>
        </is>
      </c>
      <c r="B152" s="1" t="n">
        <v>44524</v>
      </c>
      <c r="C152" s="1" t="n">
        <v>45212</v>
      </c>
      <c r="D152" t="inlineStr">
        <is>
          <t>KRONOBERGS LÄN</t>
        </is>
      </c>
      <c r="E152" t="inlineStr">
        <is>
          <t>LJUNGBY</t>
        </is>
      </c>
      <c r="G152" t="n">
        <v>7.8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Sjötåtel</t>
        </is>
      </c>
      <c r="S152">
        <f>HYPERLINK("https://klasma.github.io/Logging_0781/artfynd/A 67665-2021 artfynd.xlsx", "A 67665-2021")</f>
        <v/>
      </c>
      <c r="T152">
        <f>HYPERLINK("https://klasma.github.io/Logging_0781/karta/A 67665-2021 karta.png", "A 67665-2021")</f>
        <v/>
      </c>
      <c r="V152">
        <f>HYPERLINK("https://klasma.github.io/Logging_0781/klagomål/A 67665-2021 klagomål.docx", "A 67665-2021")</f>
        <v/>
      </c>
      <c r="W152">
        <f>HYPERLINK("https://klasma.github.io/Logging_0781/klagomålsmail/A 67665-2021 klagomålsmail.docx", "A 67665-2021")</f>
        <v/>
      </c>
      <c r="X152">
        <f>HYPERLINK("https://klasma.github.io/Logging_0781/tillsyn/A 67665-2021 tillsyn.docx", "A 67665-2021")</f>
        <v/>
      </c>
      <c r="Y152">
        <f>HYPERLINK("https://klasma.github.io/Logging_0781/tillsynsmail/A 67665-2021 tillsynsmail.docx", "A 67665-2021")</f>
        <v/>
      </c>
    </row>
    <row r="153" ht="15" customHeight="1">
      <c r="A153" t="inlineStr">
        <is>
          <t>A 69689-2021</t>
        </is>
      </c>
      <c r="B153" s="1" t="n">
        <v>44532</v>
      </c>
      <c r="C153" s="1" t="n">
        <v>45212</v>
      </c>
      <c r="D153" t="inlineStr">
        <is>
          <t>KRONOBERGS LÄN</t>
        </is>
      </c>
      <c r="E153" t="inlineStr">
        <is>
          <t>VÄXJÖ</t>
        </is>
      </c>
      <c r="F153" t="inlineStr">
        <is>
          <t>Övriga statliga verk och myndigheter</t>
        </is>
      </c>
      <c r="G153" t="n">
        <v>2.7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Hasselmus</t>
        </is>
      </c>
      <c r="S153">
        <f>HYPERLINK("https://klasma.github.io/Logging_0780/artfynd/A 69689-2021 artfynd.xlsx", "A 69689-2021")</f>
        <v/>
      </c>
      <c r="T153">
        <f>HYPERLINK("https://klasma.github.io/Logging_0780/karta/A 69689-2021 karta.png", "A 69689-2021")</f>
        <v/>
      </c>
      <c r="V153">
        <f>HYPERLINK("https://klasma.github.io/Logging_0780/klagomål/A 69689-2021 klagomål.docx", "A 69689-2021")</f>
        <v/>
      </c>
      <c r="W153">
        <f>HYPERLINK("https://klasma.github.io/Logging_0780/klagomålsmail/A 69689-2021 klagomålsmail.docx", "A 69689-2021")</f>
        <v/>
      </c>
      <c r="X153">
        <f>HYPERLINK("https://klasma.github.io/Logging_0780/tillsyn/A 69689-2021 tillsyn.docx", "A 69689-2021")</f>
        <v/>
      </c>
      <c r="Y153">
        <f>HYPERLINK("https://klasma.github.io/Logging_0780/tillsynsmail/A 69689-2021 tillsynsmail.docx", "A 69689-2021")</f>
        <v/>
      </c>
    </row>
    <row r="154" ht="15" customHeight="1">
      <c r="A154" t="inlineStr">
        <is>
          <t>A 73118-2021</t>
        </is>
      </c>
      <c r="B154" s="1" t="n">
        <v>44550</v>
      </c>
      <c r="C154" s="1" t="n">
        <v>45212</v>
      </c>
      <c r="D154" t="inlineStr">
        <is>
          <t>KRONOBERGS LÄN</t>
        </is>
      </c>
      <c r="E154" t="inlineStr">
        <is>
          <t>UPPVIDINGE</t>
        </is>
      </c>
      <c r="G154" t="n">
        <v>1.3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HYPERLINK("https://klasma.github.io/Logging_0760/artfynd/A 73118-2021 artfynd.xlsx", "A 73118-2021")</f>
        <v/>
      </c>
      <c r="T154">
        <f>HYPERLINK("https://klasma.github.io/Logging_0760/karta/A 73118-2021 karta.png", "A 73118-2021")</f>
        <v/>
      </c>
      <c r="V154">
        <f>HYPERLINK("https://klasma.github.io/Logging_0760/klagomål/A 73118-2021 klagomål.docx", "A 73118-2021")</f>
        <v/>
      </c>
      <c r="W154">
        <f>HYPERLINK("https://klasma.github.io/Logging_0760/klagomålsmail/A 73118-2021 klagomålsmail.docx", "A 73118-2021")</f>
        <v/>
      </c>
      <c r="X154">
        <f>HYPERLINK("https://klasma.github.io/Logging_0760/tillsyn/A 73118-2021 tillsyn.docx", "A 73118-2021")</f>
        <v/>
      </c>
      <c r="Y154">
        <f>HYPERLINK("https://klasma.github.io/Logging_0760/tillsynsmail/A 73118-2021 tillsynsmail.docx", "A 73118-2021")</f>
        <v/>
      </c>
    </row>
    <row r="155" ht="15" customHeight="1">
      <c r="A155" t="inlineStr">
        <is>
          <t>A 73863-2021</t>
        </is>
      </c>
      <c r="B155" s="1" t="n">
        <v>44553</v>
      </c>
      <c r="C155" s="1" t="n">
        <v>45212</v>
      </c>
      <c r="D155" t="inlineStr">
        <is>
          <t>KRONOBERGS LÄN</t>
        </is>
      </c>
      <c r="E155" t="inlineStr">
        <is>
          <t>MARKARYD</t>
        </is>
      </c>
      <c r="G155" t="n">
        <v>1.4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Lopplummer</t>
        </is>
      </c>
      <c r="S155">
        <f>HYPERLINK("https://klasma.github.io/Logging_0767/artfynd/A 73863-2021 artfynd.xlsx", "A 73863-2021")</f>
        <v/>
      </c>
      <c r="T155">
        <f>HYPERLINK("https://klasma.github.io/Logging_0767/karta/A 73863-2021 karta.png", "A 73863-2021")</f>
        <v/>
      </c>
      <c r="V155">
        <f>HYPERLINK("https://klasma.github.io/Logging_0767/klagomål/A 73863-2021 klagomål.docx", "A 73863-2021")</f>
        <v/>
      </c>
      <c r="W155">
        <f>HYPERLINK("https://klasma.github.io/Logging_0767/klagomålsmail/A 73863-2021 klagomålsmail.docx", "A 73863-2021")</f>
        <v/>
      </c>
      <c r="X155">
        <f>HYPERLINK("https://klasma.github.io/Logging_0767/tillsyn/A 73863-2021 tillsyn.docx", "A 73863-2021")</f>
        <v/>
      </c>
      <c r="Y155">
        <f>HYPERLINK("https://klasma.github.io/Logging_0767/tillsynsmail/A 73863-2021 tillsynsmail.docx", "A 73863-2021")</f>
        <v/>
      </c>
    </row>
    <row r="156" ht="15" customHeight="1">
      <c r="A156" t="inlineStr">
        <is>
          <t>A 3220-2022</t>
        </is>
      </c>
      <c r="B156" s="1" t="n">
        <v>44582</v>
      </c>
      <c r="C156" s="1" t="n">
        <v>45212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HYPERLINK("https://klasma.github.io/Logging_0781/artfynd/A 3220-2022 artfynd.xlsx", "A 3220-2022")</f>
        <v/>
      </c>
      <c r="T156">
        <f>HYPERLINK("https://klasma.github.io/Logging_0781/karta/A 3220-2022 karta.png", "A 3220-2022")</f>
        <v/>
      </c>
      <c r="V156">
        <f>HYPERLINK("https://klasma.github.io/Logging_0781/klagomål/A 3220-2022 klagomål.docx", "A 3220-2022")</f>
        <v/>
      </c>
      <c r="W156">
        <f>HYPERLINK("https://klasma.github.io/Logging_0781/klagomålsmail/A 3220-2022 klagomålsmail.docx", "A 3220-2022")</f>
        <v/>
      </c>
      <c r="X156">
        <f>HYPERLINK("https://klasma.github.io/Logging_0781/tillsyn/A 3220-2022 tillsyn.docx", "A 3220-2022")</f>
        <v/>
      </c>
      <c r="Y156">
        <f>HYPERLINK("https://klasma.github.io/Logging_0781/tillsynsmail/A 3220-2022 tillsynsmail.docx", "A 3220-2022")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45212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HYPERLINK("https://klasma.github.io/Logging_0781/karta/A 13387-2022 karta.png", "A 13387-2022")</f>
        <v/>
      </c>
      <c r="V157">
        <f>HYPERLINK("https://klasma.github.io/Logging_0781/klagomål/A 13387-2022 klagomål.docx", "A 13387-2022")</f>
        <v/>
      </c>
      <c r="W157">
        <f>HYPERLINK("https://klasma.github.io/Logging_0781/klagomålsmail/A 13387-2022 klagomålsmail.docx", "A 13387-2022")</f>
        <v/>
      </c>
      <c r="X157">
        <f>HYPERLINK("https://klasma.github.io/Logging_0781/tillsyn/A 13387-2022 tillsyn.docx", "A 13387-2022")</f>
        <v/>
      </c>
      <c r="Y157">
        <f>HYPERLINK("https://klasma.github.io/Logging_0781/tillsynsmail/A 13387-2022 tillsynsmail.docx", "A 13387-2022")</f>
        <v/>
      </c>
    </row>
    <row r="158" ht="15" customHeight="1">
      <c r="A158" t="inlineStr">
        <is>
          <t>A 15676-2022</t>
        </is>
      </c>
      <c r="B158" s="1" t="n">
        <v>44663</v>
      </c>
      <c r="C158" s="1" t="n">
        <v>45212</v>
      </c>
      <c r="D158" t="inlineStr">
        <is>
          <t>KRONOBERGS LÄN</t>
        </is>
      </c>
      <c r="E158" t="inlineStr">
        <is>
          <t>UPPVIDINGE</t>
        </is>
      </c>
      <c r="G158" t="n">
        <v>1.5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HYPERLINK("https://klasma.github.io/Logging_0760/artfynd/A 15676-2022 artfynd.xlsx", "A 15676-2022")</f>
        <v/>
      </c>
      <c r="T158">
        <f>HYPERLINK("https://klasma.github.io/Logging_0760/karta/A 15676-2022 karta.png", "A 15676-2022")</f>
        <v/>
      </c>
      <c r="U158">
        <f>HYPERLINK("https://klasma.github.io/Logging_0760/knärot/A 15676-2022 knärot.png", "A 15676-2022")</f>
        <v/>
      </c>
      <c r="V158">
        <f>HYPERLINK("https://klasma.github.io/Logging_0760/klagomål/A 15676-2022 klagomål.docx", "A 15676-2022")</f>
        <v/>
      </c>
      <c r="W158">
        <f>HYPERLINK("https://klasma.github.io/Logging_0760/klagomålsmail/A 15676-2022 klagomålsmail.docx", "A 15676-2022")</f>
        <v/>
      </c>
      <c r="X158">
        <f>HYPERLINK("https://klasma.github.io/Logging_0760/tillsyn/A 15676-2022 tillsyn.docx", "A 15676-2022")</f>
        <v/>
      </c>
      <c r="Y158">
        <f>HYPERLINK("https://klasma.github.io/Logging_0760/tillsynsmail/A 15676-2022 tillsynsmail.docx", "A 15676-2022")</f>
        <v/>
      </c>
    </row>
    <row r="159" ht="15" customHeight="1">
      <c r="A159" t="inlineStr">
        <is>
          <t>A 15756-2022</t>
        </is>
      </c>
      <c r="B159" s="1" t="n">
        <v>44663</v>
      </c>
      <c r="C159" s="1" t="n">
        <v>45212</v>
      </c>
      <c r="D159" t="inlineStr">
        <is>
          <t>KRONOBERGS LÄN</t>
        </is>
      </c>
      <c r="E159" t="inlineStr">
        <is>
          <t>ÄLMHULT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Slåtterfibbla</t>
        </is>
      </c>
      <c r="S159">
        <f>HYPERLINK("https://klasma.github.io/Logging_0765/artfynd/A 15756-2022 artfynd.xlsx", "A 15756-2022")</f>
        <v/>
      </c>
      <c r="T159">
        <f>HYPERLINK("https://klasma.github.io/Logging_0765/karta/A 15756-2022 karta.png", "A 15756-2022")</f>
        <v/>
      </c>
      <c r="V159">
        <f>HYPERLINK("https://klasma.github.io/Logging_0765/klagomål/A 15756-2022 klagomål.docx", "A 15756-2022")</f>
        <v/>
      </c>
      <c r="W159">
        <f>HYPERLINK("https://klasma.github.io/Logging_0765/klagomålsmail/A 15756-2022 klagomålsmail.docx", "A 15756-2022")</f>
        <v/>
      </c>
      <c r="X159">
        <f>HYPERLINK("https://klasma.github.io/Logging_0765/tillsyn/A 15756-2022 tillsyn.docx", "A 15756-2022")</f>
        <v/>
      </c>
      <c r="Y159">
        <f>HYPERLINK("https://klasma.github.io/Logging_0765/tillsynsmail/A 15756-2022 tillsynsmail.docx", "A 15756-2022")</f>
        <v/>
      </c>
    </row>
    <row r="160" ht="15" customHeight="1">
      <c r="A160" t="inlineStr">
        <is>
          <t>A 16796-2022</t>
        </is>
      </c>
      <c r="B160" s="1" t="n">
        <v>44673</v>
      </c>
      <c r="C160" s="1" t="n">
        <v>45212</v>
      </c>
      <c r="D160" t="inlineStr">
        <is>
          <t>KRONOBERGS LÄN</t>
        </is>
      </c>
      <c r="E160" t="inlineStr">
        <is>
          <t>VÄXJÖ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HYPERLINK("https://klasma.github.io/Logging_0780/artfynd/A 16796-2022 artfynd.xlsx", "A 16796-2022")</f>
        <v/>
      </c>
      <c r="T160">
        <f>HYPERLINK("https://klasma.github.io/Logging_0780/karta/A 16796-2022 karta.png", "A 16796-2022")</f>
        <v/>
      </c>
      <c r="V160">
        <f>HYPERLINK("https://klasma.github.io/Logging_0780/klagomål/A 16796-2022 klagomål.docx", "A 16796-2022")</f>
        <v/>
      </c>
      <c r="W160">
        <f>HYPERLINK("https://klasma.github.io/Logging_0780/klagomålsmail/A 16796-2022 klagomålsmail.docx", "A 16796-2022")</f>
        <v/>
      </c>
      <c r="X160">
        <f>HYPERLINK("https://klasma.github.io/Logging_0780/tillsyn/A 16796-2022 tillsyn.docx", "A 16796-2022")</f>
        <v/>
      </c>
      <c r="Y160">
        <f>HYPERLINK("https://klasma.github.io/Logging_0780/tillsynsmail/A 16796-2022 tillsynsmail.docx", "A 16796-2022")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45212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HYPERLINK("https://klasma.github.io/Logging_0760/karta/A 16882-2022 karta.png", "A 16882-2022")</f>
        <v/>
      </c>
      <c r="V161">
        <f>HYPERLINK("https://klasma.github.io/Logging_0760/klagomål/A 16882-2022 klagomål.docx", "A 16882-2022")</f>
        <v/>
      </c>
      <c r="W161">
        <f>HYPERLINK("https://klasma.github.io/Logging_0760/klagomålsmail/A 16882-2022 klagomålsmail.docx", "A 16882-2022")</f>
        <v/>
      </c>
      <c r="X161">
        <f>HYPERLINK("https://klasma.github.io/Logging_0760/tillsyn/A 16882-2022 tillsyn.docx", "A 16882-2022")</f>
        <v/>
      </c>
      <c r="Y161">
        <f>HYPERLINK("https://klasma.github.io/Logging_0760/tillsynsmail/A 16882-2022 tillsynsmail.docx", "A 16882-2022")</f>
        <v/>
      </c>
    </row>
    <row r="162" ht="15" customHeight="1">
      <c r="A162" t="inlineStr">
        <is>
          <t>A 33935-2022</t>
        </is>
      </c>
      <c r="B162" s="1" t="n">
        <v>44790</v>
      </c>
      <c r="C162" s="1" t="n">
        <v>45212</v>
      </c>
      <c r="D162" t="inlineStr">
        <is>
          <t>KRONOBERGS LÄN</t>
        </is>
      </c>
      <c r="E162" t="inlineStr">
        <is>
          <t>LJUNGBY</t>
        </is>
      </c>
      <c r="G162" t="n">
        <v>10.5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Lopplummer</t>
        </is>
      </c>
      <c r="S162">
        <f>HYPERLINK("https://klasma.github.io/Logging_0781/artfynd/A 33935-2022 artfynd.xlsx", "A 33935-2022")</f>
        <v/>
      </c>
      <c r="T162">
        <f>HYPERLINK("https://klasma.github.io/Logging_0781/karta/A 33935-2022 karta.png", "A 33935-2022")</f>
        <v/>
      </c>
      <c r="V162">
        <f>HYPERLINK("https://klasma.github.io/Logging_0781/klagomål/A 33935-2022 klagomål.docx", "A 33935-2022")</f>
        <v/>
      </c>
      <c r="W162">
        <f>HYPERLINK("https://klasma.github.io/Logging_0781/klagomålsmail/A 33935-2022 klagomålsmail.docx", "A 33935-2022")</f>
        <v/>
      </c>
      <c r="X162">
        <f>HYPERLINK("https://klasma.github.io/Logging_0781/tillsyn/A 33935-2022 tillsyn.docx", "A 33935-2022")</f>
        <v/>
      </c>
      <c r="Y162">
        <f>HYPERLINK("https://klasma.github.io/Logging_0781/tillsynsmail/A 33935-2022 tillsynsmail.docx", "A 33935-2022")</f>
        <v/>
      </c>
    </row>
    <row r="163" ht="15" customHeight="1">
      <c r="A163" t="inlineStr">
        <is>
          <t>A 37608-2022</t>
        </is>
      </c>
      <c r="B163" s="1" t="n">
        <v>44810</v>
      </c>
      <c r="C163" s="1" t="n">
        <v>45212</v>
      </c>
      <c r="D163" t="inlineStr">
        <is>
          <t>KRONOBERGS LÄN</t>
        </is>
      </c>
      <c r="E163" t="inlineStr">
        <is>
          <t>ALVESTA</t>
        </is>
      </c>
      <c r="G163" t="n">
        <v>5.3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Gropticka</t>
        </is>
      </c>
      <c r="S163">
        <f>HYPERLINK("https://klasma.github.io/Logging_0764/artfynd/A 37608-2022 artfynd.xlsx", "A 37608-2022")</f>
        <v/>
      </c>
      <c r="T163">
        <f>HYPERLINK("https://klasma.github.io/Logging_0764/karta/A 37608-2022 karta.png", "A 37608-2022")</f>
        <v/>
      </c>
      <c r="V163">
        <f>HYPERLINK("https://klasma.github.io/Logging_0764/klagomål/A 37608-2022 klagomål.docx", "A 37608-2022")</f>
        <v/>
      </c>
      <c r="W163">
        <f>HYPERLINK("https://klasma.github.io/Logging_0764/klagomålsmail/A 37608-2022 klagomålsmail.docx", "A 37608-2022")</f>
        <v/>
      </c>
      <c r="X163">
        <f>HYPERLINK("https://klasma.github.io/Logging_0764/tillsyn/A 37608-2022 tillsyn.docx", "A 37608-2022")</f>
        <v/>
      </c>
      <c r="Y163">
        <f>HYPERLINK("https://klasma.github.io/Logging_0764/tillsynsmail/A 37608-2022 tillsynsmail.docx", "A 37608-2022")</f>
        <v/>
      </c>
    </row>
    <row r="164" ht="15" customHeight="1">
      <c r="A164" t="inlineStr">
        <is>
          <t>A 39508-2022</t>
        </is>
      </c>
      <c r="B164" s="1" t="n">
        <v>44818</v>
      </c>
      <c r="C164" s="1" t="n">
        <v>45212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45.6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Kråka</t>
        </is>
      </c>
      <c r="S164">
        <f>HYPERLINK("https://klasma.github.io/Logging_0767/artfynd/A 39508-2022 artfynd.xlsx", "A 39508-2022")</f>
        <v/>
      </c>
      <c r="T164">
        <f>HYPERLINK("https://klasma.github.io/Logging_0767/karta/A 39508-2022 karta.png", "A 39508-2022")</f>
        <v/>
      </c>
      <c r="V164">
        <f>HYPERLINK("https://klasma.github.io/Logging_0767/klagomål/A 39508-2022 klagomål.docx", "A 39508-2022")</f>
        <v/>
      </c>
      <c r="W164">
        <f>HYPERLINK("https://klasma.github.io/Logging_0767/klagomålsmail/A 39508-2022 klagomålsmail.docx", "A 39508-2022")</f>
        <v/>
      </c>
      <c r="X164">
        <f>HYPERLINK("https://klasma.github.io/Logging_0767/tillsyn/A 39508-2022 tillsyn.docx", "A 39508-2022")</f>
        <v/>
      </c>
      <c r="Y164">
        <f>HYPERLINK("https://klasma.github.io/Logging_0767/tillsynsmail/A 39508-2022 tillsynsmail.docx", "A 39508-2022")</f>
        <v/>
      </c>
    </row>
    <row r="165" ht="15" customHeight="1">
      <c r="A165" t="inlineStr">
        <is>
          <t>A 39766-2022</t>
        </is>
      </c>
      <c r="B165" s="1" t="n">
        <v>44819</v>
      </c>
      <c r="C165" s="1" t="n">
        <v>45212</v>
      </c>
      <c r="D165" t="inlineStr">
        <is>
          <t>KRONOBERGS LÄN</t>
        </is>
      </c>
      <c r="E165" t="inlineStr">
        <is>
          <t>ALVESTA</t>
        </is>
      </c>
      <c r="G165" t="n">
        <v>0.8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Brandticka</t>
        </is>
      </c>
      <c r="S165">
        <f>HYPERLINK("https://klasma.github.io/Logging_0764/artfynd/A 39766-2022 artfynd.xlsx", "A 39766-2022")</f>
        <v/>
      </c>
      <c r="T165">
        <f>HYPERLINK("https://klasma.github.io/Logging_0764/karta/A 39766-2022 karta.png", "A 39766-2022")</f>
        <v/>
      </c>
      <c r="V165">
        <f>HYPERLINK("https://klasma.github.io/Logging_0764/klagomål/A 39766-2022 klagomål.docx", "A 39766-2022")</f>
        <v/>
      </c>
      <c r="W165">
        <f>HYPERLINK("https://klasma.github.io/Logging_0764/klagomålsmail/A 39766-2022 klagomålsmail.docx", "A 39766-2022")</f>
        <v/>
      </c>
      <c r="X165">
        <f>HYPERLINK("https://klasma.github.io/Logging_0764/tillsyn/A 39766-2022 tillsyn.docx", "A 39766-2022")</f>
        <v/>
      </c>
      <c r="Y165">
        <f>HYPERLINK("https://klasma.github.io/Logging_0764/tillsynsmail/A 39766-2022 tillsynsmail.docx", "A 39766-2022")</f>
        <v/>
      </c>
    </row>
    <row r="166" ht="15" customHeight="1">
      <c r="A166" t="inlineStr">
        <is>
          <t>A 41652-2022</t>
        </is>
      </c>
      <c r="B166" s="1" t="n">
        <v>44827</v>
      </c>
      <c r="C166" s="1" t="n">
        <v>45212</v>
      </c>
      <c r="D166" t="inlineStr">
        <is>
          <t>KRONOBERGS LÄN</t>
        </is>
      </c>
      <c r="E166" t="inlineStr">
        <is>
          <t>UPPVIDINGE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Sankt pers nycklar</t>
        </is>
      </c>
      <c r="S166">
        <f>HYPERLINK("https://klasma.github.io/Logging_0760/artfynd/A 41652-2022 artfynd.xlsx", "A 41652-2022")</f>
        <v/>
      </c>
      <c r="T166">
        <f>HYPERLINK("https://klasma.github.io/Logging_0760/karta/A 41652-2022 karta.png", "A 41652-2022")</f>
        <v/>
      </c>
      <c r="V166">
        <f>HYPERLINK("https://klasma.github.io/Logging_0760/klagomål/A 41652-2022 klagomål.docx", "A 41652-2022")</f>
        <v/>
      </c>
      <c r="W166">
        <f>HYPERLINK("https://klasma.github.io/Logging_0760/klagomålsmail/A 41652-2022 klagomålsmail.docx", "A 41652-2022")</f>
        <v/>
      </c>
      <c r="X166">
        <f>HYPERLINK("https://klasma.github.io/Logging_0760/tillsyn/A 41652-2022 tillsyn.docx", "A 41652-2022")</f>
        <v/>
      </c>
      <c r="Y166">
        <f>HYPERLINK("https://klasma.github.io/Logging_0760/tillsynsmail/A 41652-2022 tillsynsmail.docx", "A 41652-2022")</f>
        <v/>
      </c>
    </row>
    <row r="167" ht="15" customHeight="1">
      <c r="A167" t="inlineStr">
        <is>
          <t>A 43291-2022</t>
        </is>
      </c>
      <c r="B167" s="1" t="n">
        <v>44834</v>
      </c>
      <c r="C167" s="1" t="n">
        <v>45212</v>
      </c>
      <c r="D167" t="inlineStr">
        <is>
          <t>KRONOBERGS LÄN</t>
        </is>
      </c>
      <c r="E167" t="inlineStr">
        <is>
          <t>TINGSRYD</t>
        </is>
      </c>
      <c r="G167" t="n">
        <v>2.1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Grönpyrola</t>
        </is>
      </c>
      <c r="S167">
        <f>HYPERLINK("https://klasma.github.io/Logging_0763/artfynd/A 43291-2022 artfynd.xlsx", "A 43291-2022")</f>
        <v/>
      </c>
      <c r="T167">
        <f>HYPERLINK("https://klasma.github.io/Logging_0763/karta/A 43291-2022 karta.png", "A 43291-2022")</f>
        <v/>
      </c>
      <c r="V167">
        <f>HYPERLINK("https://klasma.github.io/Logging_0763/klagomål/A 43291-2022 klagomål.docx", "A 43291-2022")</f>
        <v/>
      </c>
      <c r="W167">
        <f>HYPERLINK("https://klasma.github.io/Logging_0763/klagomålsmail/A 43291-2022 klagomålsmail.docx", "A 43291-2022")</f>
        <v/>
      </c>
      <c r="X167">
        <f>HYPERLINK("https://klasma.github.io/Logging_0763/tillsyn/A 43291-2022 tillsyn.docx", "A 43291-2022")</f>
        <v/>
      </c>
      <c r="Y167">
        <f>HYPERLINK("https://klasma.github.io/Logging_0763/tillsynsmail/A 43291-2022 tillsynsmail.docx", "A 43291-2022")</f>
        <v/>
      </c>
    </row>
    <row r="168" ht="15" customHeight="1">
      <c r="A168" t="inlineStr">
        <is>
          <t>A 45975-2022</t>
        </is>
      </c>
      <c r="B168" s="1" t="n">
        <v>44846</v>
      </c>
      <c r="C168" s="1" t="n">
        <v>45212</v>
      </c>
      <c r="D168" t="inlineStr">
        <is>
          <t>KRONOBERGS LÄN</t>
        </is>
      </c>
      <c r="E168" t="inlineStr">
        <is>
          <t>LESSEBO</t>
        </is>
      </c>
      <c r="G168" t="n">
        <v>0.9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HYPERLINK("https://klasma.github.io/Logging_0761/artfynd/A 45975-2022 artfynd.xlsx", "A 45975-2022")</f>
        <v/>
      </c>
      <c r="T168">
        <f>HYPERLINK("https://klasma.github.io/Logging_0761/karta/A 45975-2022 karta.png", "A 45975-2022")</f>
        <v/>
      </c>
      <c r="U168">
        <f>HYPERLINK("https://klasma.github.io/Logging_0761/knärot/A 45975-2022 knärot.png", "A 45975-2022")</f>
        <v/>
      </c>
      <c r="V168">
        <f>HYPERLINK("https://klasma.github.io/Logging_0761/klagomål/A 45975-2022 klagomål.docx", "A 45975-2022")</f>
        <v/>
      </c>
      <c r="W168">
        <f>HYPERLINK("https://klasma.github.io/Logging_0761/klagomålsmail/A 45975-2022 klagomålsmail.docx", "A 45975-2022")</f>
        <v/>
      </c>
      <c r="X168">
        <f>HYPERLINK("https://klasma.github.io/Logging_0761/tillsyn/A 45975-2022 tillsyn.docx", "A 45975-2022")</f>
        <v/>
      </c>
      <c r="Y168">
        <f>HYPERLINK("https://klasma.github.io/Logging_0761/tillsynsmail/A 45975-2022 tillsynsmail.docx", "A 45975-2022")</f>
        <v/>
      </c>
    </row>
    <row r="169" ht="15" customHeight="1">
      <c r="A169" t="inlineStr">
        <is>
          <t>A 49123-2022</t>
        </is>
      </c>
      <c r="B169" s="1" t="n">
        <v>44858</v>
      </c>
      <c r="C169" s="1" t="n">
        <v>45212</v>
      </c>
      <c r="D169" t="inlineStr">
        <is>
          <t>KRONOBERGS LÄN</t>
        </is>
      </c>
      <c r="E169" t="inlineStr">
        <is>
          <t>UPPVIDINGE</t>
        </is>
      </c>
      <c r="G169" t="n">
        <v>5.5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HYPERLINK("https://klasma.github.io/Logging_0760/artfynd/A 49123-2022 artfynd.xlsx", "A 49123-2022")</f>
        <v/>
      </c>
      <c r="T169">
        <f>HYPERLINK("https://klasma.github.io/Logging_0760/karta/A 49123-2022 karta.png", "A 49123-2022")</f>
        <v/>
      </c>
      <c r="V169">
        <f>HYPERLINK("https://klasma.github.io/Logging_0760/klagomål/A 49123-2022 klagomål.docx", "A 49123-2022")</f>
        <v/>
      </c>
      <c r="W169">
        <f>HYPERLINK("https://klasma.github.io/Logging_0760/klagomålsmail/A 49123-2022 klagomålsmail.docx", "A 49123-2022")</f>
        <v/>
      </c>
      <c r="X169">
        <f>HYPERLINK("https://klasma.github.io/Logging_0760/tillsyn/A 49123-2022 tillsyn.docx", "A 49123-2022")</f>
        <v/>
      </c>
      <c r="Y169">
        <f>HYPERLINK("https://klasma.github.io/Logging_0760/tillsynsmail/A 49123-2022 tillsynsmail.docx", "A 49123-2022")</f>
        <v/>
      </c>
    </row>
    <row r="170" ht="15" customHeight="1">
      <c r="A170" t="inlineStr">
        <is>
          <t>A 55924-2022</t>
        </is>
      </c>
      <c r="B170" s="1" t="n">
        <v>44886</v>
      </c>
      <c r="C170" s="1" t="n">
        <v>45212</v>
      </c>
      <c r="D170" t="inlineStr">
        <is>
          <t>KRONOBERGS LÄN</t>
        </is>
      </c>
      <c r="E170" t="inlineStr">
        <is>
          <t>TINGSRYD</t>
        </is>
      </c>
      <c r="F170" t="inlineStr">
        <is>
          <t>Kyrkan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HYPERLINK("https://klasma.github.io/Logging_0763/artfynd/A 55924-2022 artfynd.xlsx", "A 55924-2022")</f>
        <v/>
      </c>
      <c r="T170">
        <f>HYPERLINK("https://klasma.github.io/Logging_0763/karta/A 55924-2022 karta.png", "A 55924-2022")</f>
        <v/>
      </c>
      <c r="V170">
        <f>HYPERLINK("https://klasma.github.io/Logging_0763/klagomål/A 55924-2022 klagomål.docx", "A 55924-2022")</f>
        <v/>
      </c>
      <c r="W170">
        <f>HYPERLINK("https://klasma.github.io/Logging_0763/klagomålsmail/A 55924-2022 klagomålsmail.docx", "A 55924-2022")</f>
        <v/>
      </c>
      <c r="X170">
        <f>HYPERLINK("https://klasma.github.io/Logging_0763/tillsyn/A 55924-2022 tillsyn.docx", "A 55924-2022")</f>
        <v/>
      </c>
      <c r="Y170">
        <f>HYPERLINK("https://klasma.github.io/Logging_0763/tillsynsmail/A 55924-2022 tillsynsmail.docx", "A 55924-2022")</f>
        <v/>
      </c>
    </row>
    <row r="171" ht="15" customHeight="1">
      <c r="A171" t="inlineStr">
        <is>
          <t>A 57999-2022</t>
        </is>
      </c>
      <c r="B171" s="1" t="n">
        <v>44900</v>
      </c>
      <c r="C171" s="1" t="n">
        <v>45212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4.2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Svinrot</t>
        </is>
      </c>
      <c r="S171">
        <f>HYPERLINK("https://klasma.github.io/Logging_0760/artfynd/A 57999-2022 artfynd.xlsx", "A 57999-2022")</f>
        <v/>
      </c>
      <c r="T171">
        <f>HYPERLINK("https://klasma.github.io/Logging_0760/karta/A 57999-2022 karta.png", "A 57999-2022")</f>
        <v/>
      </c>
      <c r="V171">
        <f>HYPERLINK("https://klasma.github.io/Logging_0760/klagomål/A 57999-2022 klagomål.docx", "A 57999-2022")</f>
        <v/>
      </c>
      <c r="W171">
        <f>HYPERLINK("https://klasma.github.io/Logging_0760/klagomålsmail/A 57999-2022 klagomålsmail.docx", "A 57999-2022")</f>
        <v/>
      </c>
      <c r="X171">
        <f>HYPERLINK("https://klasma.github.io/Logging_0760/tillsyn/A 57999-2022 tillsyn.docx", "A 57999-2022")</f>
        <v/>
      </c>
      <c r="Y171">
        <f>HYPERLINK("https://klasma.github.io/Logging_0760/tillsynsmail/A 57999-2022 tillsynsmail.docx", "A 57999-2022")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45212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HYPERLINK("https://klasma.github.io/Logging_0781/karta/A 205-2023 karta.png", "A 205-2023")</f>
        <v/>
      </c>
      <c r="V172">
        <f>HYPERLINK("https://klasma.github.io/Logging_0781/klagomål/A 205-2023 klagomål.docx", "A 205-2023")</f>
        <v/>
      </c>
      <c r="W172">
        <f>HYPERLINK("https://klasma.github.io/Logging_0781/klagomålsmail/A 205-2023 klagomålsmail.docx", "A 205-2023")</f>
        <v/>
      </c>
      <c r="X172">
        <f>HYPERLINK("https://klasma.github.io/Logging_0781/tillsyn/A 205-2023 tillsyn.docx", "A 205-2023")</f>
        <v/>
      </c>
      <c r="Y172">
        <f>HYPERLINK("https://klasma.github.io/Logging_0781/tillsynsmail/A 205-2023 tillsynsmail.docx", "A 205-2023")</f>
        <v/>
      </c>
    </row>
    <row r="173" ht="15" customHeight="1">
      <c r="A173" t="inlineStr">
        <is>
          <t>A 486-2023</t>
        </is>
      </c>
      <c r="B173" s="1" t="n">
        <v>44930</v>
      </c>
      <c r="C173" s="1" t="n">
        <v>45212</v>
      </c>
      <c r="D173" t="inlineStr">
        <is>
          <t>KRONOBERGS LÄN</t>
        </is>
      </c>
      <c r="E173" t="inlineStr">
        <is>
          <t>VÄXJÖ</t>
        </is>
      </c>
      <c r="G173" t="n">
        <v>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Garnlav</t>
        </is>
      </c>
      <c r="S173">
        <f>HYPERLINK("https://klasma.github.io/Logging_0780/artfynd/A 486-2023 artfynd.xlsx", "A 486-2023")</f>
        <v/>
      </c>
      <c r="T173">
        <f>HYPERLINK("https://klasma.github.io/Logging_0780/karta/A 486-2023 karta.png", "A 486-2023")</f>
        <v/>
      </c>
      <c r="V173">
        <f>HYPERLINK("https://klasma.github.io/Logging_0780/klagomål/A 486-2023 klagomål.docx", "A 486-2023")</f>
        <v/>
      </c>
      <c r="W173">
        <f>HYPERLINK("https://klasma.github.io/Logging_0780/klagomålsmail/A 486-2023 klagomålsmail.docx", "A 486-2023")</f>
        <v/>
      </c>
      <c r="X173">
        <f>HYPERLINK("https://klasma.github.io/Logging_0780/tillsyn/A 486-2023 tillsyn.docx", "A 486-2023")</f>
        <v/>
      </c>
      <c r="Y173">
        <f>HYPERLINK("https://klasma.github.io/Logging_0780/tillsynsmail/A 486-2023 tillsynsmail.docx", "A 486-2023")</f>
        <v/>
      </c>
    </row>
    <row r="174" ht="15" customHeight="1">
      <c r="A174" t="inlineStr">
        <is>
          <t>A 3677-2023</t>
        </is>
      </c>
      <c r="B174" s="1" t="n">
        <v>44950</v>
      </c>
      <c r="C174" s="1" t="n">
        <v>45212</v>
      </c>
      <c r="D174" t="inlineStr">
        <is>
          <t>KRONOBERGS LÄN</t>
        </is>
      </c>
      <c r="E174" t="inlineStr">
        <is>
          <t>UPPVIDINGE</t>
        </is>
      </c>
      <c r="G174" t="n">
        <v>13.4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HYPERLINK("https://klasma.github.io/Logging_0760/artfynd/A 3677-2023 artfynd.xlsx", "A 3677-2023")</f>
        <v/>
      </c>
      <c r="T174">
        <f>HYPERLINK("https://klasma.github.io/Logging_0760/karta/A 3677-2023 karta.png", "A 3677-2023")</f>
        <v/>
      </c>
      <c r="V174">
        <f>HYPERLINK("https://klasma.github.io/Logging_0760/klagomål/A 3677-2023 klagomål.docx", "A 3677-2023")</f>
        <v/>
      </c>
      <c r="W174">
        <f>HYPERLINK("https://klasma.github.io/Logging_0760/klagomålsmail/A 3677-2023 klagomålsmail.docx", "A 3677-2023")</f>
        <v/>
      </c>
      <c r="X174">
        <f>HYPERLINK("https://klasma.github.io/Logging_0760/tillsyn/A 3677-2023 tillsyn.docx", "A 3677-2023")</f>
        <v/>
      </c>
      <c r="Y174">
        <f>HYPERLINK("https://klasma.github.io/Logging_0760/tillsynsmail/A 3677-2023 tillsynsmail.docx", "A 3677-2023")</f>
        <v/>
      </c>
    </row>
    <row r="175" ht="15" customHeight="1">
      <c r="A175" t="inlineStr">
        <is>
          <t>A 9825-2023</t>
        </is>
      </c>
      <c r="B175" s="1" t="n">
        <v>44984</v>
      </c>
      <c r="C175" s="1" t="n">
        <v>45212</v>
      </c>
      <c r="D175" t="inlineStr">
        <is>
          <t>KRONOBERGS LÄN</t>
        </is>
      </c>
      <c r="E175" t="inlineStr">
        <is>
          <t>TINGSRYD</t>
        </is>
      </c>
      <c r="G175" t="n">
        <v>3.5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Huggorm</t>
        </is>
      </c>
      <c r="S175">
        <f>HYPERLINK("https://klasma.github.io/Logging_0763/artfynd/A 9825-2023 artfynd.xlsx", "A 9825-2023")</f>
        <v/>
      </c>
      <c r="T175">
        <f>HYPERLINK("https://klasma.github.io/Logging_0763/karta/A 9825-2023 karta.png", "A 9825-2023")</f>
        <v/>
      </c>
      <c r="V175">
        <f>HYPERLINK("https://klasma.github.io/Logging_0763/klagomål/A 9825-2023 klagomål.docx", "A 9825-2023")</f>
        <v/>
      </c>
      <c r="W175">
        <f>HYPERLINK("https://klasma.github.io/Logging_0763/klagomålsmail/A 9825-2023 klagomålsmail.docx", "A 9825-2023")</f>
        <v/>
      </c>
      <c r="X175">
        <f>HYPERLINK("https://klasma.github.io/Logging_0763/tillsyn/A 9825-2023 tillsyn.docx", "A 9825-2023")</f>
        <v/>
      </c>
      <c r="Y175">
        <f>HYPERLINK("https://klasma.github.io/Logging_0763/tillsynsmail/A 9825-2023 tillsynsmail.docx", "A 9825-2023")</f>
        <v/>
      </c>
    </row>
    <row r="176" ht="15" customHeight="1">
      <c r="A176" t="inlineStr">
        <is>
          <t>A 9911-2023</t>
        </is>
      </c>
      <c r="B176" s="1" t="n">
        <v>44985</v>
      </c>
      <c r="C176" s="1" t="n">
        <v>45212</v>
      </c>
      <c r="D176" t="inlineStr">
        <is>
          <t>KRONOBERGS LÄN</t>
        </is>
      </c>
      <c r="E176" t="inlineStr">
        <is>
          <t>LJUNGBY</t>
        </is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Spindelblomster</t>
        </is>
      </c>
      <c r="S176">
        <f>HYPERLINK("https://klasma.github.io/Logging_0781/artfynd/A 9911-2023 artfynd.xlsx", "A 9911-2023")</f>
        <v/>
      </c>
      <c r="T176">
        <f>HYPERLINK("https://klasma.github.io/Logging_0781/karta/A 9911-2023 karta.png", "A 9911-2023")</f>
        <v/>
      </c>
      <c r="V176">
        <f>HYPERLINK("https://klasma.github.io/Logging_0781/klagomål/A 9911-2023 klagomål.docx", "A 9911-2023")</f>
        <v/>
      </c>
      <c r="W176">
        <f>HYPERLINK("https://klasma.github.io/Logging_0781/klagomålsmail/A 9911-2023 klagomålsmail.docx", "A 9911-2023")</f>
        <v/>
      </c>
      <c r="X176">
        <f>HYPERLINK("https://klasma.github.io/Logging_0781/tillsyn/A 9911-2023 tillsyn.docx", "A 9911-2023")</f>
        <v/>
      </c>
      <c r="Y176">
        <f>HYPERLINK("https://klasma.github.io/Logging_0781/tillsynsmail/A 9911-2023 tillsynsmail.docx", "A 9911-2023")</f>
        <v/>
      </c>
    </row>
    <row r="177" ht="15" customHeight="1">
      <c r="A177" t="inlineStr">
        <is>
          <t>A 12184-2023</t>
        </is>
      </c>
      <c r="B177" s="1" t="n">
        <v>44998</v>
      </c>
      <c r="C177" s="1" t="n">
        <v>45212</v>
      </c>
      <c r="D177" t="inlineStr">
        <is>
          <t>KRONOBERGS LÄN</t>
        </is>
      </c>
      <c r="E177" t="inlineStr">
        <is>
          <t>UPPVIDINGE</t>
        </is>
      </c>
      <c r="G177" t="n">
        <v>0.6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Fjällig taggsvamp s.str.</t>
        </is>
      </c>
      <c r="S177">
        <f>HYPERLINK("https://klasma.github.io/Logging_0760/artfynd/A 12184-2023 artfynd.xlsx", "A 12184-2023")</f>
        <v/>
      </c>
      <c r="T177">
        <f>HYPERLINK("https://klasma.github.io/Logging_0760/karta/A 12184-2023 karta.png", "A 12184-2023")</f>
        <v/>
      </c>
      <c r="V177">
        <f>HYPERLINK("https://klasma.github.io/Logging_0760/klagomål/A 12184-2023 klagomål.docx", "A 12184-2023")</f>
        <v/>
      </c>
      <c r="W177">
        <f>HYPERLINK("https://klasma.github.io/Logging_0760/klagomålsmail/A 12184-2023 klagomålsmail.docx", "A 12184-2023")</f>
        <v/>
      </c>
      <c r="X177">
        <f>HYPERLINK("https://klasma.github.io/Logging_0760/tillsyn/A 12184-2023 tillsyn.docx", "A 12184-2023")</f>
        <v/>
      </c>
      <c r="Y177">
        <f>HYPERLINK("https://klasma.github.io/Logging_0760/tillsynsmail/A 12184-2023 tillsynsmail.docx", "A 12184-2023")</f>
        <v/>
      </c>
    </row>
    <row r="178" ht="15" customHeight="1">
      <c r="A178" t="inlineStr">
        <is>
          <t>A 13460-2023</t>
        </is>
      </c>
      <c r="B178" s="1" t="n">
        <v>45005</v>
      </c>
      <c r="C178" s="1" t="n">
        <v>45212</v>
      </c>
      <c r="D178" t="inlineStr">
        <is>
          <t>KRONOBERGS LÄN</t>
        </is>
      </c>
      <c r="E178" t="inlineStr">
        <is>
          <t>LJUNGBY</t>
        </is>
      </c>
      <c r="G178" t="n">
        <v>5.1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Spillkråka</t>
        </is>
      </c>
      <c r="S178">
        <f>HYPERLINK("https://klasma.github.io/Logging_0781/artfynd/A 13460-2023 artfynd.xlsx", "A 13460-2023")</f>
        <v/>
      </c>
      <c r="T178">
        <f>HYPERLINK("https://klasma.github.io/Logging_0781/karta/A 13460-2023 karta.png", "A 13460-2023")</f>
        <v/>
      </c>
      <c r="V178">
        <f>HYPERLINK("https://klasma.github.io/Logging_0781/klagomål/A 13460-2023 klagomål.docx", "A 13460-2023")</f>
        <v/>
      </c>
      <c r="W178">
        <f>HYPERLINK("https://klasma.github.io/Logging_0781/klagomålsmail/A 13460-2023 klagomålsmail.docx", "A 13460-2023")</f>
        <v/>
      </c>
      <c r="X178">
        <f>HYPERLINK("https://klasma.github.io/Logging_0781/tillsyn/A 13460-2023 tillsyn.docx", "A 13460-2023")</f>
        <v/>
      </c>
      <c r="Y178">
        <f>HYPERLINK("https://klasma.github.io/Logging_0781/tillsynsmail/A 13460-2023 tillsynsmail.docx", "A 13460-2023")</f>
        <v/>
      </c>
    </row>
    <row r="179" ht="15" customHeight="1">
      <c r="A179" t="inlineStr">
        <is>
          <t>A 18430-2023</t>
        </is>
      </c>
      <c r="B179" s="1" t="n">
        <v>45042</v>
      </c>
      <c r="C179" s="1" t="n">
        <v>45212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HYPERLINK("https://klasma.github.io/Logging_0781/artfynd/A 18430-2023 artfynd.xlsx", "A 18430-2023")</f>
        <v/>
      </c>
      <c r="T179">
        <f>HYPERLINK("https://klasma.github.io/Logging_0781/karta/A 18430-2023 karta.png", "A 18430-2023")</f>
        <v/>
      </c>
      <c r="U179">
        <f>HYPERLINK("https://klasma.github.io/Logging_0781/knärot/A 18430-2023 knärot.png", "A 18430-2023")</f>
        <v/>
      </c>
      <c r="V179">
        <f>HYPERLINK("https://klasma.github.io/Logging_0781/klagomål/A 18430-2023 klagomål.docx", "A 18430-2023")</f>
        <v/>
      </c>
      <c r="W179">
        <f>HYPERLINK("https://klasma.github.io/Logging_0781/klagomålsmail/A 18430-2023 klagomålsmail.docx", "A 18430-2023")</f>
        <v/>
      </c>
      <c r="X179">
        <f>HYPERLINK("https://klasma.github.io/Logging_0781/tillsyn/A 18430-2023 tillsyn.docx", "A 18430-2023")</f>
        <v/>
      </c>
      <c r="Y179">
        <f>HYPERLINK("https://klasma.github.io/Logging_0781/tillsynsmail/A 18430-2023 tillsynsmail.docx", "A 18430-2023")</f>
        <v/>
      </c>
    </row>
    <row r="180" ht="15" customHeight="1">
      <c r="A180" t="inlineStr">
        <is>
          <t>A 25295-2023</t>
        </is>
      </c>
      <c r="B180" s="1" t="n">
        <v>45086</v>
      </c>
      <c r="C180" s="1" t="n">
        <v>45212</v>
      </c>
      <c r="D180" t="inlineStr">
        <is>
          <t>KRONOBERGS LÄN</t>
        </is>
      </c>
      <c r="E180" t="inlineStr">
        <is>
          <t>LJUNGBY</t>
        </is>
      </c>
      <c r="G180" t="n">
        <v>1.3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HYPERLINK("https://klasma.github.io/Logging_0781/artfynd/A 25295-2023 artfynd.xlsx", "A 25295-2023")</f>
        <v/>
      </c>
      <c r="T180">
        <f>HYPERLINK("https://klasma.github.io/Logging_0781/karta/A 25295-2023 karta.png", "A 25295-2023")</f>
        <v/>
      </c>
      <c r="V180">
        <f>HYPERLINK("https://klasma.github.io/Logging_0781/klagomål/A 25295-2023 klagomål.docx", "A 25295-2023")</f>
        <v/>
      </c>
      <c r="W180">
        <f>HYPERLINK("https://klasma.github.io/Logging_0781/klagomålsmail/A 25295-2023 klagomålsmail.docx", "A 25295-2023")</f>
        <v/>
      </c>
      <c r="X180">
        <f>HYPERLINK("https://klasma.github.io/Logging_0781/tillsyn/A 25295-2023 tillsyn.docx", "A 25295-2023")</f>
        <v/>
      </c>
      <c r="Y180">
        <f>HYPERLINK("https://klasma.github.io/Logging_0781/tillsynsmail/A 25295-2023 tillsynsmail.docx", "A 25295-2023")</f>
        <v/>
      </c>
    </row>
    <row r="181" ht="15" customHeight="1">
      <c r="A181" t="inlineStr">
        <is>
          <t>A 31667-2023</t>
        </is>
      </c>
      <c r="B181" s="1" t="n">
        <v>45098</v>
      </c>
      <c r="C181" s="1" t="n">
        <v>45212</v>
      </c>
      <c r="D181" t="inlineStr">
        <is>
          <t>KRONOBERGS LÄN</t>
        </is>
      </c>
      <c r="E181" t="inlineStr">
        <is>
          <t>VÄXJÖ</t>
        </is>
      </c>
      <c r="G181" t="n">
        <v>1.5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Hårklomossa</t>
        </is>
      </c>
      <c r="S181">
        <f>HYPERLINK("https://klasma.github.io/Logging_0780/artfynd/A 31667-2023 artfynd.xlsx", "A 31667-2023")</f>
        <v/>
      </c>
      <c r="T181">
        <f>HYPERLINK("https://klasma.github.io/Logging_0780/karta/A 31667-2023 karta.png", "A 31667-2023")</f>
        <v/>
      </c>
      <c r="V181">
        <f>HYPERLINK("https://klasma.github.io/Logging_0780/klagomål/A 31667-2023 klagomål.docx", "A 31667-2023")</f>
        <v/>
      </c>
      <c r="W181">
        <f>HYPERLINK("https://klasma.github.io/Logging_0780/klagomålsmail/A 31667-2023 klagomålsmail.docx", "A 31667-2023")</f>
        <v/>
      </c>
      <c r="X181">
        <f>HYPERLINK("https://klasma.github.io/Logging_0780/tillsyn/A 31667-2023 tillsyn.docx", "A 31667-2023")</f>
        <v/>
      </c>
      <c r="Y181">
        <f>HYPERLINK("https://klasma.github.io/Logging_0780/tillsynsmail/A 31667-2023 tillsynsmail.docx", "A 31667-2023")</f>
        <v/>
      </c>
    </row>
    <row r="182" ht="15" customHeight="1">
      <c r="A182" t="inlineStr">
        <is>
          <t>A 29270-2023</t>
        </is>
      </c>
      <c r="B182" s="1" t="n">
        <v>45105</v>
      </c>
      <c r="C182" s="1" t="n">
        <v>45212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3.5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Bronshjon</t>
        </is>
      </c>
      <c r="S182">
        <f>HYPERLINK("https://klasma.github.io/Logging_0781/artfynd/A 29270-2023 artfynd.xlsx", "A 29270-2023")</f>
        <v/>
      </c>
      <c r="T182">
        <f>HYPERLINK("https://klasma.github.io/Logging_0781/karta/A 29270-2023 karta.png", "A 29270-2023")</f>
        <v/>
      </c>
      <c r="V182">
        <f>HYPERLINK("https://klasma.github.io/Logging_0781/klagomål/A 29270-2023 klagomål.docx", "A 29270-2023")</f>
        <v/>
      </c>
      <c r="W182">
        <f>HYPERLINK("https://klasma.github.io/Logging_0781/klagomålsmail/A 29270-2023 klagomålsmail.docx", "A 29270-2023")</f>
        <v/>
      </c>
      <c r="X182">
        <f>HYPERLINK("https://klasma.github.io/Logging_0781/tillsyn/A 29270-2023 tillsyn.docx", "A 29270-2023")</f>
        <v/>
      </c>
      <c r="Y182">
        <f>HYPERLINK("https://klasma.github.io/Logging_0781/tillsynsmail/A 29270-2023 tillsynsmail.docx", "A 29270-2023")</f>
        <v/>
      </c>
    </row>
    <row r="183" ht="15" customHeight="1">
      <c r="A183" t="inlineStr">
        <is>
          <t>A 31848-2023</t>
        </is>
      </c>
      <c r="B183" s="1" t="n">
        <v>45106</v>
      </c>
      <c r="C183" s="1" t="n">
        <v>45212</v>
      </c>
      <c r="D183" t="inlineStr">
        <is>
          <t>KRONOBERGS LÄN</t>
        </is>
      </c>
      <c r="E183" t="inlineStr">
        <is>
          <t>ALVESTA</t>
        </is>
      </c>
      <c r="G183" t="n">
        <v>3.3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Springkorn</t>
        </is>
      </c>
      <c r="S183">
        <f>HYPERLINK("https://klasma.github.io/Logging_0764/artfynd/A 31848-2023 artfynd.xlsx", "A 31848-2023")</f>
        <v/>
      </c>
      <c r="T183">
        <f>HYPERLINK("https://klasma.github.io/Logging_0764/karta/A 31848-2023 karta.png", "A 31848-2023")</f>
        <v/>
      </c>
      <c r="V183">
        <f>HYPERLINK("https://klasma.github.io/Logging_0764/klagomål/A 31848-2023 klagomål.docx", "A 31848-2023")</f>
        <v/>
      </c>
      <c r="W183">
        <f>HYPERLINK("https://klasma.github.io/Logging_0764/klagomålsmail/A 31848-2023 klagomålsmail.docx", "A 31848-2023")</f>
        <v/>
      </c>
      <c r="X183">
        <f>HYPERLINK("https://klasma.github.io/Logging_0764/tillsyn/A 31848-2023 tillsyn.docx", "A 31848-2023")</f>
        <v/>
      </c>
      <c r="Y183">
        <f>HYPERLINK("https://klasma.github.io/Logging_0764/tillsynsmail/A 31848-2023 tillsynsmail.docx", "A 31848-2023")</f>
        <v/>
      </c>
    </row>
    <row r="184" ht="15" customHeight="1">
      <c r="A184" t="inlineStr">
        <is>
          <t>A 30359-2023</t>
        </is>
      </c>
      <c r="B184" s="1" t="n">
        <v>45111</v>
      </c>
      <c r="C184" s="1" t="n">
        <v>45212</v>
      </c>
      <c r="D184" t="inlineStr">
        <is>
          <t>KRONOBERGS LÄN</t>
        </is>
      </c>
      <c r="E184" t="inlineStr">
        <is>
          <t>LJUNGBY</t>
        </is>
      </c>
      <c r="G184" t="n">
        <v>2.1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Brunpudrad nållav</t>
        </is>
      </c>
      <c r="S184">
        <f>HYPERLINK("https://klasma.github.io/Logging_0781/artfynd/A 30359-2023 artfynd.xlsx", "A 30359-2023")</f>
        <v/>
      </c>
      <c r="T184">
        <f>HYPERLINK("https://klasma.github.io/Logging_0781/karta/A 30359-2023 karta.png", "A 30359-2023")</f>
        <v/>
      </c>
      <c r="V184">
        <f>HYPERLINK("https://klasma.github.io/Logging_0781/klagomål/A 30359-2023 klagomål.docx", "A 30359-2023")</f>
        <v/>
      </c>
      <c r="W184">
        <f>HYPERLINK("https://klasma.github.io/Logging_0781/klagomålsmail/A 30359-2023 klagomålsmail.docx", "A 30359-2023")</f>
        <v/>
      </c>
      <c r="X184">
        <f>HYPERLINK("https://klasma.github.io/Logging_0781/tillsyn/A 30359-2023 tillsyn.docx", "A 30359-2023")</f>
        <v/>
      </c>
      <c r="Y184">
        <f>HYPERLINK("https://klasma.github.io/Logging_0781/tillsynsmail/A 30359-2023 tillsynsmail.docx", "A 30359-2023")</f>
        <v/>
      </c>
    </row>
    <row r="185" ht="15" customHeight="1">
      <c r="A185" t="inlineStr">
        <is>
          <t>A 37950-2023</t>
        </is>
      </c>
      <c r="B185" s="1" t="n">
        <v>45160</v>
      </c>
      <c r="C185" s="1" t="n">
        <v>45212</v>
      </c>
      <c r="D185" t="inlineStr">
        <is>
          <t>KRONOBERGS LÄN</t>
        </is>
      </c>
      <c r="E185" t="inlineStr">
        <is>
          <t>ALVESTA</t>
        </is>
      </c>
      <c r="G185" t="n">
        <v>4.8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Brandticka</t>
        </is>
      </c>
      <c r="S185">
        <f>HYPERLINK("https://klasma.github.io/Logging_0764/artfynd/A 37950-2023 artfynd.xlsx", "A 37950-2023")</f>
        <v/>
      </c>
      <c r="T185">
        <f>HYPERLINK("https://klasma.github.io/Logging_0764/karta/A 37950-2023 karta.png", "A 37950-2023")</f>
        <v/>
      </c>
      <c r="V185">
        <f>HYPERLINK("https://klasma.github.io/Logging_0764/klagomål/A 37950-2023 klagomål.docx", "A 37950-2023")</f>
        <v/>
      </c>
      <c r="W185">
        <f>HYPERLINK("https://klasma.github.io/Logging_0764/klagomålsmail/A 37950-2023 klagomålsmail.docx", "A 37950-2023")</f>
        <v/>
      </c>
      <c r="X185">
        <f>HYPERLINK("https://klasma.github.io/Logging_0764/tillsyn/A 37950-2023 tillsyn.docx", "A 37950-2023")</f>
        <v/>
      </c>
      <c r="Y185">
        <f>HYPERLINK("https://klasma.github.io/Logging_0764/tillsynsmail/A 37950-2023 tillsynsmail.docx", "A 37950-2023")</f>
        <v/>
      </c>
    </row>
    <row r="186" ht="15" customHeight="1">
      <c r="A186" t="inlineStr">
        <is>
          <t>A 49557-2023</t>
        </is>
      </c>
      <c r="B186" s="1" t="n">
        <v>45211</v>
      </c>
      <c r="C186" s="1" t="n">
        <v>45212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Spindelblomster</t>
        </is>
      </c>
      <c r="S186">
        <f>HYPERLINK("https://klasma.github.io/Logging_0781/artfynd/A 49557-2023 artfynd.xlsx", "A 49557-2023")</f>
        <v/>
      </c>
      <c r="T186">
        <f>HYPERLINK("https://klasma.github.io/Logging_0781/karta/A 49557-2023 karta.png", "A 49557-2023")</f>
        <v/>
      </c>
      <c r="V186">
        <f>HYPERLINK("https://klasma.github.io/Logging_0781/klagomål/A 49557-2023 klagomål.docx", "A 49557-2023")</f>
        <v/>
      </c>
      <c r="W186">
        <f>HYPERLINK("https://klasma.github.io/Logging_0781/klagomålsmail/A 49557-2023 klagomålsmail.docx", "A 49557-2023")</f>
        <v/>
      </c>
      <c r="X186">
        <f>HYPERLINK("https://klasma.github.io/Logging_0781/tillsyn/A 49557-2023 tillsyn.docx", "A 49557-2023")</f>
        <v/>
      </c>
      <c r="Y186">
        <f>HYPERLINK("https://klasma.github.io/Logging_0781/tillsynsmail/A 49557-2023 tillsynsmail.docx", "A 49557-2023")</f>
        <v/>
      </c>
    </row>
    <row r="187" ht="15" customHeight="1">
      <c r="A187" t="inlineStr">
        <is>
          <t>A 33996-2018</t>
        </is>
      </c>
      <c r="B187" s="1" t="n">
        <v>43314</v>
      </c>
      <c r="C187" s="1" t="n">
        <v>45212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34147-2018</t>
        </is>
      </c>
      <c r="B188" s="1" t="n">
        <v>43317</v>
      </c>
      <c r="C188" s="1" t="n">
        <v>45212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34211-2018</t>
        </is>
      </c>
      <c r="B189" s="1" t="n">
        <v>43318</v>
      </c>
      <c r="C189" s="1" t="n">
        <v>45212</v>
      </c>
      <c r="D189" t="inlineStr">
        <is>
          <t>KRONOBERGS LÄN</t>
        </is>
      </c>
      <c r="E189" t="inlineStr">
        <is>
          <t>ÄLMHULT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34303-2018</t>
        </is>
      </c>
      <c r="B190" s="1" t="n">
        <v>43318</v>
      </c>
      <c r="C190" s="1" t="n">
        <v>45212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34644-2018</t>
        </is>
      </c>
      <c r="B191" s="1" t="n">
        <v>43320</v>
      </c>
      <c r="C191" s="1" t="n">
        <v>45212</v>
      </c>
      <c r="D191" t="inlineStr">
        <is>
          <t>KRONOBERGS LÄN</t>
        </is>
      </c>
      <c r="E191" t="inlineStr">
        <is>
          <t>TINGSRYD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34622-2018</t>
        </is>
      </c>
      <c r="B192" s="1" t="n">
        <v>43320</v>
      </c>
      <c r="C192" s="1" t="n">
        <v>45212</v>
      </c>
      <c r="D192" t="inlineStr">
        <is>
          <t>KRONOBERGS LÄN</t>
        </is>
      </c>
      <c r="E192" t="inlineStr">
        <is>
          <t>TINGSRYD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34841-2018</t>
        </is>
      </c>
      <c r="B193" s="1" t="n">
        <v>43321</v>
      </c>
      <c r="C193" s="1" t="n">
        <v>45212</v>
      </c>
      <c r="D193" t="inlineStr">
        <is>
          <t>KRONOBERGS LÄN</t>
        </is>
      </c>
      <c r="E193" t="inlineStr">
        <is>
          <t>LJUNGBY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35095-2018</t>
        </is>
      </c>
      <c r="B194" s="1" t="n">
        <v>43322</v>
      </c>
      <c r="C194" s="1" t="n">
        <v>45212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35572-2018</t>
        </is>
      </c>
      <c r="B195" s="1" t="n">
        <v>43325</v>
      </c>
      <c r="C195" s="1" t="n">
        <v>45212</v>
      </c>
      <c r="D195" t="inlineStr">
        <is>
          <t>KRONOBERGS LÄN</t>
        </is>
      </c>
      <c r="E195" t="inlineStr">
        <is>
          <t>ÄLMHULT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35766-2018</t>
        </is>
      </c>
      <c r="B196" s="1" t="n">
        <v>43326</v>
      </c>
      <c r="C196" s="1" t="n">
        <v>45212</v>
      </c>
      <c r="D196" t="inlineStr">
        <is>
          <t>KRONOBERGS LÄN</t>
        </is>
      </c>
      <c r="E196" t="inlineStr">
        <is>
          <t>UPPVIDINGE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35788-2018</t>
        </is>
      </c>
      <c r="B197" s="1" t="n">
        <v>43326</v>
      </c>
      <c r="C197" s="1" t="n">
        <v>45212</v>
      </c>
      <c r="D197" t="inlineStr">
        <is>
          <t>KRONOBERGS LÄN</t>
        </is>
      </c>
      <c r="E197" t="inlineStr">
        <is>
          <t>VÄXJÖ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35807-2018</t>
        </is>
      </c>
      <c r="B198" s="1" t="n">
        <v>43326</v>
      </c>
      <c r="C198" s="1" t="n">
        <v>45212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35813-2018</t>
        </is>
      </c>
      <c r="B199" s="1" t="n">
        <v>43326</v>
      </c>
      <c r="C199" s="1" t="n">
        <v>45212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35731-2018</t>
        </is>
      </c>
      <c r="B200" s="1" t="n">
        <v>43326</v>
      </c>
      <c r="C200" s="1" t="n">
        <v>45212</v>
      </c>
      <c r="D200" t="inlineStr">
        <is>
          <t>KRONOBERGS LÄN</t>
        </is>
      </c>
      <c r="E200" t="inlineStr">
        <is>
          <t>UPPVIDINGE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35804-2018</t>
        </is>
      </c>
      <c r="B201" s="1" t="n">
        <v>43326</v>
      </c>
      <c r="C201" s="1" t="n">
        <v>45212</v>
      </c>
      <c r="D201" t="inlineStr">
        <is>
          <t>KRONOBERGS LÄN</t>
        </is>
      </c>
      <c r="E201" t="inlineStr">
        <is>
          <t>TINGSRYD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35985-2018</t>
        </is>
      </c>
      <c r="B202" s="1" t="n">
        <v>43326</v>
      </c>
      <c r="C202" s="1" t="n">
        <v>45212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36063-2018</t>
        </is>
      </c>
      <c r="B203" s="1" t="n">
        <v>43326</v>
      </c>
      <c r="C203" s="1" t="n">
        <v>45212</v>
      </c>
      <c r="D203" t="inlineStr">
        <is>
          <t>KRONOBERGS LÄN</t>
        </is>
      </c>
      <c r="E203" t="inlineStr">
        <is>
          <t>UPPVIDINGE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36195-2018</t>
        </is>
      </c>
      <c r="B204" s="1" t="n">
        <v>43327</v>
      </c>
      <c r="C204" s="1" t="n">
        <v>45212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35942-2018</t>
        </is>
      </c>
      <c r="B205" s="1" t="n">
        <v>43327</v>
      </c>
      <c r="C205" s="1" t="n">
        <v>45212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36084-2018</t>
        </is>
      </c>
      <c r="B206" s="1" t="n">
        <v>43327</v>
      </c>
      <c r="C206" s="1" t="n">
        <v>45212</v>
      </c>
      <c r="D206" t="inlineStr">
        <is>
          <t>KRONOBERGS LÄN</t>
        </is>
      </c>
      <c r="E206" t="inlineStr">
        <is>
          <t>UPPVIDINGE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36205-2018</t>
        </is>
      </c>
      <c r="B207" s="1" t="n">
        <v>43328</v>
      </c>
      <c r="C207" s="1" t="n">
        <v>45212</v>
      </c>
      <c r="D207" t="inlineStr">
        <is>
          <t>KRONOBERGS LÄN</t>
        </is>
      </c>
      <c r="E207" t="inlineStr">
        <is>
          <t>UPPVIDINGE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36742-2018</t>
        </is>
      </c>
      <c r="B208" s="1" t="n">
        <v>43329</v>
      </c>
      <c r="C208" s="1" t="n">
        <v>45212</v>
      </c>
      <c r="D208" t="inlineStr">
        <is>
          <t>KRONOBERGS LÄN</t>
        </is>
      </c>
      <c r="E208" t="inlineStr">
        <is>
          <t>LJUNGBY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36756-2018</t>
        </is>
      </c>
      <c r="B209" s="1" t="n">
        <v>43329</v>
      </c>
      <c r="C209" s="1" t="n">
        <v>45212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36558-2018</t>
        </is>
      </c>
      <c r="B210" s="1" t="n">
        <v>43329</v>
      </c>
      <c r="C210" s="1" t="n">
        <v>45212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36657-2018</t>
        </is>
      </c>
      <c r="B211" s="1" t="n">
        <v>43331</v>
      </c>
      <c r="C211" s="1" t="n">
        <v>45212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36658-2018</t>
        </is>
      </c>
      <c r="B212" s="1" t="n">
        <v>43331</v>
      </c>
      <c r="C212" s="1" t="n">
        <v>45212</v>
      </c>
      <c r="D212" t="inlineStr">
        <is>
          <t>KRONOBERGS LÄN</t>
        </is>
      </c>
      <c r="E212" t="inlineStr">
        <is>
          <t>VÄXJÖ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36656-2018</t>
        </is>
      </c>
      <c r="B213" s="1" t="n">
        <v>43331</v>
      </c>
      <c r="C213" s="1" t="n">
        <v>45212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36857-2018</t>
        </is>
      </c>
      <c r="B214" s="1" t="n">
        <v>43332</v>
      </c>
      <c r="C214" s="1" t="n">
        <v>45212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36874-2018</t>
        </is>
      </c>
      <c r="B215" s="1" t="n">
        <v>43332</v>
      </c>
      <c r="C215" s="1" t="n">
        <v>45212</v>
      </c>
      <c r="D215" t="inlineStr">
        <is>
          <t>KRONOBERGS LÄN</t>
        </is>
      </c>
      <c r="E215" t="inlineStr">
        <is>
          <t>MARKARYD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36883-2018</t>
        </is>
      </c>
      <c r="B216" s="1" t="n">
        <v>43332</v>
      </c>
      <c r="C216" s="1" t="n">
        <v>45212</v>
      </c>
      <c r="D216" t="inlineStr">
        <is>
          <t>KRONOBERGS LÄN</t>
        </is>
      </c>
      <c r="E216" t="inlineStr">
        <is>
          <t>MARKARYD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36862-2018</t>
        </is>
      </c>
      <c r="B217" s="1" t="n">
        <v>43332</v>
      </c>
      <c r="C217" s="1" t="n">
        <v>45212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36839-2018</t>
        </is>
      </c>
      <c r="B218" s="1" t="n">
        <v>43332</v>
      </c>
      <c r="C218" s="1" t="n">
        <v>45212</v>
      </c>
      <c r="D218" t="inlineStr">
        <is>
          <t>KRONOBERGS LÄN</t>
        </is>
      </c>
      <c r="E218" t="inlineStr">
        <is>
          <t>ALVESTA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37297-2018</t>
        </is>
      </c>
      <c r="B219" s="1" t="n">
        <v>43333</v>
      </c>
      <c r="C219" s="1" t="n">
        <v>45212</v>
      </c>
      <c r="D219" t="inlineStr">
        <is>
          <t>KRONOBERGS LÄN</t>
        </is>
      </c>
      <c r="E219" t="inlineStr">
        <is>
          <t>LJUNGBY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37456-2018</t>
        </is>
      </c>
      <c r="B220" s="1" t="n">
        <v>43334</v>
      </c>
      <c r="C220" s="1" t="n">
        <v>45212</v>
      </c>
      <c r="D220" t="inlineStr">
        <is>
          <t>KRONOBERGS LÄN</t>
        </is>
      </c>
      <c r="E220" t="inlineStr">
        <is>
          <t>TINGSRYD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38727-2018</t>
        </is>
      </c>
      <c r="B221" s="1" t="n">
        <v>43335</v>
      </c>
      <c r="C221" s="1" t="n">
        <v>45212</v>
      </c>
      <c r="D221" t="inlineStr">
        <is>
          <t>KRONOBERGS LÄN</t>
        </is>
      </c>
      <c r="E221" t="inlineStr">
        <is>
          <t>MARKARYD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37646-2018</t>
        </is>
      </c>
      <c r="B222" s="1" t="n">
        <v>43335</v>
      </c>
      <c r="C222" s="1" t="n">
        <v>45212</v>
      </c>
      <c r="D222" t="inlineStr">
        <is>
          <t>KRONOBERGS LÄN</t>
        </is>
      </c>
      <c r="E222" t="inlineStr">
        <is>
          <t>ALVESTA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38607-2018</t>
        </is>
      </c>
      <c r="B223" s="1" t="n">
        <v>43335</v>
      </c>
      <c r="C223" s="1" t="n">
        <v>45212</v>
      </c>
      <c r="D223" t="inlineStr">
        <is>
          <t>KRONOBERGS LÄN</t>
        </is>
      </c>
      <c r="E223" t="inlineStr">
        <is>
          <t>ÄLMHULT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38023-2018</t>
        </is>
      </c>
      <c r="B224" s="1" t="n">
        <v>43336</v>
      </c>
      <c r="C224" s="1" t="n">
        <v>45212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38110-2018</t>
        </is>
      </c>
      <c r="B225" s="1" t="n">
        <v>43336</v>
      </c>
      <c r="C225" s="1" t="n">
        <v>45212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38033-2018</t>
        </is>
      </c>
      <c r="B226" s="1" t="n">
        <v>43336</v>
      </c>
      <c r="C226" s="1" t="n">
        <v>45212</v>
      </c>
      <c r="D226" t="inlineStr">
        <is>
          <t>KRONOBERGS LÄN</t>
        </is>
      </c>
      <c r="E226" t="inlineStr">
        <is>
          <t>TINGSRYD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38738-2018</t>
        </is>
      </c>
      <c r="B227" s="1" t="n">
        <v>43336</v>
      </c>
      <c r="C227" s="1" t="n">
        <v>45212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38148-2018</t>
        </is>
      </c>
      <c r="B228" s="1" t="n">
        <v>43336</v>
      </c>
      <c r="C228" s="1" t="n">
        <v>45212</v>
      </c>
      <c r="D228" t="inlineStr">
        <is>
          <t>KRONOBERGS LÄN</t>
        </is>
      </c>
      <c r="E228" t="inlineStr">
        <is>
          <t>VÄXJÖ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38385-2018</t>
        </is>
      </c>
      <c r="B229" s="1" t="n">
        <v>43339</v>
      </c>
      <c r="C229" s="1" t="n">
        <v>45212</v>
      </c>
      <c r="D229" t="inlineStr">
        <is>
          <t>KRONOBERGS LÄN</t>
        </is>
      </c>
      <c r="E229" t="inlineStr">
        <is>
          <t>VÄXJÖ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39170-2018</t>
        </is>
      </c>
      <c r="B230" s="1" t="n">
        <v>43339</v>
      </c>
      <c r="C230" s="1" t="n">
        <v>45212</v>
      </c>
      <c r="D230" t="inlineStr">
        <is>
          <t>KRONOBERGS LÄN</t>
        </is>
      </c>
      <c r="E230" t="inlineStr">
        <is>
          <t>LESSEBO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39201-2018</t>
        </is>
      </c>
      <c r="B231" s="1" t="n">
        <v>43339</v>
      </c>
      <c r="C231" s="1" t="n">
        <v>45212</v>
      </c>
      <c r="D231" t="inlineStr">
        <is>
          <t>KRONOBERGS LÄN</t>
        </is>
      </c>
      <c r="E231" t="inlineStr">
        <is>
          <t>ÄLMHULT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39158-2018</t>
        </is>
      </c>
      <c r="B232" s="1" t="n">
        <v>43339</v>
      </c>
      <c r="C232" s="1" t="n">
        <v>45212</v>
      </c>
      <c r="D232" t="inlineStr">
        <is>
          <t>KRONOBERGS LÄN</t>
        </is>
      </c>
      <c r="E232" t="inlineStr">
        <is>
          <t>ALVESTA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38971-2018</t>
        </is>
      </c>
      <c r="B233" s="1" t="n">
        <v>43340</v>
      </c>
      <c r="C233" s="1" t="n">
        <v>45212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39544-2018</t>
        </is>
      </c>
      <c r="B234" s="1" t="n">
        <v>43340</v>
      </c>
      <c r="C234" s="1" t="n">
        <v>45212</v>
      </c>
      <c r="D234" t="inlineStr">
        <is>
          <t>KRONOBERGS LÄN</t>
        </is>
      </c>
      <c r="E234" t="inlineStr">
        <is>
          <t>VÄXJÖ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39434-2018</t>
        </is>
      </c>
      <c r="B235" s="1" t="n">
        <v>43341</v>
      </c>
      <c r="C235" s="1" t="n">
        <v>45212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39432-2018</t>
        </is>
      </c>
      <c r="B236" s="1" t="n">
        <v>43341</v>
      </c>
      <c r="C236" s="1" t="n">
        <v>45212</v>
      </c>
      <c r="D236" t="inlineStr">
        <is>
          <t>KRONOBERGS LÄN</t>
        </is>
      </c>
      <c r="E236" t="inlineStr">
        <is>
          <t>VÄXJÖ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39678-2018</t>
        </is>
      </c>
      <c r="B237" s="1" t="n">
        <v>43341</v>
      </c>
      <c r="C237" s="1" t="n">
        <v>45212</v>
      </c>
      <c r="D237" t="inlineStr">
        <is>
          <t>KRONOBERGS LÄN</t>
        </is>
      </c>
      <c r="E237" t="inlineStr">
        <is>
          <t>ÄLMHULT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39246-2018</t>
        </is>
      </c>
      <c r="B238" s="1" t="n">
        <v>43341</v>
      </c>
      <c r="C238" s="1" t="n">
        <v>45212</v>
      </c>
      <c r="D238" t="inlineStr">
        <is>
          <t>KRONOBERGS LÄN</t>
        </is>
      </c>
      <c r="E238" t="inlineStr">
        <is>
          <t>TINGSRYD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39343-2018</t>
        </is>
      </c>
      <c r="B239" s="1" t="n">
        <v>43341</v>
      </c>
      <c r="C239" s="1" t="n">
        <v>45212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39801-2018</t>
        </is>
      </c>
      <c r="B240" s="1" t="n">
        <v>43342</v>
      </c>
      <c r="C240" s="1" t="n">
        <v>45212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40064-2018</t>
        </is>
      </c>
      <c r="B241" s="1" t="n">
        <v>43342</v>
      </c>
      <c r="C241" s="1" t="n">
        <v>45212</v>
      </c>
      <c r="D241" t="inlineStr">
        <is>
          <t>KRONOBERGS LÄN</t>
        </is>
      </c>
      <c r="E241" t="inlineStr">
        <is>
          <t>VÄXJÖ</t>
        </is>
      </c>
      <c r="F241" t="inlineStr">
        <is>
          <t>Kyrkan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39942-2018</t>
        </is>
      </c>
      <c r="B242" s="1" t="n">
        <v>43343</v>
      </c>
      <c r="C242" s="1" t="n">
        <v>45212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40738-2018</t>
        </is>
      </c>
      <c r="B243" s="1" t="n">
        <v>43343</v>
      </c>
      <c r="C243" s="1" t="n">
        <v>45212</v>
      </c>
      <c r="D243" t="inlineStr">
        <is>
          <t>KRONOBERGS LÄN</t>
        </is>
      </c>
      <c r="E243" t="inlineStr">
        <is>
          <t>TINGSRYD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40761-2018</t>
        </is>
      </c>
      <c r="B244" s="1" t="n">
        <v>43343</v>
      </c>
      <c r="C244" s="1" t="n">
        <v>45212</v>
      </c>
      <c r="D244" t="inlineStr">
        <is>
          <t>KRONOBERGS LÄN</t>
        </is>
      </c>
      <c r="E244" t="inlineStr">
        <is>
          <t>TINGSRYD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40651-2018</t>
        </is>
      </c>
      <c r="B245" s="1" t="n">
        <v>43343</v>
      </c>
      <c r="C245" s="1" t="n">
        <v>45212</v>
      </c>
      <c r="D245" t="inlineStr">
        <is>
          <t>KRONOBERGS LÄN</t>
        </is>
      </c>
      <c r="E245" t="inlineStr">
        <is>
          <t>LJUNGBY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40756-2018</t>
        </is>
      </c>
      <c r="B246" s="1" t="n">
        <v>43343</v>
      </c>
      <c r="C246" s="1" t="n">
        <v>45212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40816-2018</t>
        </is>
      </c>
      <c r="B247" s="1" t="n">
        <v>43343</v>
      </c>
      <c r="C247" s="1" t="n">
        <v>45212</v>
      </c>
      <c r="D247" t="inlineStr">
        <is>
          <t>KRONOBERGS LÄN</t>
        </is>
      </c>
      <c r="E247" t="inlineStr">
        <is>
          <t>ÄLMHULT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40367-2018</t>
        </is>
      </c>
      <c r="B248" s="1" t="n">
        <v>43343</v>
      </c>
      <c r="C248" s="1" t="n">
        <v>45212</v>
      </c>
      <c r="D248" t="inlineStr">
        <is>
          <t>KRONOBERGS LÄN</t>
        </is>
      </c>
      <c r="E248" t="inlineStr">
        <is>
          <t>UPPVIDINGE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40648-2018</t>
        </is>
      </c>
      <c r="B249" s="1" t="n">
        <v>43343</v>
      </c>
      <c r="C249" s="1" t="n">
        <v>45212</v>
      </c>
      <c r="D249" t="inlineStr">
        <is>
          <t>KRONOBERGS LÄN</t>
        </is>
      </c>
      <c r="E249" t="inlineStr">
        <is>
          <t>ÄLMHULT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40764-2018</t>
        </is>
      </c>
      <c r="B250" s="1" t="n">
        <v>43343</v>
      </c>
      <c r="C250" s="1" t="n">
        <v>45212</v>
      </c>
      <c r="D250" t="inlineStr">
        <is>
          <t>KRONOBERGS LÄN</t>
        </is>
      </c>
      <c r="E250" t="inlineStr">
        <is>
          <t>TINGSRYD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40652-2018</t>
        </is>
      </c>
      <c r="B251" s="1" t="n">
        <v>43343</v>
      </c>
      <c r="C251" s="1" t="n">
        <v>45212</v>
      </c>
      <c r="D251" t="inlineStr">
        <is>
          <t>KRONOBERGS LÄN</t>
        </is>
      </c>
      <c r="E251" t="inlineStr">
        <is>
          <t>LJUNGBY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40757-2018</t>
        </is>
      </c>
      <c r="B252" s="1" t="n">
        <v>43343</v>
      </c>
      <c r="C252" s="1" t="n">
        <v>45212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40745-2018</t>
        </is>
      </c>
      <c r="B253" s="1" t="n">
        <v>43346</v>
      </c>
      <c r="C253" s="1" t="n">
        <v>45212</v>
      </c>
      <c r="D253" t="inlineStr">
        <is>
          <t>KRONOBERGS LÄN</t>
        </is>
      </c>
      <c r="E253" t="inlineStr">
        <is>
          <t>UPPVIDINGE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41459-2018</t>
        </is>
      </c>
      <c r="B254" s="1" t="n">
        <v>43346</v>
      </c>
      <c r="C254" s="1" t="n">
        <v>45212</v>
      </c>
      <c r="D254" t="inlineStr">
        <is>
          <t>KRONOBERGS LÄN</t>
        </is>
      </c>
      <c r="E254" t="inlineStr">
        <is>
          <t>TINGSRYD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41372-2018</t>
        </is>
      </c>
      <c r="B255" s="1" t="n">
        <v>43346</v>
      </c>
      <c r="C255" s="1" t="n">
        <v>45212</v>
      </c>
      <c r="D255" t="inlineStr">
        <is>
          <t>KRONOBERGS LÄN</t>
        </is>
      </c>
      <c r="E255" t="inlineStr">
        <is>
          <t>TINGSRYD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40896-2018</t>
        </is>
      </c>
      <c r="B256" s="1" t="n">
        <v>43347</v>
      </c>
      <c r="C256" s="1" t="n">
        <v>45212</v>
      </c>
      <c r="D256" t="inlineStr">
        <is>
          <t>KRONOBERGS LÄN</t>
        </is>
      </c>
      <c r="E256" t="inlineStr">
        <is>
          <t>ALVESTA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41783-2018</t>
        </is>
      </c>
      <c r="B257" s="1" t="n">
        <v>43348</v>
      </c>
      <c r="C257" s="1" t="n">
        <v>45212</v>
      </c>
      <c r="D257" t="inlineStr">
        <is>
          <t>KRONOBERGS LÄN</t>
        </is>
      </c>
      <c r="E257" t="inlineStr">
        <is>
          <t>LJUNGBY</t>
        </is>
      </c>
      <c r="F257" t="inlineStr">
        <is>
          <t>Kommuner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41116-2018</t>
        </is>
      </c>
      <c r="B258" s="1" t="n">
        <v>43348</v>
      </c>
      <c r="C258" s="1" t="n">
        <v>45212</v>
      </c>
      <c r="D258" t="inlineStr">
        <is>
          <t>KRONOBERGS LÄN</t>
        </is>
      </c>
      <c r="E258" t="inlineStr">
        <is>
          <t>TINGSRYD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42358-2018</t>
        </is>
      </c>
      <c r="B259" s="1" t="n">
        <v>43349</v>
      </c>
      <c r="C259" s="1" t="n">
        <v>45212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42151-2018</t>
        </is>
      </c>
      <c r="B260" s="1" t="n">
        <v>43349</v>
      </c>
      <c r="C260" s="1" t="n">
        <v>45212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41687-2018</t>
        </is>
      </c>
      <c r="B261" s="1" t="n">
        <v>43350</v>
      </c>
      <c r="C261" s="1" t="n">
        <v>45212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42552-2018</t>
        </is>
      </c>
      <c r="B262" s="1" t="n">
        <v>43350</v>
      </c>
      <c r="C262" s="1" t="n">
        <v>45212</v>
      </c>
      <c r="D262" t="inlineStr">
        <is>
          <t>KRONOBERGS LÄN</t>
        </is>
      </c>
      <c r="E262" t="inlineStr">
        <is>
          <t>TINGSRYD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41748-2018</t>
        </is>
      </c>
      <c r="B263" s="1" t="n">
        <v>43350</v>
      </c>
      <c r="C263" s="1" t="n">
        <v>45212</v>
      </c>
      <c r="D263" t="inlineStr">
        <is>
          <t>KRONOBERGS LÄN</t>
        </is>
      </c>
      <c r="E263" t="inlineStr">
        <is>
          <t>ALVESTA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42196-2018</t>
        </is>
      </c>
      <c r="B264" s="1" t="n">
        <v>43353</v>
      </c>
      <c r="C264" s="1" t="n">
        <v>45212</v>
      </c>
      <c r="D264" t="inlineStr">
        <is>
          <t>KRONOBERGS LÄN</t>
        </is>
      </c>
      <c r="E264" t="inlineStr">
        <is>
          <t>TINGSRYD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42476-2018</t>
        </is>
      </c>
      <c r="B265" s="1" t="n">
        <v>43353</v>
      </c>
      <c r="C265" s="1" t="n">
        <v>45212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42575-2018</t>
        </is>
      </c>
      <c r="B266" s="1" t="n">
        <v>43354</v>
      </c>
      <c r="C266" s="1" t="n">
        <v>45212</v>
      </c>
      <c r="D266" t="inlineStr">
        <is>
          <t>KRONOBERGS LÄN</t>
        </is>
      </c>
      <c r="E266" t="inlineStr">
        <is>
          <t>VÄXJÖ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42663-2018</t>
        </is>
      </c>
      <c r="B267" s="1" t="n">
        <v>43354</v>
      </c>
      <c r="C267" s="1" t="n">
        <v>45212</v>
      </c>
      <c r="D267" t="inlineStr">
        <is>
          <t>KRONOBERGS LÄN</t>
        </is>
      </c>
      <c r="E267" t="inlineStr">
        <is>
          <t>VÄXJÖ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43620-2018</t>
        </is>
      </c>
      <c r="B268" s="1" t="n">
        <v>43354</v>
      </c>
      <c r="C268" s="1" t="n">
        <v>45212</v>
      </c>
      <c r="D268" t="inlineStr">
        <is>
          <t>KRONOBERGS LÄN</t>
        </is>
      </c>
      <c r="E268" t="inlineStr">
        <is>
          <t>LJUNGBY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44128-2018</t>
        </is>
      </c>
      <c r="B269" s="1" t="n">
        <v>43355</v>
      </c>
      <c r="C269" s="1" t="n">
        <v>45212</v>
      </c>
      <c r="D269" t="inlineStr">
        <is>
          <t>KRONOBERGS LÄN</t>
        </is>
      </c>
      <c r="E269" t="inlineStr">
        <is>
          <t>ALVESTA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44661-2018</t>
        </is>
      </c>
      <c r="B270" s="1" t="n">
        <v>43356</v>
      </c>
      <c r="C270" s="1" t="n">
        <v>45212</v>
      </c>
      <c r="D270" t="inlineStr">
        <is>
          <t>KRONOBERGS LÄN</t>
        </is>
      </c>
      <c r="E270" t="inlineStr">
        <is>
          <t>TINGSRYD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44641-2018</t>
        </is>
      </c>
      <c r="B271" s="1" t="n">
        <v>43356</v>
      </c>
      <c r="C271" s="1" t="n">
        <v>45212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43566-2018</t>
        </is>
      </c>
      <c r="B272" s="1" t="n">
        <v>43356</v>
      </c>
      <c r="C272" s="1" t="n">
        <v>45212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44872-2018</t>
        </is>
      </c>
      <c r="B273" s="1" t="n">
        <v>43357</v>
      </c>
      <c r="C273" s="1" t="n">
        <v>45212</v>
      </c>
      <c r="D273" t="inlineStr">
        <is>
          <t>KRONOBERGS LÄN</t>
        </is>
      </c>
      <c r="E273" t="inlineStr">
        <is>
          <t>ÄLMHULT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43861-2018</t>
        </is>
      </c>
      <c r="B274" s="1" t="n">
        <v>43357</v>
      </c>
      <c r="C274" s="1" t="n">
        <v>45212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44878-2018</t>
        </is>
      </c>
      <c r="B275" s="1" t="n">
        <v>43359</v>
      </c>
      <c r="C275" s="1" t="n">
        <v>45212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44298-2018</t>
        </is>
      </c>
      <c r="B276" s="1" t="n">
        <v>43360</v>
      </c>
      <c r="C276" s="1" t="n">
        <v>45212</v>
      </c>
      <c r="D276" t="inlineStr">
        <is>
          <t>KRONOBERGS LÄN</t>
        </is>
      </c>
      <c r="E276" t="inlineStr">
        <is>
          <t>VÄXJÖ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45105-2018</t>
        </is>
      </c>
      <c r="B277" s="1" t="n">
        <v>43360</v>
      </c>
      <c r="C277" s="1" t="n">
        <v>45212</v>
      </c>
      <c r="D277" t="inlineStr">
        <is>
          <t>KRONOBERGS LÄN</t>
        </is>
      </c>
      <c r="E277" t="inlineStr">
        <is>
          <t>LJUNGBY</t>
        </is>
      </c>
      <c r="F277" t="inlineStr">
        <is>
          <t>Kyrkan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44928-2018</t>
        </is>
      </c>
      <c r="B278" s="1" t="n">
        <v>43360</v>
      </c>
      <c r="C278" s="1" t="n">
        <v>45212</v>
      </c>
      <c r="D278" t="inlineStr">
        <is>
          <t>KRONOBERGS LÄN</t>
        </is>
      </c>
      <c r="E278" t="inlineStr">
        <is>
          <t>TINGSRYD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44243-2018</t>
        </is>
      </c>
      <c r="B279" s="1" t="n">
        <v>43360</v>
      </c>
      <c r="C279" s="1" t="n">
        <v>45212</v>
      </c>
      <c r="D279" t="inlineStr">
        <is>
          <t>KRONOBERGS LÄN</t>
        </is>
      </c>
      <c r="E279" t="inlineStr">
        <is>
          <t>VÄXJÖ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45241-2018</t>
        </is>
      </c>
      <c r="B280" s="1" t="n">
        <v>43361</v>
      </c>
      <c r="C280" s="1" t="n">
        <v>45212</v>
      </c>
      <c r="D280" t="inlineStr">
        <is>
          <t>KRONOBERGS LÄN</t>
        </is>
      </c>
      <c r="E280" t="inlineStr">
        <is>
          <t>TINGSRYD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44660-2018</t>
        </is>
      </c>
      <c r="B281" s="1" t="n">
        <v>43361</v>
      </c>
      <c r="C281" s="1" t="n">
        <v>45212</v>
      </c>
      <c r="D281" t="inlineStr">
        <is>
          <t>KRONOBERGS LÄN</t>
        </is>
      </c>
      <c r="E281" t="inlineStr">
        <is>
          <t>VÄXJÖ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45276-2018</t>
        </is>
      </c>
      <c r="B282" s="1" t="n">
        <v>43361</v>
      </c>
      <c r="C282" s="1" t="n">
        <v>45212</v>
      </c>
      <c r="D282" t="inlineStr">
        <is>
          <t>KRONOBERGS LÄN</t>
        </is>
      </c>
      <c r="E282" t="inlineStr">
        <is>
          <t>ÄLMHULT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44954-2018</t>
        </is>
      </c>
      <c r="B283" s="1" t="n">
        <v>43362</v>
      </c>
      <c r="C283" s="1" t="n">
        <v>45212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45185-2018</t>
        </is>
      </c>
      <c r="B284" s="1" t="n">
        <v>43362</v>
      </c>
      <c r="C284" s="1" t="n">
        <v>45212</v>
      </c>
      <c r="D284" t="inlineStr">
        <is>
          <t>KRONOBERGS LÄN</t>
        </is>
      </c>
      <c r="E284" t="inlineStr">
        <is>
          <t>LJUNGBY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44952-2018</t>
        </is>
      </c>
      <c r="B285" s="1" t="n">
        <v>43362</v>
      </c>
      <c r="C285" s="1" t="n">
        <v>45212</v>
      </c>
      <c r="D285" t="inlineStr">
        <is>
          <t>KRONOBERGS LÄN</t>
        </is>
      </c>
      <c r="E285" t="inlineStr">
        <is>
          <t>LJUNGBY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44913-2018</t>
        </is>
      </c>
      <c r="B286" s="1" t="n">
        <v>43362</v>
      </c>
      <c r="C286" s="1" t="n">
        <v>45212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44941-2018</t>
        </is>
      </c>
      <c r="B287" s="1" t="n">
        <v>43362</v>
      </c>
      <c r="C287" s="1" t="n">
        <v>45212</v>
      </c>
      <c r="D287" t="inlineStr">
        <is>
          <t>KRONOBERGS LÄN</t>
        </is>
      </c>
      <c r="E287" t="inlineStr">
        <is>
          <t>TINGSRYD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45533-2018</t>
        </is>
      </c>
      <c r="B288" s="1" t="n">
        <v>43362</v>
      </c>
      <c r="C288" s="1" t="n">
        <v>45212</v>
      </c>
      <c r="D288" t="inlineStr">
        <is>
          <t>KRONOBERGS LÄN</t>
        </is>
      </c>
      <c r="E288" t="inlineStr">
        <is>
          <t>UPPVIDINGE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45444-2018</t>
        </is>
      </c>
      <c r="B289" s="1" t="n">
        <v>43363</v>
      </c>
      <c r="C289" s="1" t="n">
        <v>45212</v>
      </c>
      <c r="D289" t="inlineStr">
        <is>
          <t>KRONOBERGS LÄN</t>
        </is>
      </c>
      <c r="E289" t="inlineStr">
        <is>
          <t>VÄXJÖ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46255-2018</t>
        </is>
      </c>
      <c r="B290" s="1" t="n">
        <v>43364</v>
      </c>
      <c r="C290" s="1" t="n">
        <v>45212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46258-2018</t>
        </is>
      </c>
      <c r="B291" s="1" t="n">
        <v>43364</v>
      </c>
      <c r="C291" s="1" t="n">
        <v>45212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46061-2018</t>
        </is>
      </c>
      <c r="B292" s="1" t="n">
        <v>43366</v>
      </c>
      <c r="C292" s="1" t="n">
        <v>45212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47117-2018</t>
        </is>
      </c>
      <c r="B293" s="1" t="n">
        <v>43367</v>
      </c>
      <c r="C293" s="1" t="n">
        <v>45212</v>
      </c>
      <c r="D293" t="inlineStr">
        <is>
          <t>KRONOBERGS LÄN</t>
        </is>
      </c>
      <c r="E293" t="inlineStr">
        <is>
          <t>VÄXJÖ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46857-2018</t>
        </is>
      </c>
      <c r="B294" s="1" t="n">
        <v>43367</v>
      </c>
      <c r="C294" s="1" t="n">
        <v>45212</v>
      </c>
      <c r="D294" t="inlineStr">
        <is>
          <t>KRONOBERGS LÄN</t>
        </is>
      </c>
      <c r="E294" t="inlineStr">
        <is>
          <t>ALVESTA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46659-2018</t>
        </is>
      </c>
      <c r="B295" s="1" t="n">
        <v>43368</v>
      </c>
      <c r="C295" s="1" t="n">
        <v>45212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47257-2018</t>
        </is>
      </c>
      <c r="B296" s="1" t="n">
        <v>43368</v>
      </c>
      <c r="C296" s="1" t="n">
        <v>45212</v>
      </c>
      <c r="D296" t="inlineStr">
        <is>
          <t>KRONOBERGS LÄN</t>
        </is>
      </c>
      <c r="E296" t="inlineStr">
        <is>
          <t>UPPVIDINGE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47337-2018</t>
        </is>
      </c>
      <c r="B297" s="1" t="n">
        <v>43369</v>
      </c>
      <c r="C297" s="1" t="n">
        <v>45212</v>
      </c>
      <c r="D297" t="inlineStr">
        <is>
          <t>KRONOBERGS LÄN</t>
        </is>
      </c>
      <c r="E297" t="inlineStr">
        <is>
          <t>VÄXJÖ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47645-2018</t>
        </is>
      </c>
      <c r="B298" s="1" t="n">
        <v>43369</v>
      </c>
      <c r="C298" s="1" t="n">
        <v>45212</v>
      </c>
      <c r="D298" t="inlineStr">
        <is>
          <t>KRONOBERGS LÄN</t>
        </is>
      </c>
      <c r="E298" t="inlineStr">
        <is>
          <t>ALVESTA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48030-2018</t>
        </is>
      </c>
      <c r="B299" s="1" t="n">
        <v>43369</v>
      </c>
      <c r="C299" s="1" t="n">
        <v>45212</v>
      </c>
      <c r="D299" t="inlineStr">
        <is>
          <t>KRONOBERGS LÄN</t>
        </is>
      </c>
      <c r="E299" t="inlineStr">
        <is>
          <t>ÄLMHULT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47728-2018</t>
        </is>
      </c>
      <c r="B300" s="1" t="n">
        <v>43369</v>
      </c>
      <c r="C300" s="1" t="n">
        <v>45212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48165-2018</t>
        </is>
      </c>
      <c r="B301" s="1" t="n">
        <v>43370</v>
      </c>
      <c r="C301" s="1" t="n">
        <v>45212</v>
      </c>
      <c r="D301" t="inlineStr">
        <is>
          <t>KRONOBERGS LÄN</t>
        </is>
      </c>
      <c r="E301" t="inlineStr">
        <is>
          <t>MARKARYD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48056-2018</t>
        </is>
      </c>
      <c r="B302" s="1" t="n">
        <v>43371</v>
      </c>
      <c r="C302" s="1" t="n">
        <v>45212</v>
      </c>
      <c r="D302" t="inlineStr">
        <is>
          <t>KRONOBERGS LÄN</t>
        </is>
      </c>
      <c r="E302" t="inlineStr">
        <is>
          <t>TINGSRYD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48538-2018</t>
        </is>
      </c>
      <c r="B303" s="1" t="n">
        <v>43373</v>
      </c>
      <c r="C303" s="1" t="n">
        <v>45212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48546-2018</t>
        </is>
      </c>
      <c r="B304" s="1" t="n">
        <v>43373</v>
      </c>
      <c r="C304" s="1" t="n">
        <v>45212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49263-2018</t>
        </is>
      </c>
      <c r="B305" s="1" t="n">
        <v>43374</v>
      </c>
      <c r="C305" s="1" t="n">
        <v>45212</v>
      </c>
      <c r="D305" t="inlineStr">
        <is>
          <t>KRONOBERGS LÄN</t>
        </is>
      </c>
      <c r="E305" t="inlineStr">
        <is>
          <t>UPPVIDINGE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48663-2018</t>
        </is>
      </c>
      <c r="B306" s="1" t="n">
        <v>43374</v>
      </c>
      <c r="C306" s="1" t="n">
        <v>45212</v>
      </c>
      <c r="D306" t="inlineStr">
        <is>
          <t>KRONOBERGS LÄN</t>
        </is>
      </c>
      <c r="E306" t="inlineStr">
        <is>
          <t>ÄLMHULT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49689-2018</t>
        </is>
      </c>
      <c r="B307" s="1" t="n">
        <v>43375</v>
      </c>
      <c r="C307" s="1" t="n">
        <v>45212</v>
      </c>
      <c r="D307" t="inlineStr">
        <is>
          <t>KRONOBERGS LÄN</t>
        </is>
      </c>
      <c r="E307" t="inlineStr">
        <is>
          <t>LJUNGBY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49883-2018</t>
        </is>
      </c>
      <c r="B308" s="1" t="n">
        <v>43375</v>
      </c>
      <c r="C308" s="1" t="n">
        <v>45212</v>
      </c>
      <c r="D308" t="inlineStr">
        <is>
          <t>KRONOBERGS LÄN</t>
        </is>
      </c>
      <c r="E308" t="inlineStr">
        <is>
          <t>ÄLMHULT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49391-2018</t>
        </is>
      </c>
      <c r="B309" s="1" t="n">
        <v>43376</v>
      </c>
      <c r="C309" s="1" t="n">
        <v>45212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49402-2018</t>
        </is>
      </c>
      <c r="B310" s="1" t="n">
        <v>43376</v>
      </c>
      <c r="C310" s="1" t="n">
        <v>45212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49674-2018</t>
        </is>
      </c>
      <c r="B311" s="1" t="n">
        <v>43377</v>
      </c>
      <c r="C311" s="1" t="n">
        <v>45212</v>
      </c>
      <c r="D311" t="inlineStr">
        <is>
          <t>KRONOBERGS LÄN</t>
        </is>
      </c>
      <c r="E311" t="inlineStr">
        <is>
          <t>UPPVIDINGE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49960-2018</t>
        </is>
      </c>
      <c r="B312" s="1" t="n">
        <v>43377</v>
      </c>
      <c r="C312" s="1" t="n">
        <v>45212</v>
      </c>
      <c r="D312" t="inlineStr">
        <is>
          <t>KRONOBERGS LÄN</t>
        </is>
      </c>
      <c r="E312" t="inlineStr">
        <is>
          <t>LJUNGBY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49678-2018</t>
        </is>
      </c>
      <c r="B313" s="1" t="n">
        <v>43377</v>
      </c>
      <c r="C313" s="1" t="n">
        <v>45212</v>
      </c>
      <c r="D313" t="inlineStr">
        <is>
          <t>KRONOBERGS LÄN</t>
        </is>
      </c>
      <c r="E313" t="inlineStr">
        <is>
          <t>UPPVIDINGE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49962-2018</t>
        </is>
      </c>
      <c r="B314" s="1" t="n">
        <v>43377</v>
      </c>
      <c r="C314" s="1" t="n">
        <v>45212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51027-2018</t>
        </is>
      </c>
      <c r="B315" s="1" t="n">
        <v>43378</v>
      </c>
      <c r="C315" s="1" t="n">
        <v>45212</v>
      </c>
      <c r="D315" t="inlineStr">
        <is>
          <t>KRONOBERGS LÄN</t>
        </is>
      </c>
      <c r="E315" t="inlineStr">
        <is>
          <t>UPPVIDINGE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50961-2018</t>
        </is>
      </c>
      <c r="B316" s="1" t="n">
        <v>43378</v>
      </c>
      <c r="C316" s="1" t="n">
        <v>45212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51009-2018</t>
        </is>
      </c>
      <c r="B317" s="1" t="n">
        <v>43378</v>
      </c>
      <c r="C317" s="1" t="n">
        <v>45212</v>
      </c>
      <c r="D317" t="inlineStr">
        <is>
          <t>KRONOBERGS LÄN</t>
        </is>
      </c>
      <c r="E317" t="inlineStr">
        <is>
          <t>UPPVIDINGE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51160-2018</t>
        </is>
      </c>
      <c r="B318" s="1" t="n">
        <v>43378</v>
      </c>
      <c r="C318" s="1" t="n">
        <v>45212</v>
      </c>
      <c r="D318" t="inlineStr">
        <is>
          <t>KRONOBERGS LÄN</t>
        </is>
      </c>
      <c r="E318" t="inlineStr">
        <is>
          <t>MARKARYD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50658-2018</t>
        </is>
      </c>
      <c r="B319" s="1" t="n">
        <v>43381</v>
      </c>
      <c r="C319" s="1" t="n">
        <v>45212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51241-2018</t>
        </is>
      </c>
      <c r="B320" s="1" t="n">
        <v>43382</v>
      </c>
      <c r="C320" s="1" t="n">
        <v>45212</v>
      </c>
      <c r="D320" t="inlineStr">
        <is>
          <t>KRONOBERGS LÄN</t>
        </is>
      </c>
      <c r="E320" t="inlineStr">
        <is>
          <t>ALVESTA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51977-2018</t>
        </is>
      </c>
      <c r="B321" s="1" t="n">
        <v>43382</v>
      </c>
      <c r="C321" s="1" t="n">
        <v>45212</v>
      </c>
      <c r="D321" t="inlineStr">
        <is>
          <t>KRONOBERGS LÄN</t>
        </is>
      </c>
      <c r="E321" t="inlineStr">
        <is>
          <t>LJUNGBY</t>
        </is>
      </c>
      <c r="F321" t="inlineStr">
        <is>
          <t>Kommuner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52371-2018</t>
        </is>
      </c>
      <c r="B322" s="1" t="n">
        <v>43383</v>
      </c>
      <c r="C322" s="1" t="n">
        <v>45212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52944-2018</t>
        </is>
      </c>
      <c r="B323" s="1" t="n">
        <v>43384</v>
      </c>
      <c r="C323" s="1" t="n">
        <v>45212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52789-2018</t>
        </is>
      </c>
      <c r="B324" s="1" t="n">
        <v>43384</v>
      </c>
      <c r="C324" s="1" t="n">
        <v>45212</v>
      </c>
      <c r="D324" t="inlineStr">
        <is>
          <t>KRONOBERGS LÄN</t>
        </is>
      </c>
      <c r="E324" t="inlineStr">
        <is>
          <t>VÄXJÖ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51779-2018</t>
        </is>
      </c>
      <c r="B325" s="1" t="n">
        <v>43384</v>
      </c>
      <c r="C325" s="1" t="n">
        <v>45212</v>
      </c>
      <c r="D325" t="inlineStr">
        <is>
          <t>KRONOBERGS LÄN</t>
        </is>
      </c>
      <c r="E325" t="inlineStr">
        <is>
          <t>UPPVIDINGE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52126-2018</t>
        </is>
      </c>
      <c r="B326" s="1" t="n">
        <v>43385</v>
      </c>
      <c r="C326" s="1" t="n">
        <v>45212</v>
      </c>
      <c r="D326" t="inlineStr">
        <is>
          <t>KRONOBERGS LÄN</t>
        </is>
      </c>
      <c r="E326" t="inlineStr">
        <is>
          <t>ÄLMHULT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53731-2018</t>
        </is>
      </c>
      <c r="B327" s="1" t="n">
        <v>43385</v>
      </c>
      <c r="C327" s="1" t="n">
        <v>45212</v>
      </c>
      <c r="D327" t="inlineStr">
        <is>
          <t>KRONOBERGS LÄN</t>
        </is>
      </c>
      <c r="E327" t="inlineStr">
        <is>
          <t>VÄXJÖ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53603-2018</t>
        </is>
      </c>
      <c r="B328" s="1" t="n">
        <v>43385</v>
      </c>
      <c r="C328" s="1" t="n">
        <v>45212</v>
      </c>
      <c r="D328" t="inlineStr">
        <is>
          <t>KRONOBERGS LÄN</t>
        </is>
      </c>
      <c r="E328" t="inlineStr">
        <is>
          <t>LJUNGBY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53527-2018</t>
        </is>
      </c>
      <c r="B329" s="1" t="n">
        <v>43385</v>
      </c>
      <c r="C329" s="1" t="n">
        <v>45212</v>
      </c>
      <c r="D329" t="inlineStr">
        <is>
          <t>KRONOBERGS LÄN</t>
        </is>
      </c>
      <c r="E329" t="inlineStr">
        <is>
          <t>VÄXJÖ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53550-2018</t>
        </is>
      </c>
      <c r="B330" s="1" t="n">
        <v>43385</v>
      </c>
      <c r="C330" s="1" t="n">
        <v>45212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52761-2018</t>
        </is>
      </c>
      <c r="B331" s="1" t="n">
        <v>43389</v>
      </c>
      <c r="C331" s="1" t="n">
        <v>45212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52908-2018</t>
        </is>
      </c>
      <c r="B332" s="1" t="n">
        <v>43389</v>
      </c>
      <c r="C332" s="1" t="n">
        <v>45212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53185-2018</t>
        </is>
      </c>
      <c r="B333" s="1" t="n">
        <v>43390</v>
      </c>
      <c r="C333" s="1" t="n">
        <v>45212</v>
      </c>
      <c r="D333" t="inlineStr">
        <is>
          <t>KRONOBERGS LÄN</t>
        </is>
      </c>
      <c r="E333" t="inlineStr">
        <is>
          <t>VÄXJÖ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53248-2018</t>
        </is>
      </c>
      <c r="B334" s="1" t="n">
        <v>43390</v>
      </c>
      <c r="C334" s="1" t="n">
        <v>45212</v>
      </c>
      <c r="D334" t="inlineStr">
        <is>
          <t>KRONOBERGS LÄN</t>
        </is>
      </c>
      <c r="E334" t="inlineStr">
        <is>
          <t>LJUNGBY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54486-2018</t>
        </is>
      </c>
      <c r="B335" s="1" t="n">
        <v>43390</v>
      </c>
      <c r="C335" s="1" t="n">
        <v>45212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53258-2018</t>
        </is>
      </c>
      <c r="B336" s="1" t="n">
        <v>43390</v>
      </c>
      <c r="C336" s="1" t="n">
        <v>45212</v>
      </c>
      <c r="D336" t="inlineStr">
        <is>
          <t>KRONOBERGS LÄN</t>
        </is>
      </c>
      <c r="E336" t="inlineStr">
        <is>
          <t>VÄXJÖ</t>
        </is>
      </c>
      <c r="F336" t="inlineStr">
        <is>
          <t>Kommuner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54537-2018</t>
        </is>
      </c>
      <c r="B337" s="1" t="n">
        <v>43390</v>
      </c>
      <c r="C337" s="1" t="n">
        <v>45212</v>
      </c>
      <c r="D337" t="inlineStr">
        <is>
          <t>KRONOBERGS LÄN</t>
        </is>
      </c>
      <c r="E337" t="inlineStr">
        <is>
          <t>UPPVIDINGE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53250-2018</t>
        </is>
      </c>
      <c r="B338" s="1" t="n">
        <v>43390</v>
      </c>
      <c r="C338" s="1" t="n">
        <v>45212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53709-2018</t>
        </is>
      </c>
      <c r="B339" s="1" t="n">
        <v>43391</v>
      </c>
      <c r="C339" s="1" t="n">
        <v>45212</v>
      </c>
      <c r="D339" t="inlineStr">
        <is>
          <t>KRONOBERGS LÄN</t>
        </is>
      </c>
      <c r="E339" t="inlineStr">
        <is>
          <t>LJUNGBY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55025-2018</t>
        </is>
      </c>
      <c r="B340" s="1" t="n">
        <v>43391</v>
      </c>
      <c r="C340" s="1" t="n">
        <v>45212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55259-2018</t>
        </is>
      </c>
      <c r="B341" s="1" t="n">
        <v>43391</v>
      </c>
      <c r="C341" s="1" t="n">
        <v>45212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54093-2018</t>
        </is>
      </c>
      <c r="B342" s="1" t="n">
        <v>43392</v>
      </c>
      <c r="C342" s="1" t="n">
        <v>45212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55970-2018</t>
        </is>
      </c>
      <c r="B343" s="1" t="n">
        <v>43392</v>
      </c>
      <c r="C343" s="1" t="n">
        <v>45212</v>
      </c>
      <c r="D343" t="inlineStr">
        <is>
          <t>KRONOBERGS LÄN</t>
        </is>
      </c>
      <c r="E343" t="inlineStr">
        <is>
          <t>UPPVIDINGE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54091-2018</t>
        </is>
      </c>
      <c r="B344" s="1" t="n">
        <v>43392</v>
      </c>
      <c r="C344" s="1" t="n">
        <v>45212</v>
      </c>
      <c r="D344" t="inlineStr">
        <is>
          <t>KRONOBERGS LÄN</t>
        </is>
      </c>
      <c r="E344" t="inlineStr">
        <is>
          <t>VÄXJÖ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55884-2018</t>
        </is>
      </c>
      <c r="B345" s="1" t="n">
        <v>43392</v>
      </c>
      <c r="C345" s="1" t="n">
        <v>45212</v>
      </c>
      <c r="D345" t="inlineStr">
        <is>
          <t>KRONOBERGS LÄN</t>
        </is>
      </c>
      <c r="E345" t="inlineStr">
        <is>
          <t>TINGSRYD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57023-2018</t>
        </is>
      </c>
      <c r="B346" s="1" t="n">
        <v>43395</v>
      </c>
      <c r="C346" s="1" t="n">
        <v>45212</v>
      </c>
      <c r="D346" t="inlineStr">
        <is>
          <t>KRONOBERGS LÄN</t>
        </is>
      </c>
      <c r="E346" t="inlineStr">
        <is>
          <t>VÄXJÖ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56228-2018</t>
        </is>
      </c>
      <c r="B347" s="1" t="n">
        <v>43395</v>
      </c>
      <c r="C347" s="1" t="n">
        <v>45212</v>
      </c>
      <c r="D347" t="inlineStr">
        <is>
          <t>KRONOBERGS LÄN</t>
        </is>
      </c>
      <c r="E347" t="inlineStr">
        <is>
          <t>ALVESTA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55294-2018</t>
        </is>
      </c>
      <c r="B348" s="1" t="n">
        <v>43396</v>
      </c>
      <c r="C348" s="1" t="n">
        <v>45212</v>
      </c>
      <c r="D348" t="inlineStr">
        <is>
          <t>KRONOBERGS LÄN</t>
        </is>
      </c>
      <c r="E348" t="inlineStr">
        <is>
          <t>ÄLMHULT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55338-2018</t>
        </is>
      </c>
      <c r="B349" s="1" t="n">
        <v>43396</v>
      </c>
      <c r="C349" s="1" t="n">
        <v>45212</v>
      </c>
      <c r="D349" t="inlineStr">
        <is>
          <t>KRONOBERGS LÄN</t>
        </is>
      </c>
      <c r="E349" t="inlineStr">
        <is>
          <t>VÄXJÖ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55276-2018</t>
        </is>
      </c>
      <c r="B350" s="1" t="n">
        <v>43396</v>
      </c>
      <c r="C350" s="1" t="n">
        <v>45212</v>
      </c>
      <c r="D350" t="inlineStr">
        <is>
          <t>KRONOBERGS LÄN</t>
        </is>
      </c>
      <c r="E350" t="inlineStr">
        <is>
          <t>UPPVIDINGE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57181-2018</t>
        </is>
      </c>
      <c r="B351" s="1" t="n">
        <v>43396</v>
      </c>
      <c r="C351" s="1" t="n">
        <v>45212</v>
      </c>
      <c r="D351" t="inlineStr">
        <is>
          <t>KRONOBERGS LÄN</t>
        </is>
      </c>
      <c r="E351" t="inlineStr">
        <is>
          <t>LJUNGBY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55371-2018</t>
        </is>
      </c>
      <c r="B352" s="1" t="n">
        <v>43397</v>
      </c>
      <c r="C352" s="1" t="n">
        <v>45212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55370-2018</t>
        </is>
      </c>
      <c r="B353" s="1" t="n">
        <v>43397</v>
      </c>
      <c r="C353" s="1" t="n">
        <v>45212</v>
      </c>
      <c r="D353" t="inlineStr">
        <is>
          <t>KRONOBERGS LÄN</t>
        </is>
      </c>
      <c r="E353" t="inlineStr">
        <is>
          <t>TINGSRYD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57901-2018</t>
        </is>
      </c>
      <c r="B354" s="1" t="n">
        <v>43397</v>
      </c>
      <c r="C354" s="1" t="n">
        <v>45212</v>
      </c>
      <c r="D354" t="inlineStr">
        <is>
          <t>KRONOBERGS LÄN</t>
        </is>
      </c>
      <c r="E354" t="inlineStr">
        <is>
          <t>LJUNGBY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56122-2018</t>
        </is>
      </c>
      <c r="B355" s="1" t="n">
        <v>43398</v>
      </c>
      <c r="C355" s="1" t="n">
        <v>45212</v>
      </c>
      <c r="D355" t="inlineStr">
        <is>
          <t>KRONOBERGS LÄN</t>
        </is>
      </c>
      <c r="E355" t="inlineStr">
        <is>
          <t>LJUNGBY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58419-2018</t>
        </is>
      </c>
      <c r="B356" s="1" t="n">
        <v>43398</v>
      </c>
      <c r="C356" s="1" t="n">
        <v>45212</v>
      </c>
      <c r="D356" t="inlineStr">
        <is>
          <t>KRONOBERGS LÄN</t>
        </is>
      </c>
      <c r="E356" t="inlineStr">
        <is>
          <t>VÄXJÖ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55910-2018</t>
        </is>
      </c>
      <c r="B357" s="1" t="n">
        <v>43398</v>
      </c>
      <c r="C357" s="1" t="n">
        <v>45212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55906-2018</t>
        </is>
      </c>
      <c r="B358" s="1" t="n">
        <v>43398</v>
      </c>
      <c r="C358" s="1" t="n">
        <v>45212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55907-2018</t>
        </is>
      </c>
      <c r="B359" s="1" t="n">
        <v>43398</v>
      </c>
      <c r="C359" s="1" t="n">
        <v>45212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56289-2018</t>
        </is>
      </c>
      <c r="B360" s="1" t="n">
        <v>43399</v>
      </c>
      <c r="C360" s="1" t="n">
        <v>45212</v>
      </c>
      <c r="D360" t="inlineStr">
        <is>
          <t>KRONOBERGS LÄN</t>
        </is>
      </c>
      <c r="E360" t="inlineStr">
        <is>
          <t>ALVESTA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56453-2018</t>
        </is>
      </c>
      <c r="B361" s="1" t="n">
        <v>43399</v>
      </c>
      <c r="C361" s="1" t="n">
        <v>45212</v>
      </c>
      <c r="D361" t="inlineStr">
        <is>
          <t>KRONOBERGS LÄN</t>
        </is>
      </c>
      <c r="E361" t="inlineStr">
        <is>
          <t>ÄLMHULT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58669-2018</t>
        </is>
      </c>
      <c r="B362" s="1" t="n">
        <v>43399</v>
      </c>
      <c r="C362" s="1" t="n">
        <v>45212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58740-2018</t>
        </is>
      </c>
      <c r="B363" s="1" t="n">
        <v>43399</v>
      </c>
      <c r="C363" s="1" t="n">
        <v>45212</v>
      </c>
      <c r="D363" t="inlineStr">
        <is>
          <t>KRONOBERGS LÄN</t>
        </is>
      </c>
      <c r="E363" t="inlineStr">
        <is>
          <t>LJUNGBY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56435-2018</t>
        </is>
      </c>
      <c r="B364" s="1" t="n">
        <v>43399</v>
      </c>
      <c r="C364" s="1" t="n">
        <v>45212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58738-2018</t>
        </is>
      </c>
      <c r="B365" s="1" t="n">
        <v>43399</v>
      </c>
      <c r="C365" s="1" t="n">
        <v>45212</v>
      </c>
      <c r="D365" t="inlineStr">
        <is>
          <t>KRONOBERGS LÄN</t>
        </is>
      </c>
      <c r="E365" t="inlineStr">
        <is>
          <t>LJUNGBY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56564-2018</t>
        </is>
      </c>
      <c r="B366" s="1" t="n">
        <v>43402</v>
      </c>
      <c r="C366" s="1" t="n">
        <v>45212</v>
      </c>
      <c r="D366" t="inlineStr">
        <is>
          <t>KRONOBERGS LÄN</t>
        </is>
      </c>
      <c r="E366" t="inlineStr">
        <is>
          <t>LJUNGBY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58756-2018</t>
        </is>
      </c>
      <c r="B367" s="1" t="n">
        <v>43402</v>
      </c>
      <c r="C367" s="1" t="n">
        <v>45212</v>
      </c>
      <c r="D367" t="inlineStr">
        <is>
          <t>KRONOBERGS LÄN</t>
        </is>
      </c>
      <c r="E367" t="inlineStr">
        <is>
          <t>ALVESTA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56565-2018</t>
        </is>
      </c>
      <c r="B368" s="1" t="n">
        <v>43402</v>
      </c>
      <c r="C368" s="1" t="n">
        <v>45212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56788-2018</t>
        </is>
      </c>
      <c r="B369" s="1" t="n">
        <v>43402</v>
      </c>
      <c r="C369" s="1" t="n">
        <v>45212</v>
      </c>
      <c r="D369" t="inlineStr">
        <is>
          <t>KRONOBERGS LÄN</t>
        </is>
      </c>
      <c r="E369" t="inlineStr">
        <is>
          <t>LJUNGBY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56554-2018</t>
        </is>
      </c>
      <c r="B370" s="1" t="n">
        <v>43402</v>
      </c>
      <c r="C370" s="1" t="n">
        <v>45212</v>
      </c>
      <c r="D370" t="inlineStr">
        <is>
          <t>KRONOBERGS LÄN</t>
        </is>
      </c>
      <c r="E370" t="inlineStr">
        <is>
          <t>LJUNGBY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56553-2018</t>
        </is>
      </c>
      <c r="B371" s="1" t="n">
        <v>43402</v>
      </c>
      <c r="C371" s="1" t="n">
        <v>45212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56566-2018</t>
        </is>
      </c>
      <c r="B372" s="1" t="n">
        <v>43402</v>
      </c>
      <c r="C372" s="1" t="n">
        <v>45212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56644-2018</t>
        </is>
      </c>
      <c r="B373" s="1" t="n">
        <v>43402</v>
      </c>
      <c r="C373" s="1" t="n">
        <v>45212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59071-2018</t>
        </is>
      </c>
      <c r="B374" s="1" t="n">
        <v>43403</v>
      </c>
      <c r="C374" s="1" t="n">
        <v>45212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57092-2018</t>
        </is>
      </c>
      <c r="B375" s="1" t="n">
        <v>43403</v>
      </c>
      <c r="C375" s="1" t="n">
        <v>45212</v>
      </c>
      <c r="D375" t="inlineStr">
        <is>
          <t>KRONOBERGS LÄN</t>
        </is>
      </c>
      <c r="E375" t="inlineStr">
        <is>
          <t>LJUNGBY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59055-2018</t>
        </is>
      </c>
      <c r="B376" s="1" t="n">
        <v>43403</v>
      </c>
      <c r="C376" s="1" t="n">
        <v>45212</v>
      </c>
      <c r="D376" t="inlineStr">
        <is>
          <t>KRONOBERGS LÄN</t>
        </is>
      </c>
      <c r="E376" t="inlineStr">
        <is>
          <t>ALVESTA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59063-2018</t>
        </is>
      </c>
      <c r="B377" s="1" t="n">
        <v>43403</v>
      </c>
      <c r="C377" s="1" t="n">
        <v>45212</v>
      </c>
      <c r="D377" t="inlineStr">
        <is>
          <t>KRONOBERGS LÄN</t>
        </is>
      </c>
      <c r="E377" t="inlineStr">
        <is>
          <t>ALVESTA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59258-2018</t>
        </is>
      </c>
      <c r="B378" s="1" t="n">
        <v>43404</v>
      </c>
      <c r="C378" s="1" t="n">
        <v>45212</v>
      </c>
      <c r="D378" t="inlineStr">
        <is>
          <t>KRONOBERGS LÄN</t>
        </is>
      </c>
      <c r="E378" t="inlineStr">
        <is>
          <t>LJUNGBY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57570-2018</t>
        </is>
      </c>
      <c r="B379" s="1" t="n">
        <v>43404</v>
      </c>
      <c r="C379" s="1" t="n">
        <v>45212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57388-2018</t>
        </is>
      </c>
      <c r="B380" s="1" t="n">
        <v>43404</v>
      </c>
      <c r="C380" s="1" t="n">
        <v>45212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57557-2018</t>
        </is>
      </c>
      <c r="B381" s="1" t="n">
        <v>43404</v>
      </c>
      <c r="C381" s="1" t="n">
        <v>45212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57546-2018</t>
        </is>
      </c>
      <c r="B382" s="1" t="n">
        <v>43404</v>
      </c>
      <c r="C382" s="1" t="n">
        <v>45212</v>
      </c>
      <c r="D382" t="inlineStr">
        <is>
          <t>KRONOBERGS LÄN</t>
        </is>
      </c>
      <c r="E382" t="inlineStr">
        <is>
          <t>TINGSRYD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57802-2018</t>
        </is>
      </c>
      <c r="B383" s="1" t="n">
        <v>43405</v>
      </c>
      <c r="C383" s="1" t="n">
        <v>45212</v>
      </c>
      <c r="D383" t="inlineStr">
        <is>
          <t>KRONOBERGS LÄN</t>
        </is>
      </c>
      <c r="E383" t="inlineStr">
        <is>
          <t>TINGSRYD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58156-2018</t>
        </is>
      </c>
      <c r="B384" s="1" t="n">
        <v>43406</v>
      </c>
      <c r="C384" s="1" t="n">
        <v>45212</v>
      </c>
      <c r="D384" t="inlineStr">
        <is>
          <t>KRONOBERGS LÄN</t>
        </is>
      </c>
      <c r="E384" t="inlineStr">
        <is>
          <t>UPPVIDINGE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60555-2018</t>
        </is>
      </c>
      <c r="B385" s="1" t="n">
        <v>43408</v>
      </c>
      <c r="C385" s="1" t="n">
        <v>45212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60570-2018</t>
        </is>
      </c>
      <c r="B386" s="1" t="n">
        <v>43408</v>
      </c>
      <c r="C386" s="1" t="n">
        <v>45212</v>
      </c>
      <c r="D386" t="inlineStr">
        <is>
          <t>KRONOBERGS LÄN</t>
        </is>
      </c>
      <c r="E386" t="inlineStr">
        <is>
          <t>ALVESTA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60562-2018</t>
        </is>
      </c>
      <c r="B387" s="1" t="n">
        <v>43408</v>
      </c>
      <c r="C387" s="1" t="n">
        <v>45212</v>
      </c>
      <c r="D387" t="inlineStr">
        <is>
          <t>KRONOBERGS LÄN</t>
        </is>
      </c>
      <c r="E387" t="inlineStr">
        <is>
          <t>LJUNGBY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60558-2018</t>
        </is>
      </c>
      <c r="B388" s="1" t="n">
        <v>43408</v>
      </c>
      <c r="C388" s="1" t="n">
        <v>45212</v>
      </c>
      <c r="D388" t="inlineStr">
        <is>
          <t>KRONOBERGS LÄN</t>
        </is>
      </c>
      <c r="E388" t="inlineStr">
        <is>
          <t>LJUNGBY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60566-2018</t>
        </is>
      </c>
      <c r="B389" s="1" t="n">
        <v>43408</v>
      </c>
      <c r="C389" s="1" t="n">
        <v>45212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58453-2018</t>
        </is>
      </c>
      <c r="B390" s="1" t="n">
        <v>43409</v>
      </c>
      <c r="C390" s="1" t="n">
        <v>45212</v>
      </c>
      <c r="D390" t="inlineStr">
        <is>
          <t>KRONOBERGS LÄN</t>
        </is>
      </c>
      <c r="E390" t="inlineStr">
        <is>
          <t>ALVESTA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60713-2018</t>
        </is>
      </c>
      <c r="B391" s="1" t="n">
        <v>43409</v>
      </c>
      <c r="C391" s="1" t="n">
        <v>45212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58319-2018</t>
        </is>
      </c>
      <c r="B392" s="1" t="n">
        <v>43409</v>
      </c>
      <c r="C392" s="1" t="n">
        <v>45212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58469-2018</t>
        </is>
      </c>
      <c r="B393" s="1" t="n">
        <v>43409</v>
      </c>
      <c r="C393" s="1" t="n">
        <v>45212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58233-2018</t>
        </is>
      </c>
      <c r="B394" s="1" t="n">
        <v>43409</v>
      </c>
      <c r="C394" s="1" t="n">
        <v>45212</v>
      </c>
      <c r="D394" t="inlineStr">
        <is>
          <t>KRONOBERGS LÄN</t>
        </is>
      </c>
      <c r="E394" t="inlineStr">
        <is>
          <t>TINGSRYD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58448-2018</t>
        </is>
      </c>
      <c r="B395" s="1" t="n">
        <v>43409</v>
      </c>
      <c r="C395" s="1" t="n">
        <v>45212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58618-2018</t>
        </is>
      </c>
      <c r="B396" s="1" t="n">
        <v>43410</v>
      </c>
      <c r="C396" s="1" t="n">
        <v>45212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58634-2018</t>
        </is>
      </c>
      <c r="B397" s="1" t="n">
        <v>43410</v>
      </c>
      <c r="C397" s="1" t="n">
        <v>45212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58663-2018</t>
        </is>
      </c>
      <c r="B398" s="1" t="n">
        <v>43410</v>
      </c>
      <c r="C398" s="1" t="n">
        <v>45212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58657-2018</t>
        </is>
      </c>
      <c r="B399" s="1" t="n">
        <v>43410</v>
      </c>
      <c r="C399" s="1" t="n">
        <v>45212</v>
      </c>
      <c r="D399" t="inlineStr">
        <is>
          <t>KRONOBERGS LÄN</t>
        </is>
      </c>
      <c r="E399" t="inlineStr">
        <is>
          <t>LJUNGBY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58833-2018</t>
        </is>
      </c>
      <c r="B400" s="1" t="n">
        <v>43410</v>
      </c>
      <c r="C400" s="1" t="n">
        <v>45212</v>
      </c>
      <c r="D400" t="inlineStr">
        <is>
          <t>KRONOBERGS LÄN</t>
        </is>
      </c>
      <c r="E400" t="inlineStr">
        <is>
          <t>TINGSRYD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58887-2018</t>
        </is>
      </c>
      <c r="B401" s="1" t="n">
        <v>43410</v>
      </c>
      <c r="C401" s="1" t="n">
        <v>45212</v>
      </c>
      <c r="D401" t="inlineStr">
        <is>
          <t>KRONOBERGS LÄN</t>
        </is>
      </c>
      <c r="E401" t="inlineStr">
        <is>
          <t>LESSEBO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60785-2018</t>
        </is>
      </c>
      <c r="B402" s="1" t="n">
        <v>43410</v>
      </c>
      <c r="C402" s="1" t="n">
        <v>45212</v>
      </c>
      <c r="D402" t="inlineStr">
        <is>
          <t>KRONOBERGS LÄN</t>
        </is>
      </c>
      <c r="E402" t="inlineStr">
        <is>
          <t>VÄXJÖ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60843-2018</t>
        </is>
      </c>
      <c r="B403" s="1" t="n">
        <v>43410</v>
      </c>
      <c r="C403" s="1" t="n">
        <v>45212</v>
      </c>
      <c r="D403" t="inlineStr">
        <is>
          <t>KRONOBERGS LÄN</t>
        </is>
      </c>
      <c r="E403" t="inlineStr">
        <is>
          <t>MARKARYD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60857-2018</t>
        </is>
      </c>
      <c r="B404" s="1" t="n">
        <v>43410</v>
      </c>
      <c r="C404" s="1" t="n">
        <v>45212</v>
      </c>
      <c r="D404" t="inlineStr">
        <is>
          <t>KRONOBERGS LÄN</t>
        </is>
      </c>
      <c r="E404" t="inlineStr">
        <is>
          <t>VÄXJÖ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64969-2018</t>
        </is>
      </c>
      <c r="B405" s="1" t="n">
        <v>43410</v>
      </c>
      <c r="C405" s="1" t="n">
        <v>45212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58619-2018</t>
        </is>
      </c>
      <c r="B406" s="1" t="n">
        <v>43410</v>
      </c>
      <c r="C406" s="1" t="n">
        <v>45212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58670-2018</t>
        </is>
      </c>
      <c r="B407" s="1" t="n">
        <v>43410</v>
      </c>
      <c r="C407" s="1" t="n">
        <v>45212</v>
      </c>
      <c r="D407" t="inlineStr">
        <is>
          <t>KRONOBERGS LÄN</t>
        </is>
      </c>
      <c r="E407" t="inlineStr">
        <is>
          <t>LJUNGBY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60803-2018</t>
        </is>
      </c>
      <c r="B408" s="1" t="n">
        <v>43410</v>
      </c>
      <c r="C408" s="1" t="n">
        <v>45212</v>
      </c>
      <c r="D408" t="inlineStr">
        <is>
          <t>KRONOBERGS LÄN</t>
        </is>
      </c>
      <c r="E408" t="inlineStr">
        <is>
          <t>LJUNGBY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58633-2018</t>
        </is>
      </c>
      <c r="B409" s="1" t="n">
        <v>43410</v>
      </c>
      <c r="C409" s="1" t="n">
        <v>45212</v>
      </c>
      <c r="D409" t="inlineStr">
        <is>
          <t>KRONOBERGS LÄN</t>
        </is>
      </c>
      <c r="E409" t="inlineStr">
        <is>
          <t>VÄXJÖ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58890-2018</t>
        </is>
      </c>
      <c r="B410" s="1" t="n">
        <v>43410</v>
      </c>
      <c r="C410" s="1" t="n">
        <v>45212</v>
      </c>
      <c r="D410" t="inlineStr">
        <is>
          <t>KRONOBERGS LÄN</t>
        </is>
      </c>
      <c r="E410" t="inlineStr">
        <is>
          <t>LESSEBO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58918-2018</t>
        </is>
      </c>
      <c r="B411" s="1" t="n">
        <v>43410</v>
      </c>
      <c r="C411" s="1" t="n">
        <v>45212</v>
      </c>
      <c r="D411" t="inlineStr">
        <is>
          <t>KRONOBERGS LÄN</t>
        </is>
      </c>
      <c r="E411" t="inlineStr">
        <is>
          <t>MARKARYD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60846-2018</t>
        </is>
      </c>
      <c r="B412" s="1" t="n">
        <v>43410</v>
      </c>
      <c r="C412" s="1" t="n">
        <v>45212</v>
      </c>
      <c r="D412" t="inlineStr">
        <is>
          <t>KRONOBERGS LÄN</t>
        </is>
      </c>
      <c r="E412" t="inlineStr">
        <is>
          <t>LJUNGBY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59137-2018</t>
        </is>
      </c>
      <c r="B413" s="1" t="n">
        <v>43411</v>
      </c>
      <c r="C413" s="1" t="n">
        <v>45212</v>
      </c>
      <c r="D413" t="inlineStr">
        <is>
          <t>KRONOBERGS LÄN</t>
        </is>
      </c>
      <c r="E413" t="inlineStr">
        <is>
          <t>TINGSRYD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59776-2018</t>
        </is>
      </c>
      <c r="B414" s="1" t="n">
        <v>43411</v>
      </c>
      <c r="C414" s="1" t="n">
        <v>45212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59807-2018</t>
        </is>
      </c>
      <c r="B415" s="1" t="n">
        <v>43411</v>
      </c>
      <c r="C415" s="1" t="n">
        <v>45212</v>
      </c>
      <c r="D415" t="inlineStr">
        <is>
          <t>KRONOBERGS LÄN</t>
        </is>
      </c>
      <c r="E415" t="inlineStr">
        <is>
          <t>TINGSRYD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58958-2018</t>
        </is>
      </c>
      <c r="B416" s="1" t="n">
        <v>43411</v>
      </c>
      <c r="C416" s="1" t="n">
        <v>45212</v>
      </c>
      <c r="D416" t="inlineStr">
        <is>
          <t>KRONOBERGS LÄN</t>
        </is>
      </c>
      <c r="E416" t="inlineStr">
        <is>
          <t>LJUNGBY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59725-2018</t>
        </is>
      </c>
      <c r="B417" s="1" t="n">
        <v>43411</v>
      </c>
      <c r="C417" s="1" t="n">
        <v>45212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59767-2018</t>
        </is>
      </c>
      <c r="B418" s="1" t="n">
        <v>43411</v>
      </c>
      <c r="C418" s="1" t="n">
        <v>45212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59804-2018</t>
        </is>
      </c>
      <c r="B419" s="1" t="n">
        <v>43411</v>
      </c>
      <c r="C419" s="1" t="n">
        <v>45212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59093-2018</t>
        </is>
      </c>
      <c r="B420" s="1" t="n">
        <v>43411</v>
      </c>
      <c r="C420" s="1" t="n">
        <v>45212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59142-2018</t>
        </is>
      </c>
      <c r="B421" s="1" t="n">
        <v>43411</v>
      </c>
      <c r="C421" s="1" t="n">
        <v>45212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59739-2018</t>
        </is>
      </c>
      <c r="B422" s="1" t="n">
        <v>43411</v>
      </c>
      <c r="C422" s="1" t="n">
        <v>45212</v>
      </c>
      <c r="D422" t="inlineStr">
        <is>
          <t>KRONOBERGS LÄN</t>
        </is>
      </c>
      <c r="E422" t="inlineStr">
        <is>
          <t>VÄXJÖ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59750-2018</t>
        </is>
      </c>
      <c r="B423" s="1" t="n">
        <v>43411</v>
      </c>
      <c r="C423" s="1" t="n">
        <v>45212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59780-2018</t>
        </is>
      </c>
      <c r="B424" s="1" t="n">
        <v>43411</v>
      </c>
      <c r="C424" s="1" t="n">
        <v>45212</v>
      </c>
      <c r="D424" t="inlineStr">
        <is>
          <t>KRONOBERGS LÄN</t>
        </is>
      </c>
      <c r="E424" t="inlineStr">
        <is>
          <t>LESSEBO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61153-2018</t>
        </is>
      </c>
      <c r="B425" s="1" t="n">
        <v>43411</v>
      </c>
      <c r="C425" s="1" t="n">
        <v>45212</v>
      </c>
      <c r="D425" t="inlineStr">
        <is>
          <t>KRONOBERGS LÄN</t>
        </is>
      </c>
      <c r="E425" t="inlineStr">
        <is>
          <t>ÄLMHULT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60248-2018</t>
        </is>
      </c>
      <c r="B426" s="1" t="n">
        <v>43412</v>
      </c>
      <c r="C426" s="1" t="n">
        <v>45212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60136-2018</t>
        </is>
      </c>
      <c r="B427" s="1" t="n">
        <v>43412</v>
      </c>
      <c r="C427" s="1" t="n">
        <v>45212</v>
      </c>
      <c r="D427" t="inlineStr">
        <is>
          <t>KRONOBERGS LÄN</t>
        </is>
      </c>
      <c r="E427" t="inlineStr">
        <is>
          <t>VÄXJÖ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60240-2018</t>
        </is>
      </c>
      <c r="B428" s="1" t="n">
        <v>43412</v>
      </c>
      <c r="C428" s="1" t="n">
        <v>45212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61360-2018</t>
        </is>
      </c>
      <c r="B429" s="1" t="n">
        <v>43412</v>
      </c>
      <c r="C429" s="1" t="n">
        <v>45212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60140-2018</t>
        </is>
      </c>
      <c r="B430" s="1" t="n">
        <v>43412</v>
      </c>
      <c r="C430" s="1" t="n">
        <v>45212</v>
      </c>
      <c r="D430" t="inlineStr">
        <is>
          <t>KRONOBERGS LÄN</t>
        </is>
      </c>
      <c r="E430" t="inlineStr">
        <is>
          <t>VÄXJÖ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61549-2018</t>
        </is>
      </c>
      <c r="B431" s="1" t="n">
        <v>43413</v>
      </c>
      <c r="C431" s="1" t="n">
        <v>45212</v>
      </c>
      <c r="D431" t="inlineStr">
        <is>
          <t>KRONOBERGS LÄN</t>
        </is>
      </c>
      <c r="E431" t="inlineStr">
        <is>
          <t>VÄXJÖ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62727-2018</t>
        </is>
      </c>
      <c r="B432" s="1" t="n">
        <v>43413</v>
      </c>
      <c r="C432" s="1" t="n">
        <v>45212</v>
      </c>
      <c r="D432" t="inlineStr">
        <is>
          <t>KRONOBERGS LÄN</t>
        </is>
      </c>
      <c r="E432" t="inlineStr">
        <is>
          <t>VÄXJÖ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62757-2018</t>
        </is>
      </c>
      <c r="B433" s="1" t="n">
        <v>43413</v>
      </c>
      <c r="C433" s="1" t="n">
        <v>45212</v>
      </c>
      <c r="D433" t="inlineStr">
        <is>
          <t>KRONOBERGS LÄN</t>
        </is>
      </c>
      <c r="E433" t="inlineStr">
        <is>
          <t>MARKARYD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62759-2018</t>
        </is>
      </c>
      <c r="B434" s="1" t="n">
        <v>43413</v>
      </c>
      <c r="C434" s="1" t="n">
        <v>45212</v>
      </c>
      <c r="D434" t="inlineStr">
        <is>
          <t>KRONOBERGS LÄN</t>
        </is>
      </c>
      <c r="E434" t="inlineStr">
        <is>
          <t>MARKARYD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62668-2018</t>
        </is>
      </c>
      <c r="B435" s="1" t="n">
        <v>43413</v>
      </c>
      <c r="C435" s="1" t="n">
        <v>45212</v>
      </c>
      <c r="D435" t="inlineStr">
        <is>
          <t>KRONOBERGS LÄN</t>
        </is>
      </c>
      <c r="E435" t="inlineStr">
        <is>
          <t>MARKARYD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62491-2018</t>
        </is>
      </c>
      <c r="B436" s="1" t="n">
        <v>43414</v>
      </c>
      <c r="C436" s="1" t="n">
        <v>45212</v>
      </c>
      <c r="D436" t="inlineStr">
        <is>
          <t>KRONOBERGS LÄN</t>
        </is>
      </c>
      <c r="E436" t="inlineStr">
        <is>
          <t>LJUNGBY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62073-2018</t>
        </is>
      </c>
      <c r="B437" s="1" t="n">
        <v>43416</v>
      </c>
      <c r="C437" s="1" t="n">
        <v>45212</v>
      </c>
      <c r="D437" t="inlineStr">
        <is>
          <t>KRONOBERGS LÄN</t>
        </is>
      </c>
      <c r="E437" t="inlineStr">
        <is>
          <t>ALVESTA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62083-2018</t>
        </is>
      </c>
      <c r="B438" s="1" t="n">
        <v>43416</v>
      </c>
      <c r="C438" s="1" t="n">
        <v>45212</v>
      </c>
      <c r="D438" t="inlineStr">
        <is>
          <t>KRONOBERGS LÄN</t>
        </is>
      </c>
      <c r="E438" t="inlineStr">
        <is>
          <t>LESSEBO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63312-2018</t>
        </is>
      </c>
      <c r="B439" s="1" t="n">
        <v>43416</v>
      </c>
      <c r="C439" s="1" t="n">
        <v>45212</v>
      </c>
      <c r="D439" t="inlineStr">
        <is>
          <t>KRONOBERGS LÄN</t>
        </is>
      </c>
      <c r="E439" t="inlineStr">
        <is>
          <t>LESSEBO</t>
        </is>
      </c>
      <c r="F439" t="inlineStr">
        <is>
          <t>Kyrkan</t>
        </is>
      </c>
      <c r="G439" t="n">
        <v>13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62429-2018</t>
        </is>
      </c>
      <c r="B440" s="1" t="n">
        <v>43416</v>
      </c>
      <c r="C440" s="1" t="n">
        <v>45212</v>
      </c>
      <c r="D440" t="inlineStr">
        <is>
          <t>KRONOBERGS LÄN</t>
        </is>
      </c>
      <c r="E440" t="inlineStr">
        <is>
          <t>VÄXJÖ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63479-2018</t>
        </is>
      </c>
      <c r="B441" s="1" t="n">
        <v>43416</v>
      </c>
      <c r="C441" s="1" t="n">
        <v>45212</v>
      </c>
      <c r="D441" t="inlineStr">
        <is>
          <t>KRONOBERGS LÄN</t>
        </is>
      </c>
      <c r="E441" t="inlineStr">
        <is>
          <t>LJUNGBY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62081-2018</t>
        </is>
      </c>
      <c r="B442" s="1" t="n">
        <v>43416</v>
      </c>
      <c r="C442" s="1" t="n">
        <v>45212</v>
      </c>
      <c r="D442" t="inlineStr">
        <is>
          <t>KRONOBERGS LÄN</t>
        </is>
      </c>
      <c r="E442" t="inlineStr">
        <is>
          <t>LESSEBO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62343-2018</t>
        </is>
      </c>
      <c r="B443" s="1" t="n">
        <v>43416</v>
      </c>
      <c r="C443" s="1" t="n">
        <v>45212</v>
      </c>
      <c r="D443" t="inlineStr">
        <is>
          <t>KRONOBERGS LÄN</t>
        </is>
      </c>
      <c r="E443" t="inlineStr">
        <is>
          <t>TINGSRYD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62388-2018</t>
        </is>
      </c>
      <c r="B444" s="1" t="n">
        <v>43416</v>
      </c>
      <c r="C444" s="1" t="n">
        <v>45212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63309-2018</t>
        </is>
      </c>
      <c r="B445" s="1" t="n">
        <v>43416</v>
      </c>
      <c r="C445" s="1" t="n">
        <v>45212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63540-2018</t>
        </is>
      </c>
      <c r="B446" s="1" t="n">
        <v>43416</v>
      </c>
      <c r="C446" s="1" t="n">
        <v>45212</v>
      </c>
      <c r="D446" t="inlineStr">
        <is>
          <t>KRONOBERGS LÄN</t>
        </is>
      </c>
      <c r="E446" t="inlineStr">
        <is>
          <t>ALVESTA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63306-2018</t>
        </is>
      </c>
      <c r="B447" s="1" t="n">
        <v>43416</v>
      </c>
      <c r="C447" s="1" t="n">
        <v>45212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62790-2018</t>
        </is>
      </c>
      <c r="B448" s="1" t="n">
        <v>43417</v>
      </c>
      <c r="C448" s="1" t="n">
        <v>45212</v>
      </c>
      <c r="D448" t="inlineStr">
        <is>
          <t>KRONOBERGS LÄN</t>
        </is>
      </c>
      <c r="E448" t="inlineStr">
        <is>
          <t>LESSEBO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62786-2018</t>
        </is>
      </c>
      <c r="B449" s="1" t="n">
        <v>43417</v>
      </c>
      <c r="C449" s="1" t="n">
        <v>45212</v>
      </c>
      <c r="D449" t="inlineStr">
        <is>
          <t>KRONOBERGS LÄN</t>
        </is>
      </c>
      <c r="E449" t="inlineStr">
        <is>
          <t>LESSEBO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61762-2018</t>
        </is>
      </c>
      <c r="B450" s="1" t="n">
        <v>43417</v>
      </c>
      <c r="C450" s="1" t="n">
        <v>45212</v>
      </c>
      <c r="D450" t="inlineStr">
        <is>
          <t>KRONOBERGS LÄN</t>
        </is>
      </c>
      <c r="E450" t="inlineStr">
        <is>
          <t>VÄXJÖ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61958-2018</t>
        </is>
      </c>
      <c r="B451" s="1" t="n">
        <v>43417</v>
      </c>
      <c r="C451" s="1" t="n">
        <v>45212</v>
      </c>
      <c r="D451" t="inlineStr">
        <is>
          <t>KRONOBERGS LÄN</t>
        </is>
      </c>
      <c r="E451" t="inlineStr">
        <is>
          <t>TINGSRYD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59336-2018</t>
        </is>
      </c>
      <c r="B452" s="1" t="n">
        <v>43418</v>
      </c>
      <c r="C452" s="1" t="n">
        <v>45212</v>
      </c>
      <c r="D452" t="inlineStr">
        <is>
          <t>KRONOBERGS LÄN</t>
        </is>
      </c>
      <c r="E452" t="inlineStr">
        <is>
          <t>ALVESTA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59353-2018</t>
        </is>
      </c>
      <c r="B453" s="1" t="n">
        <v>43418</v>
      </c>
      <c r="C453" s="1" t="n">
        <v>45212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59356-2018</t>
        </is>
      </c>
      <c r="B454" s="1" t="n">
        <v>43418</v>
      </c>
      <c r="C454" s="1" t="n">
        <v>45212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59385-2018</t>
        </is>
      </c>
      <c r="B455" s="1" t="n">
        <v>43418</v>
      </c>
      <c r="C455" s="1" t="n">
        <v>45212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63028-2018</t>
        </is>
      </c>
      <c r="B456" s="1" t="n">
        <v>43418</v>
      </c>
      <c r="C456" s="1" t="n">
        <v>45212</v>
      </c>
      <c r="D456" t="inlineStr">
        <is>
          <t>KRONOBERGS LÄN</t>
        </is>
      </c>
      <c r="E456" t="inlineStr">
        <is>
          <t>MARKARYD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63058-2018</t>
        </is>
      </c>
      <c r="B457" s="1" t="n">
        <v>43418</v>
      </c>
      <c r="C457" s="1" t="n">
        <v>45212</v>
      </c>
      <c r="D457" t="inlineStr">
        <is>
          <t>KRONOBERGS LÄN</t>
        </is>
      </c>
      <c r="E457" t="inlineStr">
        <is>
          <t>MARKARYD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63114-2018</t>
        </is>
      </c>
      <c r="B458" s="1" t="n">
        <v>43418</v>
      </c>
      <c r="C458" s="1" t="n">
        <v>45212</v>
      </c>
      <c r="D458" t="inlineStr">
        <is>
          <t>KRONOBERGS LÄN</t>
        </is>
      </c>
      <c r="E458" t="inlineStr">
        <is>
          <t>VÄXJÖ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63115-2018</t>
        </is>
      </c>
      <c r="B459" s="1" t="n">
        <v>43418</v>
      </c>
      <c r="C459" s="1" t="n">
        <v>45212</v>
      </c>
      <c r="D459" t="inlineStr">
        <is>
          <t>KRONOBERGS LÄN</t>
        </is>
      </c>
      <c r="E459" t="inlineStr">
        <is>
          <t>VÄXJÖ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63127-2018</t>
        </is>
      </c>
      <c r="B460" s="1" t="n">
        <v>43418</v>
      </c>
      <c r="C460" s="1" t="n">
        <v>45212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63184-2018</t>
        </is>
      </c>
      <c r="B461" s="1" t="n">
        <v>43418</v>
      </c>
      <c r="C461" s="1" t="n">
        <v>45212</v>
      </c>
      <c r="D461" t="inlineStr">
        <is>
          <t>KRONOBERGS LÄN</t>
        </is>
      </c>
      <c r="E461" t="inlineStr">
        <is>
          <t>TINGSRYD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59590-2018</t>
        </is>
      </c>
      <c r="B462" s="1" t="n">
        <v>43419</v>
      </c>
      <c r="C462" s="1" t="n">
        <v>45212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59867-2018</t>
        </is>
      </c>
      <c r="B463" s="1" t="n">
        <v>43419</v>
      </c>
      <c r="C463" s="1" t="n">
        <v>45212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45212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45212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45212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45212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45212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45212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45212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45212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45212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45212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45212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45212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45212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45212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45212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45212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45212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45212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45212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45212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45212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45212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45212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45212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45212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45212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45212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45212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45212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45212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45212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45212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45212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45212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45212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45212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45212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45212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45212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45212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45212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45212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45212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45212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45212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45212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45212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45212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45212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45212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45212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45212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45212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45212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45212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45212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45212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45212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45212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45212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45212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45212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45212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45212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45212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45212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45212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45212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45212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45212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45212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45212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45212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45212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45212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45212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45212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45212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45212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45212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45212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45212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45212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45212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45212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45212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45212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45212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45212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45212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45212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45212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45212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45212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45212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45212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45212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45212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45212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45212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45212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45212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45212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45212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45212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45212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45212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45212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45212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45212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45212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45212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45212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45212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45212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45212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45212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45212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45212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45212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45212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45212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45212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45212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45212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45212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45212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45212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45212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45212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45212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45212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45212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45212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45212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45212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45212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45212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45212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45212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45212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45212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45212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45212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45212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45212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45212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45212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45212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45212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45212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45212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45212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45212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45212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45212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45212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45212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45212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45212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45212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45212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45212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45212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45212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45212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45212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45212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45212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45212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45212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knärot.png", "A 70293-2018")</f>
        <v/>
      </c>
      <c r="V646">
        <f>HYPERLINK("https://klasma.github.io/Logging_0760/klagomål/A 70293-2018 klagomål.docx", "A 70293-2018")</f>
        <v/>
      </c>
      <c r="W646">
        <f>HYPERLINK("https://klasma.github.io/Logging_0760/klagomålsmail/A 70293-2018 klagomålsmail.docx", "A 70293-2018")</f>
        <v/>
      </c>
      <c r="X646">
        <f>HYPERLINK("https://klasma.github.io/Logging_0760/tillsyn/A 70293-2018 tillsyn.docx", "A 70293-2018")</f>
        <v/>
      </c>
      <c r="Y646">
        <f>HYPERLINK("https://klasma.github.io/Logging_0760/tillsynsmail/A 70293-2018 tillsynsmail.docx",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45212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45212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45212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45212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45212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45212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45212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45212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45212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45212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45212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45212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45212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45212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45212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45212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45212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45212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45212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45212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45212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45212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45212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45212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45212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45212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45212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45212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45212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45212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45212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45212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45212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45212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45212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45212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45212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45212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45212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45212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45212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45212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45212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45212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45212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45212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45212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45212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45212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45212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45212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45212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45212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45212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45212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45212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45212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45212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45212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45212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45212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45212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45212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45212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45212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45212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45212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45212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45212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45212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45212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45212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45212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45212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45212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45212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45212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45212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45212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45212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45212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45212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45212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45212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45212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45212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45212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45212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45212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45212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45212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45212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45212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45212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45212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45212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45212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45212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45212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45212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45212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45212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45212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45212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45212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45212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45212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45212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45212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45212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45212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45212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45212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45212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45212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45212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45212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45212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45212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45212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45212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45212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45212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45212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45212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45212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45212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45212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45212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45212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45212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45212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45212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45212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45212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45212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45212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45212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45212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45212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45212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45212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45212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45212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45212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45212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45212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45212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45212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45212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45212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45212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45212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45212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45212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45212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45212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45212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45212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45212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45212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45212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45212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45212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45212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45212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45212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45212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45212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45212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45212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45212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45212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45212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45212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45212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45212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45212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45212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45212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45212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45212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45212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45212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45212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45212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45212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45212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45212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45212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45212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45212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45212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45212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45212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45212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45212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45212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45212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45212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45212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45212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45212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45212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45212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45212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45212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45212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45212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45212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45212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45212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45212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45212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45212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45212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45212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45212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45212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45212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45212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45212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45212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45212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45212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45212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45212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45212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45212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45212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45212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45212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45212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45212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45212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45212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45212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45212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45212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45212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45212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45212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45212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45212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45212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45212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45212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45212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45212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45212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45212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45212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45212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45212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45212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45212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45212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45212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45212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45212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45212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45212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45212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45212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45212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45212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45212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45212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45212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45212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45212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45212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45212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45212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45212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45212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45212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45212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45212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45212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45212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45212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45212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45212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45212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45212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45212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45212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45212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45212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45212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45212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45212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45212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45212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45212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45212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45212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45212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45212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45212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45212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45212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45212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45212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45212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45212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45212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45212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45212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45212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45212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45212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45212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45212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45212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45212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45212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45212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45212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45212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45212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45212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45212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45212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45212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45212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45212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45212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45212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45212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45212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45212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45212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45212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45212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45212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45212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45212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45212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45212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45212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45212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45212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45212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45212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45212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45212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45212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45212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45212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45212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45212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45212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45212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45212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45212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45212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45212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45212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45212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45212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45212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45212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45212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45212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45212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45212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45212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45212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45212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45212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45212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45212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45212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45212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45212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45212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45212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45212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45212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45212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45212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45212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45212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45212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45212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45212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45212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45212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45212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45212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45212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45212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45212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45212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45212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45212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45212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45212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45212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45212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45212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45212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45212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45212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45212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45212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45212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45212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45212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45212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45212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45212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45212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45212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45212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45212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45212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45212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45212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45212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45212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45212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45212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45212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45212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45212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45212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45212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45212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45212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45212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45212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45212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45212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45212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45212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45212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45212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45212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45212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45212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45212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45212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45212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45212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45212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45212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45212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45212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45212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45212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45212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45212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45212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45212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45212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45212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45212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45212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45212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45212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45212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45212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45212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45212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45212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45212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45212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45212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45212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45212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45212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45212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45212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45212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45212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45212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45212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45212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45212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45212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45212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45212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45212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45212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45212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45212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45212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45212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45212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45212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45212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45212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45212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45212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45212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45212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45212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45212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45212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45212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45212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45212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45212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45212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45212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45212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45212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45212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45212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45212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45212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45212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45212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45212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45212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45212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45212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45212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45212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45212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45212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45212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45212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45212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45212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45212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45212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45212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45212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45212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45212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45212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45212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45212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45212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45212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45212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45212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45212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45212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45212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45212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45212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45212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45212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45212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45212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45212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45212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45212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45212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45212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45212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45212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45212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45212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45212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45212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45212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45212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45212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45212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45212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45212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45212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45212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45212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45212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45212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45212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45212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45212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45212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45212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45212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45212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45212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45212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45212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45212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45212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45212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45212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45212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45212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45212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45212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45212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45212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45212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45212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45212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45212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45212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45212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45212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45212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45212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45212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45212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45212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45212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45212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45212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45212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45212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45212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45212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45212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45212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45212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45212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45212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45212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45212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45212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45212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45212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45212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45212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45212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45212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45212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45212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45212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45212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45212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45212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45212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45212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45212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45212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45212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45212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45212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45212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45212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45212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45212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45212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45212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45212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45212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45212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45212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45212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45212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45212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45212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45212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45212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45212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45212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45212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45212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45212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45212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45212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45212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45212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45212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45212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45212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45212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45212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45212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45212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45212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45212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45212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45212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45212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45212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45212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45212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45212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45212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45212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45212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45212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45212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45212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45212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45212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45212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45212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45212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45212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45212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45212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45212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45212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45212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45212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45212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45212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45212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45212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45212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45212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45212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45212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45212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45212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45212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45212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45212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45212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45212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45212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45212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45212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45212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45212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45212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45212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45212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45212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45212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45212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45212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45212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45212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45212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45212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45212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45212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45212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45212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45212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45212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45212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45212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45212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45212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45212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45212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45212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45212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45212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45212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45212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45212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45212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45212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45212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45212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45212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45212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45212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45212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45212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45212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45212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45212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45212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45212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45212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45212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45212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45212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45212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45212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45212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45212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45212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45212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45212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45212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45212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45212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45212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45212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45212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45212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45212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45212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45212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45212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45212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45212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45212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45212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45212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45212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45212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45212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45212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45212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45212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45212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45212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45212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45212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45212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45212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45212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45212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45212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45212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45212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45212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45212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45212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45212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45212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45212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45212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45212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45212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45212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45212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45212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45212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45212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45212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45212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45212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45212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45212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45212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45212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45212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45212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45212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45212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45212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45212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45212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45212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45212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45212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45212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45212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45212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45212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45212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45212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45212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45212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45212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45212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45212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45212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45212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45212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45212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45212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45212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45212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45212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45212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45212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45212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45212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45212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45212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45212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45212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45212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45212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45212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45212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45212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45212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45212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45212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45212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45212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45212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45212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45212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45212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45212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45212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45212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45212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45212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45212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45212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45212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45212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45212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45212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45212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45212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45212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45212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45212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45212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45212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45212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45212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45212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45212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45212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45212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45212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45212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45212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45212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45212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45212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45212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45212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45212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45212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45212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45212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45212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45212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45212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45212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45212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45212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45212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45212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45212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45212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45212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45212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45212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45212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45212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45212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45212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45212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45212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45212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45212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45212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45212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45212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45212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45212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45212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45212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45212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45212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45212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45212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45212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45212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45212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45212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45212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45212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45212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45212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45212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45212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45212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45212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45212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45212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45212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45212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45212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45212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45212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45212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45212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45212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45212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45212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45212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45212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45212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45212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45212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45212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45212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45212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45212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45212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45212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45212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45212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45212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45212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45212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45212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45212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45212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45212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45212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45212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45212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45212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45212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45212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45212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45212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45212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45212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45212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45212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45212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45212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45212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45212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45212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45212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45212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45212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45212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45212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45212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45212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45212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45212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45212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45212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45212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45212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45212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45212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45212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45212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45212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45212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45212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45212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45212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45212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45212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45212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45212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45212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45212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45212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45212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45212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45212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45212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45212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45212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45212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45212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45212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45212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45212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45212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45212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45212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45212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45212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45212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45212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45212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45212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45212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45212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45212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45212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45212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45212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45212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45212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45212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45212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45212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45212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45212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45212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45212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45212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45212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45212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45212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45212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45212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45212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45212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45212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45212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45212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45212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45212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45212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45212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45212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45212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45212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45212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45212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45212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45212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45212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45212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45212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45212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45212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45212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45212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45212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45212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45212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45212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45212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45212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45212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45212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45212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45212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45212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45212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45212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45212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45212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45212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45212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45212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45212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45212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45212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45212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45212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45212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45212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45212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45212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45212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45212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45212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45212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45212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45212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45212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45212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45212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45212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45212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45212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45212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45212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45212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45212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45212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45212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45212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45212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45212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45212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45212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45212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45212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45212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45212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45212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45212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45212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45212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45212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45212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45212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45212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45212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45212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45212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45212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45212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45212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45212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45212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45212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45212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45212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45212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45212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45212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45212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45212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45212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45212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45212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45212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45212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45212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45212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45212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45212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45212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45212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45212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45212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45212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45212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45212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45212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45212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45212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45212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45212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45212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45212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45212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45212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45212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45212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45212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45212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45212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45212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45212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45212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45212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45212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45212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45212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45212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45212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45212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45212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45212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45212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45212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45212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45212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45212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45212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45212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45212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45212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45212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45212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45212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45212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45212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45212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45212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45212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45212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45212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45212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45212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45212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45212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45212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45212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45212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45212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45212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45212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45212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45212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45212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45212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45212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45212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45212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45212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45212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45212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45212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45212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45212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45212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45212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45212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45212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45212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45212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45212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45212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45212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45212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45212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45212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45212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45212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45212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45212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45212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45212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45212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45212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45212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45212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45212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45212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45212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45212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45212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45212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45212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45212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45212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45212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45212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45212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45212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45212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45212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45212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45212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45212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45212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45212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45212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45212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45212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45212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45212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45212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45212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45212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45212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45212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45212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45212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45212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45212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45212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45212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45212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45212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45212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45212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45212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45212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45212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45212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45212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45212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45212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45212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45212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45212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45212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45212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45212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45212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45212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45212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45212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45212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45212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45212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45212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45212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45212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45212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45212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45212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45212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45212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45212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45212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45212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45212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45212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45212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45212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45212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45212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45212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45212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45212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45212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45212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45212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45212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45212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45212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45212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45212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45212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45212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45212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45212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45212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45212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45212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45212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45212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45212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45212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45212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45212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45212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45212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45212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45212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45212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knärot.png", "A 63638-2019")</f>
        <v/>
      </c>
      <c r="V2060">
        <f>HYPERLINK("https://klasma.github.io/Logging_0764/klagomål/A 63638-2019 klagomål.docx", "A 63638-2019")</f>
        <v/>
      </c>
      <c r="W2060">
        <f>HYPERLINK("https://klasma.github.io/Logging_0764/klagomålsmail/A 63638-2019 klagomålsmail.docx", "A 63638-2019")</f>
        <v/>
      </c>
      <c r="X2060">
        <f>HYPERLINK("https://klasma.github.io/Logging_0764/tillsyn/A 63638-2019 tillsyn.docx", "A 63638-2019")</f>
        <v/>
      </c>
      <c r="Y2060">
        <f>HYPERLINK("https://klasma.github.io/Logging_0764/tillsynsmail/A 63638-2019 tillsynsmail.docx",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45212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45212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45212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45212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45212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45212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45212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45212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45212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45212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45212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45212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45212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45212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45212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45212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45212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45212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45212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45212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45212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45212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45212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45212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45212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45212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45212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45212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45212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45212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45212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45212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45212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45212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45212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45212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45212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45212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45212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45212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45212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45212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45212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45212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45212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45212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45212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45212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45212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45212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45212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45212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45212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45212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45212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45212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45212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45212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45212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45212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45212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45212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45212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45212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45212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45212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45212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45212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45212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45212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45212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45212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45212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45212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45212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45212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45212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45212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45212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45212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45212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45212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45212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45212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45212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45212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45212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45212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45212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45212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45212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45212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45212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45212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45212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45212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45212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45212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45212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45212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45212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45212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45212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45212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45212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45212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45212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45212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45212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45212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45212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45212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45212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45212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45212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45212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45212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45212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45212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45212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45212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45212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45212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45212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45212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45212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45212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45212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45212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45212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45212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45212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45212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45212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45212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45212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45212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45212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45212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45212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45212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45212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45212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45212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45212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45212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45212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45212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45212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45212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45212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45212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45212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45212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45212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45212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45212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45212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45212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45212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45212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45212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45212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45212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45212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45212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45212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45212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45212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45212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45212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45212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45212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45212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45212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45212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45212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45212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45212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45212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45212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45212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45212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45212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45212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45212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45212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45212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45212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45212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45212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45212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45212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45212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45212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45212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45212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45212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45212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45212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45212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45212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45212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45212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45212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45212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45212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45212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45212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45212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45212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45212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45212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45212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45212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45212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45212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45212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45212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45212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45212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45212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45212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45212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45212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45212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45212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45212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45212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45212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45212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45212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45212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45212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45212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45212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45212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45212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45212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45212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45212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45212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45212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45212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45212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45212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45212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45212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45212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45212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45212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45212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45212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45212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45212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45212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45212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45212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45212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45212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45212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45212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45212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45212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45212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45212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45212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45212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45212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45212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45212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45212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45212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45212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45212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45212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45212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45212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45212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45212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45212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45212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45212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45212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45212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45212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45212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45212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45212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45212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45212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45212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45212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45212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45212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45212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45212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45212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45212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45212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45212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45212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45212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45212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45212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45212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45212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45212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45212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45212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45212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45212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45212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45212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45212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45212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45212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45212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45212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45212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45212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45212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45212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45212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45212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45212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45212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45212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45212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45212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45212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45212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45212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45212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45212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45212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45212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45212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45212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45212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45212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45212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45212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45212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45212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45212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45212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45212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45212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45212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45212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45212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45212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45212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45212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45212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45212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45212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45212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45212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45212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45212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45212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45212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45212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45212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45212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45212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45212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45212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45212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45212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45212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45212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45212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45212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45212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45212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45212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45212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45212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45212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45212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45212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45212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45212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45212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45212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45212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45212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45212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45212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45212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45212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45212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45212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45212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45212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45212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45212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45212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45212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45212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45212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45212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45212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45212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45212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45212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45212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45212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45212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45212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45212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45212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45212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45212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45212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45212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45212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45212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45212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45212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45212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45212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45212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45212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45212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45212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45212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45212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45212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45212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45212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45212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45212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45212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45212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45212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45212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45212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45212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45212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45212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45212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45212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45212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45212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45212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45212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45212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45212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45212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45212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45212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45212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45212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45212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45212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45212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45212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45212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45212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45212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45212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45212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45212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45212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45212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45212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45212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45212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45212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45212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45212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45212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45212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45212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45212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45212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45212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45212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45212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45212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45212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45212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45212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45212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45212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45212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45212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45212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45212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45212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45212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45212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45212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45212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45212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45212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45212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45212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45212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45212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45212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45212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45212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45212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45212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45212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45212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45212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45212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45212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45212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45212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45212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45212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45212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45212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45212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45212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45212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45212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45212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45212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45212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45212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45212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45212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45212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45212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45212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45212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45212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45212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45212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45212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45212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45212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45212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45212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45212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45212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45212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45212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45212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45212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45212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45212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45212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45212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45212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45212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45212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45212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45212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45212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45212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45212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45212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45212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45212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45212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45212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45212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45212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45212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45212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45212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45212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45212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45212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45212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45212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45212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45212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45212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45212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45212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45212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45212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45212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45212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45212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45212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45212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45212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45212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45212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45212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45212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45212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45212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45212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45212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45212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45212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45212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45212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45212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45212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45212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45212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45212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45212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45212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45212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45212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45212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45212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45212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45212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45212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45212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45212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45212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45212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45212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45212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45212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45212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45212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45212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45212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45212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45212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45212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45212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45212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45212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45212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45212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45212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45212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45212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45212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45212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45212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45212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45212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45212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45212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45212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45212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45212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45212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45212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45212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45212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45212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45212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45212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45212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45212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45212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45212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45212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45212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45212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45212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45212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45212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45212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45212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45212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45212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45212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45212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45212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45212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45212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45212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45212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45212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45212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45212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45212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45212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45212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45212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45212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45212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45212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45212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45212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45212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45212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45212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45212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45212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45212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45212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45212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45212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45212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45212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45212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45212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45212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45212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45212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45212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45212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45212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45212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45212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45212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45212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45212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45212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45212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45212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45212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45212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45212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45212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knärot.png", "A 47977-2020")</f>
        <v/>
      </c>
      <c r="V2783">
        <f>HYPERLINK("https://klasma.github.io/Logging_0760/klagomål/A 47977-2020 klagomål.docx", "A 47977-2020")</f>
        <v/>
      </c>
      <c r="W2783">
        <f>HYPERLINK("https://klasma.github.io/Logging_0760/klagomålsmail/A 47977-2020 klagomålsmail.docx", "A 47977-2020")</f>
        <v/>
      </c>
      <c r="X2783">
        <f>HYPERLINK("https://klasma.github.io/Logging_0760/tillsyn/A 47977-2020 tillsyn.docx", "A 47977-2020")</f>
        <v/>
      </c>
      <c r="Y2783">
        <f>HYPERLINK("https://klasma.github.io/Logging_0760/tillsynsmail/A 47977-2020 tillsynsmail.docx",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45212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45212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45212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45212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45212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45212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45212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45212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45212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45212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45212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45212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45212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45212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45212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45212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45212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45212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45212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45212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45212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45212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45212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45212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45212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45212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45212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45212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45212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45212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45212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45212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45212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45212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45212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45212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45212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45212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45212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45212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45212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45212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45212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45212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45212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45212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45212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45212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45212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45212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45212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45212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45212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45212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45212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45212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45212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45212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knärot.png", "A 52770-2020")</f>
        <v/>
      </c>
      <c r="V2841">
        <f>HYPERLINK("https://klasma.github.io/Logging_0763/klagomål/A 52770-2020 klagomål.docx", "A 52770-2020")</f>
        <v/>
      </c>
      <c r="W2841">
        <f>HYPERLINK("https://klasma.github.io/Logging_0763/klagomålsmail/A 52770-2020 klagomålsmail.docx", "A 52770-2020")</f>
        <v/>
      </c>
      <c r="X2841">
        <f>HYPERLINK("https://klasma.github.io/Logging_0763/tillsyn/A 52770-2020 tillsyn.docx", "A 52770-2020")</f>
        <v/>
      </c>
      <c r="Y2841">
        <f>HYPERLINK("https://klasma.github.io/Logging_0763/tillsynsmail/A 52770-2020 tillsynsmail.docx",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45212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45212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45212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45212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45212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45212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45212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45212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45212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45212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45212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45212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45212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45212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45212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45212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45212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45212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45212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45212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45212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45212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45212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45212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45212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45212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45212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45212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45212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45212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45212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45212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45212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45212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45212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45212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45212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45212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45212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45212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45212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45212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45212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45212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45212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45212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45212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45212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45212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45212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45212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45212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45212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45212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45212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45212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45212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45212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45212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45212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45212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45212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45212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45212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45212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45212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45212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45212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45212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45212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45212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45212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45212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45212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45212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45212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45212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45212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45212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45212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45212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45212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45212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45212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45212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45212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45212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45212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45212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45212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45212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45212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45212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45212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45212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45212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45212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45212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45212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45212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45212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45212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45212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45212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45212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45212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45212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45212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45212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45212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45212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45212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45212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45212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45212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45212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45212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45212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45212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45212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45212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45212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45212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45212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45212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45212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45212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45212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45212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45212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45212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45212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45212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45212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45212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45212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45212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45212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45212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45212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45212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45212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45212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45212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45212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45212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45212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45212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45212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45212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45212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45212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45212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45212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45212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45212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45212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45212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45212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45212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45212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45212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45212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45212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45212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45212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45212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45212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45212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45212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45212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45212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45212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45212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45212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45212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45212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45212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45212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45212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45212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45212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45212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45212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45212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45212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45212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45212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45212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45212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45212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45212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45212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45212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45212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45212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45212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45212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45212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45212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45212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45212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45212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45212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45212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45212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45212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45212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45212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45212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45212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45212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45212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45212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45212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45212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45212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45212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45212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45212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45212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45212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45212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45212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45212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45212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45212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45212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45212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45212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45212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45212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45212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45212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45212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45212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45212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45212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45212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45212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45212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45212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45212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45212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45212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45212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45212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45212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45212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45212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45212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45212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45212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45212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45212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45212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45212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45212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45212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45212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45212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45212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45212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45212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45212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45212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45212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45212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45212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45212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45212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45212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45212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45212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45212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45212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45212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45212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45212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45212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45212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45212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45212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45212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45212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45212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45212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45212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45212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45212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45212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45212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45212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45212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45212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45212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45212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45212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45212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45212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45212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45212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45212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45212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45212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45212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45212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45212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45212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45212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45212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45212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45212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45212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45212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45212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45212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45212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45212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45212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45212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45212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45212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45212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45212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45212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45212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45212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45212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45212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45212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45212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45212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45212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45212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45212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45212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45212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45212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45212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45212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45212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45212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45212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45212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45212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45212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45212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45212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45212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45212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45212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45212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45212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45212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45212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45212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45212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45212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45212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45212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45212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45212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45212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45212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45212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45212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45212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45212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45212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45212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45212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45212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45212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45212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45212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45212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45212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45212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45212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45212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45212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45212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45212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45212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45212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45212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45212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45212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45212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45212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45212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45212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45212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45212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45212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45212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45212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45212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45212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45212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45212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45212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45212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45212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45212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45212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45212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45212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45212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45212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45212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45212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45212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45212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45212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45212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45212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45212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45212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45212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45212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45212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45212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45212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45212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45212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45212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45212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45212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45212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45212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45212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45212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45212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45212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45212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45212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45212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45212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45212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45212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45212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45212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45212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45212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45212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45212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45212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45212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45212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45212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45212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45212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45212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45212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45212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45212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45212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45212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45212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45212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45212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45212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45212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45212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45212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45212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45212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45212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45212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45212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45212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45212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45212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45212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45212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45212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45212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45212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45212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45212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45212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45212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45212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45212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45212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45212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45212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45212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45212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45212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45212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45212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45212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45212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45212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45212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45212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45212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45212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45212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45212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45212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45212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45212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45212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45212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45212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45212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45212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45212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45212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45212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45212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45212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45212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45212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45212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45212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45212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45212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45212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45212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45212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45212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45212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45212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45212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45212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45212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45212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45212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45212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45212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45212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45212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45212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45212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45212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45212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45212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45212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45212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45212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45212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45212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45212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45212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45212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45212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45212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45212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45212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45212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45212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45212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45212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45212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45212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45212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45212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45212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45212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45212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45212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45212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45212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45212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45212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45212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45212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45212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45212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45212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45212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45212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45212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45212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45212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45212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45212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45212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45212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45212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45212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45212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45212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45212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45212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45212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45212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45212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45212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45212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45212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45212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45212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45212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45212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45212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45212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45212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45212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45212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45212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45212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45212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45212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45212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45212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45212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45212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45212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45212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45212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45212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45212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45212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45212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45212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45212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45212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45212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45212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45212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45212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45212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45212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45212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45212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45212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45212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45212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45212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45212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45212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45212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45212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45212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45212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45212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45212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45212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45212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45212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45212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45212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45212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45212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45212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45212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45212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45212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45212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45212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45212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45212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45212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45212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45212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45212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45212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45212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45212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45212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45212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45212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45212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45212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45212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45212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45212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45212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45212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45212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45212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45212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45212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45212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45212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45212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45212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45212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45212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45212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45212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45212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45212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45212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45212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45212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45212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45212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45212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45212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45212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45212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45212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45212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45212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45212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45212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45212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45212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45212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45212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45212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45212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45212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45212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45212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45212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45212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45212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45212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45212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45212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45212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45212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45212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45212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45212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45212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45212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45212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45212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45212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45212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45212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45212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45212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45212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45212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45212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45212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45212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45212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45212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45212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45212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45212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45212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45212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45212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45212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45212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45212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45212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45212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45212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45212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45212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45212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45212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45212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45212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45212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45212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45212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45212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45212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45212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45212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45212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45212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45212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45212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45212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45212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45212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45212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45212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45212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45212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45212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45212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45212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45212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45212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45212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45212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45212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45212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45212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45212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45212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45212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45212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45212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45212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45212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45212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45212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45212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45212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45212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45212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45212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45212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45212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45212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45212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45212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45212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45212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45212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45212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45212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45212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45212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45212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45212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45212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45212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45212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45212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45212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45212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45212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45212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45212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45212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45212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45212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45212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45212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45212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45212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45212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45212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45212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45212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45212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45212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45212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45212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45212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45212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45212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45212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45212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45212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45212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45212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45212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45212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45212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45212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45212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45212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45212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45212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45212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45212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45212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45212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45212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45212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45212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45212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45212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45212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45212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45212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45212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45212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45212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45212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45212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45212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45212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45212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45212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45212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45212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45212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45212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45212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45212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45212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45212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45212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45212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45212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45212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45212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45212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45212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45212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45212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45212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45212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45212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45212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45212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45212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45212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45212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45212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45212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45212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45212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45212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45212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45212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45212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45212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45212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45212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45212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45212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45212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45212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45212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45212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45212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45212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45212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45212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45212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45212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45212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45212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45212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45212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45212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45212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45212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45212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45212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45212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45212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45212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45212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45212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45212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45212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45212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45212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45212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45212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45212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45212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45212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45212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45212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45212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45212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45212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45212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45212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45212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45212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45212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45212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45212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45212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45212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45212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45212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45212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45212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45212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45212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45212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45212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45212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45212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45212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45212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45212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45212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45212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45212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45212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45212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45212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45212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45212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45212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45212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45212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45212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45212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45212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45212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45212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45212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45212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45212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45212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45212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45212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45212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45212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45212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45212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45212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45212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45212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45212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45212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45212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45212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45212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45212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45212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45212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45212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45212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45212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45212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45212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45212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45212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45212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45212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45212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45212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45212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45212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45212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45212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45212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45212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45212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45212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45212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45212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45212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45212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45212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45212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45212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45212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45212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45212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45212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45212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45212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45212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45212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45212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45212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45212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45212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45212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45212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45212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45212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45212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45212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45212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45212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45212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45212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45212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45212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45212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45212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45212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45212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45212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45212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45212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45212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45212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45212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45212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45212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45212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45212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45212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45212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45212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45212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45212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45212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45212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45212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45212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45212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45212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45212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45212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45212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45212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45212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45212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45212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45212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45212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45212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45212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45212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45212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45212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45212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45212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45212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45212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45212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45212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45212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45212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45212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45212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45212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45212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45212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45212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45212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45212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45212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45212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45212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45212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45212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45212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45212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45212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45212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45212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45212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45212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45212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45212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45212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45212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45212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45212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45212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45212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45212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45212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45212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45212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45212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45212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45212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45212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45212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45212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45212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45212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45212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45212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45212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45212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45212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45212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45212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45212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45212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45212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45212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45212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45212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45212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45212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45212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45212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45212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45212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45212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45212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45212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45212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45212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45212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45212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45212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45212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45212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45212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45212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45212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45212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45212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45212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knärot.png", "A 23013-2022")</f>
        <v/>
      </c>
      <c r="V4031">
        <f>HYPERLINK("https://klasma.github.io/Logging_0760/klagomål/A 23013-2022 klagomål.docx", "A 23013-2022")</f>
        <v/>
      </c>
      <c r="W4031">
        <f>HYPERLINK("https://klasma.github.io/Logging_0760/klagomålsmail/A 23013-2022 klagomålsmail.docx", "A 23013-2022")</f>
        <v/>
      </c>
      <c r="X4031">
        <f>HYPERLINK("https://klasma.github.io/Logging_0760/tillsyn/A 23013-2022 tillsyn.docx", "A 23013-2022")</f>
        <v/>
      </c>
      <c r="Y4031">
        <f>HYPERLINK("https://klasma.github.io/Logging_0760/tillsynsmail/A 23013-2022 tillsynsmail.docx",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45212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45212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45212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45212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45212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45212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45212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45212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45212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45212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45212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45212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45212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45212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45212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45212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45212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45212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45212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45212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45212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45212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45212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45212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45212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45212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45212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45212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45212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45212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45212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45212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45212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45212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45212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45212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45212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45212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45212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45212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45212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45212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45212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45212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45212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45212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45212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45212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45212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45212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45212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45212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45212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45212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45212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45212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45212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45212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45212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45212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45212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45212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45212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45212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45212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45212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45212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45212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45212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45212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45212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45212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45212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45212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45212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45212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45212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45212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45212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45212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45212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45212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45212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45212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45212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45212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45212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45212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45212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45212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45212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45212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45212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45212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45212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45212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45212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45212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knärot.png", "A 35279-2022")</f>
        <v/>
      </c>
      <c r="V4130">
        <f>HYPERLINK("https://klasma.github.io/Logging_0764/klagomål/A 35279-2022 klagomål.docx", "A 35279-2022")</f>
        <v/>
      </c>
      <c r="W4130">
        <f>HYPERLINK("https://klasma.github.io/Logging_0764/klagomålsmail/A 35279-2022 klagomålsmail.docx", "A 35279-2022")</f>
        <v/>
      </c>
      <c r="X4130">
        <f>HYPERLINK("https://klasma.github.io/Logging_0764/tillsyn/A 35279-2022 tillsyn.docx", "A 35279-2022")</f>
        <v/>
      </c>
      <c r="Y4130">
        <f>HYPERLINK("https://klasma.github.io/Logging_0764/tillsynsmail/A 35279-2022 tillsynsmail.docx",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45212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45212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45212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45212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45212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45212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45212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45212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45212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45212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45212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45212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45212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45212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45212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45212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45212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45212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45212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45212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45212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45212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45212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45212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45212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45212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45212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45212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45212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45212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45212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45212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45212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45212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45212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45212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45212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45212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45212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45212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45212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45212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45212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45212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45212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45212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45212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45212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45212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45212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45212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45212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45212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45212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45212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45212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45212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45212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45212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45212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45212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45212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45212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45212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45212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45212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45212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45212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45212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45212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45212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45212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45212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45212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45212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45212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45212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45212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45212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45212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45212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45212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45212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45212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45212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45212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45212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45212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45212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45212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45212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45212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45212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45212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45212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45212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45212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45212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45212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45212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45212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45212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45212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45212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45212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45212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45212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45212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45212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45212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45212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45212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45212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45212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45212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45212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45212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45212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45212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45212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45212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45212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45212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45212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45212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45212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45212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45212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45212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45212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45212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45212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45212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45212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45212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45212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45212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45212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45212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45212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45212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45212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45212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45212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45212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45212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45212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45212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45212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45212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45212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45212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45212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45212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45212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45212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45212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45212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45212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45212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45212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45212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45212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45212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45212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45212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45212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45212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45212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45212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45212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45212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45212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45212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45212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45212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45212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45212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45212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45212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45212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45212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45212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45212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45212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45212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45212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45212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45212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45212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45212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45212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45212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45212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45212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45212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45212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45212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45212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45212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45212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45212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45212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45212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45212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45212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45212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45212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45212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45212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45212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45212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45212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45212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45212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45212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45212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45212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45212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45212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45212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45212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45212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45212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45212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45212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45212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45212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45212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45212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45212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45212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45212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45212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45212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45212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45212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45212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45212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45212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45212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45212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45212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45212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45212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45212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45212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45212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45212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45212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45212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45212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45212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45212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45212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45212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45212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45212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45212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45212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45212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45212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45212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45212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45212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45212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45212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45212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45212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45212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45212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45212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45212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45212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45212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45212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45212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45212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45212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45212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45212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45212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45212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45212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45212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45212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45212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45212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45212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45212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45212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45212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45212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45212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45212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45212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45212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45212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45212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45212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45212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45212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45212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45212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45212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45212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45212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45212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45212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45212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45212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45212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45212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45212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45212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45212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45212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45212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45212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45212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45212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45212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45212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45212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45212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45212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45212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45212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45212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45212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45212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45212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45212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45212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45212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45212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45212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45212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45212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45212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45212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45212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45212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45212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45212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45212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45212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45212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45212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45212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45212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45212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45212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45212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45212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45212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45212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45212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45212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45212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45212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45212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45212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45212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45212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45212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45212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45212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45212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45212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45212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45212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45212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45212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45212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45212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45212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45212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45212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45212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45212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45212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45212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45212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45212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45212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45212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45212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45212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45212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45212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45212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45212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45212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45212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45212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45212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45212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45212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45212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45212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45212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45212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45212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45212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45212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45212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45212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45212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45212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45212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45212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45212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45212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45212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45212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45212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45212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45212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45212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45212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45212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45212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45212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45212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45212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45212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45212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45212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45212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45212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45212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45212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45212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45212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45212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45212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45212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45212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45212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45212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45212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45212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45212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45212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45212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45212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45212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45212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45212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45212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45212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45212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45212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45212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45212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45212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45212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45212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45212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45212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45212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45212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45212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45212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45212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45212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45212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45212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45212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45212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45212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45212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45212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45212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45212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45212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45212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45212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45212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45212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45212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45212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45212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45212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45212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45212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45212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45212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45212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45212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45212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45212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45212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45212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45212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45212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45212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45212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45212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45212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45212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45212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45212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45212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45212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45212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45212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45212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45212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45212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45212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45212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45212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45212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45212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45212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45212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45212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45212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45212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45212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45212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45212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45212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45212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45212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45212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45212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45212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45212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45212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45212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45212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45212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45212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45212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45212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45212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45212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45212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45212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45212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45212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45212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45212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45212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45212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45212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45212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45212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45212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45212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45212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45212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45212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45212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45212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45212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45212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45212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45212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45212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45212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45212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45212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45212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45212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45212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45212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45212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45212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45212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45212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45212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45212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45212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45212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45212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45212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45212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45212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45212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45212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45212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45212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45212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45212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45212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45212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45212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45212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45212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45212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45212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45212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45212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45212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45212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45212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45212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45212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45212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45212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45212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45212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45212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45212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45212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45212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45212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45212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45212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45212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45212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45212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45212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45212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45212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45212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45212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45212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45212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45212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45212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45212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45212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45212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45212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45212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45212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45212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45212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45212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45212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45212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45212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45212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45212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45212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45212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45212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45212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45212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45212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45212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45212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45212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45212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45212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45212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45212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knärot.png", "A 27756-2023")</f>
        <v/>
      </c>
      <c r="V4796">
        <f>HYPERLINK("https://klasma.github.io/Logging_0765/klagomål/A 27756-2023 klagomål.docx", "A 27756-2023")</f>
        <v/>
      </c>
      <c r="W4796">
        <f>HYPERLINK("https://klasma.github.io/Logging_0765/klagomålsmail/A 27756-2023 klagomålsmail.docx", "A 27756-2023")</f>
        <v/>
      </c>
      <c r="X4796">
        <f>HYPERLINK("https://klasma.github.io/Logging_0765/tillsyn/A 27756-2023 tillsyn.docx", "A 27756-2023")</f>
        <v/>
      </c>
      <c r="Y4796">
        <f>HYPERLINK("https://klasma.github.io/Logging_0765/tillsynsmail/A 27756-2023 tillsynsmail.docx",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45212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45212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45212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45212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45212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45212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45212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45212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45212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45212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45212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45212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45212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45212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45212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45212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45212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45212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45212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45212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45212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45212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45212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45212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45212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45212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45212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45212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45212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45212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45212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45212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45212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45212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45212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45212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45212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45212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45212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45212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45212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45212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45212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45212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45212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45212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45212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45212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45212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45212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45212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45212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45212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45212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45212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45212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45212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45212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45212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45212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45212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45212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45212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45212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45212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45212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45212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45212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45212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45212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45212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45212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45212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45212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45212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45212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45212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45212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45212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45212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45212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45212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45212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45212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45212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45212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45212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45212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45212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45212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45212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45212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45212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45212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45212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45212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45212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45212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45212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45212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45212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45212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45212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45212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45212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45212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45212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45212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45212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45212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45212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45212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45212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45212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45212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45212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45212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45212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45212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45212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45212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45212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45212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45212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45212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45212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45212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45212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45212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45212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45212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45212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45212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45212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45212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45212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45212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45212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45212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45212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45212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45212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45212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45212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45212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45212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45212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45212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45212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45212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45212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45212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45212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45212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45212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45212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45212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45212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45212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45212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45212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45212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45212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45212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45212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45212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45212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45212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45212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45212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45212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45212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45212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45212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knärot.png", "A 44876-2023")</f>
        <v/>
      </c>
      <c r="V4972">
        <f>HYPERLINK("https://klasma.github.io/Logging_0760/klagomål/A 44876-2023 klagomål.docx", "A 44876-2023")</f>
        <v/>
      </c>
      <c r="W4972">
        <f>HYPERLINK("https://klasma.github.io/Logging_0760/klagomålsmail/A 44876-2023 klagomålsmail.docx", "A 44876-2023")</f>
        <v/>
      </c>
      <c r="X4972">
        <f>HYPERLINK("https://klasma.github.io/Logging_0760/tillsyn/A 44876-2023 tillsyn.docx", "A 44876-2023")</f>
        <v/>
      </c>
      <c r="Y4972">
        <f>HYPERLINK("https://klasma.github.io/Logging_0760/tillsynsmail/A 44876-2023 tillsynsmail.docx",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45212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45212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45212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45212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45212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45212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45212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45212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45212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45212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45212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45212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45212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49352-2023</t>
        </is>
      </c>
      <c r="B4986" s="1" t="n">
        <v>45211</v>
      </c>
      <c r="C4986" s="1" t="n">
        <v>45212</v>
      </c>
      <c r="D4986" t="inlineStr">
        <is>
          <t>KRONOBERGS LÄN</t>
        </is>
      </c>
      <c r="E4986" t="inlineStr">
        <is>
          <t>TINGSRYD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49357-2023</t>
        </is>
      </c>
      <c r="B4987" s="1" t="n">
        <v>45211</v>
      </c>
      <c r="C4987" s="1" t="n">
        <v>45212</v>
      </c>
      <c r="D4987" t="inlineStr">
        <is>
          <t>KRONOBERGS LÄN</t>
        </is>
      </c>
      <c r="E4987" t="inlineStr">
        <is>
          <t>UPPVIDINGE</t>
        </is>
      </c>
      <c r="G4987" t="n">
        <v>1.7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>
      <c r="A4988" t="inlineStr">
        <is>
          <t>A 49373-2023</t>
        </is>
      </c>
      <c r="B4988" s="1" t="n">
        <v>45211</v>
      </c>
      <c r="C4988" s="1" t="n">
        <v>45212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2023-10-13T04:47:11Z</dcterms:created>
  <dcterms:modified xmlns:dcterms="http://purl.org/dc/terms/" xmlns:xsi="http://www.w3.org/2001/XMLSchema-instance" xsi:type="dcterms:W3CDTF">2023-10-13T04:47:13Z</dcterms:modified>
</cp:coreProperties>
</file>