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45184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45184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45184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15558-2023.xlsx")</f>
        <v/>
      </c>
      <c r="T4">
        <f>HYPERLINK("https://klasma.github.io/Logging_VAXJO/kartor/A 15558-2023.png")</f>
        <v/>
      </c>
      <c r="V4">
        <f>HYPERLINK("https://klasma.github.io/Logging_VAXJO/klagomål/A 15558-2023.docx")</f>
        <v/>
      </c>
      <c r="W4">
        <f>HYPERLINK("https://klasma.github.io/Logging_VAXJO/klagomålsmail/A 15558-2023.docx")</f>
        <v/>
      </c>
      <c r="X4">
        <f>HYPERLINK("https://klasma.github.io/Logging_VAXJO/tillsyn/A 15558-2023.docx")</f>
        <v/>
      </c>
      <c r="Y4">
        <f>HYPERLINK("https://klasma.github.io/Logging_VAXJO/tillsynsmail/A 15558-2023.docx")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45184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35531-2023.xlsx")</f>
        <v/>
      </c>
      <c r="T5">
        <f>HYPERLINK("https://klasma.github.io/Logging_ALVESTA/kartor/A 35531-2023.png")</f>
        <v/>
      </c>
      <c r="V5">
        <f>HYPERLINK("https://klasma.github.io/Logging_ALVESTA/klagomål/A 35531-2023.docx")</f>
        <v/>
      </c>
      <c r="W5">
        <f>HYPERLINK("https://klasma.github.io/Logging_ALVESTA/klagomålsmail/A 35531-2023.docx")</f>
        <v/>
      </c>
      <c r="X5">
        <f>HYPERLINK("https://klasma.github.io/Logging_ALVESTA/tillsyn/A 35531-2023.docx")</f>
        <v/>
      </c>
      <c r="Y5">
        <f>HYPERLINK("https://klasma.github.io/Logging_ALVESTA/tillsynsmail/A 35531-2023.docx")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45184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18960-2021.xlsx")</f>
        <v/>
      </c>
      <c r="T6">
        <f>HYPERLINK("https://klasma.github.io/Logging_LESSEBO/kartor/A 18960-2021.png")</f>
        <v/>
      </c>
      <c r="V6">
        <f>HYPERLINK("https://klasma.github.io/Logging_LESSEBO/klagomål/A 18960-2021.docx")</f>
        <v/>
      </c>
      <c r="W6">
        <f>HYPERLINK("https://klasma.github.io/Logging_LESSEBO/klagomålsmail/A 18960-2021.docx")</f>
        <v/>
      </c>
      <c r="X6">
        <f>HYPERLINK("https://klasma.github.io/Logging_LESSEBO/tillsyn/A 18960-2021.docx")</f>
        <v/>
      </c>
      <c r="Y6">
        <f>HYPERLINK("https://klasma.github.io/Logging_LESSEBO/tillsynsmail/A 18960-2021.docx")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45184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21249-2022.xlsx")</f>
        <v/>
      </c>
      <c r="T7">
        <f>HYPERLINK("https://klasma.github.io/Logging_UPPVIDINGE/kartor/A 21249-2022.png")</f>
        <v/>
      </c>
      <c r="U7">
        <f>HYPERLINK("https://klasma.github.io/Logging_UPPVIDINGE/knärot/A 21249-2022.png")</f>
        <v/>
      </c>
      <c r="V7">
        <f>HYPERLINK("https://klasma.github.io/Logging_UPPVIDINGE/klagomål/A 21249-2022.docx")</f>
        <v/>
      </c>
      <c r="W7">
        <f>HYPERLINK("https://klasma.github.io/Logging_UPPVIDINGE/klagomålsmail/A 21249-2022.docx")</f>
        <v/>
      </c>
      <c r="X7">
        <f>HYPERLINK("https://klasma.github.io/Logging_UPPVIDINGE/tillsyn/A 21249-2022.docx")</f>
        <v/>
      </c>
      <c r="Y7">
        <f>HYPERLINK("https://klasma.github.io/Logging_UPPVIDINGE/tillsynsmail/A 21249-2022.docx")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45184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44963-2019.xlsx")</f>
        <v/>
      </c>
      <c r="T8">
        <f>HYPERLINK("https://klasma.github.io/Logging_UPPVIDINGE/kartor/A 44963-2019.png")</f>
        <v/>
      </c>
      <c r="V8">
        <f>HYPERLINK("https://klasma.github.io/Logging_UPPVIDINGE/klagomål/A 44963-2019.docx")</f>
        <v/>
      </c>
      <c r="W8">
        <f>HYPERLINK("https://klasma.github.io/Logging_UPPVIDINGE/klagomålsmail/A 44963-2019.docx")</f>
        <v/>
      </c>
      <c r="X8">
        <f>HYPERLINK("https://klasma.github.io/Logging_UPPVIDINGE/tillsyn/A 44963-2019.docx")</f>
        <v/>
      </c>
      <c r="Y8">
        <f>HYPERLINK("https://klasma.github.io/Logging_UPPVIDINGE/tillsynsmail/A 44963-2019.docx")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45184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46465-2019.xlsx")</f>
        <v/>
      </c>
      <c r="T9">
        <f>HYPERLINK("https://klasma.github.io/Logging_UPPVIDINGE/kartor/A 46465-2019.png")</f>
        <v/>
      </c>
      <c r="U9">
        <f>HYPERLINK("https://klasma.github.io/Logging_UPPVIDINGE/knärot/A 46465-2019.png")</f>
        <v/>
      </c>
      <c r="V9">
        <f>HYPERLINK("https://klasma.github.io/Logging_UPPVIDINGE/klagomål/A 46465-2019.docx")</f>
        <v/>
      </c>
      <c r="W9">
        <f>HYPERLINK("https://klasma.github.io/Logging_UPPVIDINGE/klagomålsmail/A 46465-2019.docx")</f>
        <v/>
      </c>
      <c r="X9">
        <f>HYPERLINK("https://klasma.github.io/Logging_UPPVIDINGE/tillsyn/A 46465-2019.docx")</f>
        <v/>
      </c>
      <c r="Y9">
        <f>HYPERLINK("https://klasma.github.io/Logging_UPPVIDINGE/tillsynsmail/A 46465-2019.docx")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45184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51291-2020.xlsx")</f>
        <v/>
      </c>
      <c r="T10">
        <f>HYPERLINK("https://klasma.github.io/Logging_UPPVIDINGE/kartor/A 51291-2020.png")</f>
        <v/>
      </c>
      <c r="V10">
        <f>HYPERLINK("https://klasma.github.io/Logging_UPPVIDINGE/klagomål/A 51291-2020.docx")</f>
        <v/>
      </c>
      <c r="W10">
        <f>HYPERLINK("https://klasma.github.io/Logging_UPPVIDINGE/klagomålsmail/A 51291-2020.docx")</f>
        <v/>
      </c>
      <c r="X10">
        <f>HYPERLINK("https://klasma.github.io/Logging_UPPVIDINGE/tillsyn/A 51291-2020.docx")</f>
        <v/>
      </c>
      <c r="Y10">
        <f>HYPERLINK("https://klasma.github.io/Logging_UPPVIDINGE/tillsynsmail/A 51291-2020.docx")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45184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10361-2023.xlsx")</f>
        <v/>
      </c>
      <c r="T11">
        <f>HYPERLINK("https://klasma.github.io/Logging_TINGSRYD/kartor/A 10361-2023.png")</f>
        <v/>
      </c>
      <c r="V11">
        <f>HYPERLINK("https://klasma.github.io/Logging_TINGSRYD/klagomål/A 10361-2023.docx")</f>
        <v/>
      </c>
      <c r="W11">
        <f>HYPERLINK("https://klasma.github.io/Logging_TINGSRYD/klagomålsmail/A 10361-2023.docx")</f>
        <v/>
      </c>
      <c r="X11">
        <f>HYPERLINK("https://klasma.github.io/Logging_TINGSRYD/tillsyn/A 10361-2023.docx")</f>
        <v/>
      </c>
      <c r="Y11">
        <f>HYPERLINK("https://klasma.github.io/Logging_TINGSRYD/tillsynsmail/A 10361-2023.docx")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45184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44551-2020.xlsx")</f>
        <v/>
      </c>
      <c r="T12">
        <f>HYPERLINK("https://klasma.github.io/Logging_ALVESTA/kartor/A 44551-2020.png")</f>
        <v/>
      </c>
      <c r="V12">
        <f>HYPERLINK("https://klasma.github.io/Logging_ALVESTA/klagomål/A 44551-2020.docx")</f>
        <v/>
      </c>
      <c r="W12">
        <f>HYPERLINK("https://klasma.github.io/Logging_ALVESTA/klagomålsmail/A 44551-2020.docx")</f>
        <v/>
      </c>
      <c r="X12">
        <f>HYPERLINK("https://klasma.github.io/Logging_ALVESTA/tillsyn/A 44551-2020.docx")</f>
        <v/>
      </c>
      <c r="Y12">
        <f>HYPERLINK("https://klasma.github.io/Logging_ALVESTA/tillsynsmail/A 44551-2020.docx")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45184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59898-2021.xlsx")</f>
        <v/>
      </c>
      <c r="T13">
        <f>HYPERLINK("https://klasma.github.io/Logging_UPPVIDINGE/kartor/A 59898-2021.png")</f>
        <v/>
      </c>
      <c r="U13">
        <f>HYPERLINK("https://klasma.github.io/Logging_UPPVIDINGE/knärot/A 59898-2021.png")</f>
        <v/>
      </c>
      <c r="V13">
        <f>HYPERLINK("https://klasma.github.io/Logging_UPPVIDINGE/klagomål/A 59898-2021.docx")</f>
        <v/>
      </c>
      <c r="W13">
        <f>HYPERLINK("https://klasma.github.io/Logging_UPPVIDINGE/klagomålsmail/A 59898-2021.docx")</f>
        <v/>
      </c>
      <c r="X13">
        <f>HYPERLINK("https://klasma.github.io/Logging_UPPVIDINGE/tillsyn/A 59898-2021.docx")</f>
        <v/>
      </c>
      <c r="Y13">
        <f>HYPERLINK("https://klasma.github.io/Logging_UPPVIDINGE/tillsynsmail/A 59898-2021.docx")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45184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25497-2023.xlsx")</f>
        <v/>
      </c>
      <c r="T14">
        <f>HYPERLINK("https://klasma.github.io/Logging_UPPVIDINGE/kartor/A 25497-2023.png")</f>
        <v/>
      </c>
      <c r="V14">
        <f>HYPERLINK("https://klasma.github.io/Logging_UPPVIDINGE/klagomål/A 25497-2023.docx")</f>
        <v/>
      </c>
      <c r="W14">
        <f>HYPERLINK("https://klasma.github.io/Logging_UPPVIDINGE/klagomålsmail/A 25497-2023.docx")</f>
        <v/>
      </c>
      <c r="X14">
        <f>HYPERLINK("https://klasma.github.io/Logging_UPPVIDINGE/tillsyn/A 25497-2023.docx")</f>
        <v/>
      </c>
      <c r="Y14">
        <f>HYPERLINK("https://klasma.github.io/Logging_UPPVIDINGE/tillsynsmail/A 25497-2023.docx")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45184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37062-2021.xlsx")</f>
        <v/>
      </c>
      <c r="T15">
        <f>HYPERLINK("https://klasma.github.io/Logging_MARKARYD/kartor/A 37062-2021.png")</f>
        <v/>
      </c>
      <c r="V15">
        <f>HYPERLINK("https://klasma.github.io/Logging_MARKARYD/klagomål/A 37062-2021.docx")</f>
        <v/>
      </c>
      <c r="W15">
        <f>HYPERLINK("https://klasma.github.io/Logging_MARKARYD/klagomålsmail/A 37062-2021.docx")</f>
        <v/>
      </c>
      <c r="X15">
        <f>HYPERLINK("https://klasma.github.io/Logging_MARKARYD/tillsyn/A 37062-2021.docx")</f>
        <v/>
      </c>
      <c r="Y15">
        <f>HYPERLINK("https://klasma.github.io/Logging_MARKARYD/tillsynsmail/A 37062-2021.docx")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45184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58841-2022.xlsx")</f>
        <v/>
      </c>
      <c r="T16">
        <f>HYPERLINK("https://klasma.github.io/Logging_VAXJO/kartor/A 58841-2022.png")</f>
        <v/>
      </c>
      <c r="V16">
        <f>HYPERLINK("https://klasma.github.io/Logging_VAXJO/klagomål/A 58841-2022.docx")</f>
        <v/>
      </c>
      <c r="W16">
        <f>HYPERLINK("https://klasma.github.io/Logging_VAXJO/klagomålsmail/A 58841-2022.docx")</f>
        <v/>
      </c>
      <c r="X16">
        <f>HYPERLINK("https://klasma.github.io/Logging_VAXJO/tillsyn/A 58841-2022.docx")</f>
        <v/>
      </c>
      <c r="Y16">
        <f>HYPERLINK("https://klasma.github.io/Logging_VAXJO/tillsynsmail/A 58841-2022.docx")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45184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59299-2018.xlsx")</f>
        <v/>
      </c>
      <c r="T17">
        <f>HYPERLINK("https://klasma.github.io/Logging_LESSEBO/kartor/A 59299-2018.png")</f>
        <v/>
      </c>
      <c r="V17">
        <f>HYPERLINK("https://klasma.github.io/Logging_LESSEBO/klagomål/A 59299-2018.docx")</f>
        <v/>
      </c>
      <c r="W17">
        <f>HYPERLINK("https://klasma.github.io/Logging_LESSEBO/klagomålsmail/A 59299-2018.docx")</f>
        <v/>
      </c>
      <c r="X17">
        <f>HYPERLINK("https://klasma.github.io/Logging_LESSEBO/tillsyn/A 59299-2018.docx")</f>
        <v/>
      </c>
      <c r="Y17">
        <f>HYPERLINK("https://klasma.github.io/Logging_LESSEBO/tillsynsmail/A 59299-2018.docx")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45184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8442-2019.xlsx")</f>
        <v/>
      </c>
      <c r="T18">
        <f>HYPERLINK("https://klasma.github.io/Logging_UPPVIDINGE/kartor/A 8442-2019.png")</f>
        <v/>
      </c>
      <c r="V18">
        <f>HYPERLINK("https://klasma.github.io/Logging_UPPVIDINGE/klagomål/A 8442-2019.docx")</f>
        <v/>
      </c>
      <c r="W18">
        <f>HYPERLINK("https://klasma.github.io/Logging_UPPVIDINGE/klagomålsmail/A 8442-2019.docx")</f>
        <v/>
      </c>
      <c r="X18">
        <f>HYPERLINK("https://klasma.github.io/Logging_UPPVIDINGE/tillsyn/A 8442-2019.docx")</f>
        <v/>
      </c>
      <c r="Y18">
        <f>HYPERLINK("https://klasma.github.io/Logging_UPPVIDINGE/tillsynsmail/A 8442-2019.docx")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45184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9801-2019.xlsx")</f>
        <v/>
      </c>
      <c r="T19">
        <f>HYPERLINK("https://klasma.github.io/Logging_LJUNGBY/kartor/A 9801-2019.png")</f>
        <v/>
      </c>
      <c r="V19">
        <f>HYPERLINK("https://klasma.github.io/Logging_LJUNGBY/klagomål/A 9801-2019.docx")</f>
        <v/>
      </c>
      <c r="W19">
        <f>HYPERLINK("https://klasma.github.io/Logging_LJUNGBY/klagomålsmail/A 9801-2019.docx")</f>
        <v/>
      </c>
      <c r="X19">
        <f>HYPERLINK("https://klasma.github.io/Logging_LJUNGBY/tillsyn/A 9801-2019.docx")</f>
        <v/>
      </c>
      <c r="Y19">
        <f>HYPERLINK("https://klasma.github.io/Logging_LJUNGBY/tillsynsmail/A 9801-2019.docx")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45184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31375-2019.xlsx")</f>
        <v/>
      </c>
      <c r="T20">
        <f>HYPERLINK("https://klasma.github.io/Logging_UPPVIDINGE/kartor/A 31375-2019.png")</f>
        <v/>
      </c>
      <c r="U20">
        <f>HYPERLINK("https://klasma.github.io/Logging_UPPVIDINGE/knärot/A 31375-2019.png")</f>
        <v/>
      </c>
      <c r="V20">
        <f>HYPERLINK("https://klasma.github.io/Logging_UPPVIDINGE/klagomål/A 31375-2019.docx")</f>
        <v/>
      </c>
      <c r="W20">
        <f>HYPERLINK("https://klasma.github.io/Logging_UPPVIDINGE/klagomålsmail/A 31375-2019.docx")</f>
        <v/>
      </c>
      <c r="X20">
        <f>HYPERLINK("https://klasma.github.io/Logging_UPPVIDINGE/tillsyn/A 31375-2019.docx")</f>
        <v/>
      </c>
      <c r="Y20">
        <f>HYPERLINK("https://klasma.github.io/Logging_UPPVIDINGE/tillsynsmail/A 31375-2019.docx")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45184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48542-2019.xlsx")</f>
        <v/>
      </c>
      <c r="T21">
        <f>HYPERLINK("https://klasma.github.io/Logging_UPPVIDINGE/kartor/A 48542-2019.png")</f>
        <v/>
      </c>
      <c r="U21">
        <f>HYPERLINK("https://klasma.github.io/Logging_UPPVIDINGE/knärot/A 48542-2019.png")</f>
        <v/>
      </c>
      <c r="V21">
        <f>HYPERLINK("https://klasma.github.io/Logging_UPPVIDINGE/klagomål/A 48542-2019.docx")</f>
        <v/>
      </c>
      <c r="W21">
        <f>HYPERLINK("https://klasma.github.io/Logging_UPPVIDINGE/klagomålsmail/A 48542-2019.docx")</f>
        <v/>
      </c>
      <c r="X21">
        <f>HYPERLINK("https://klasma.github.io/Logging_UPPVIDINGE/tillsyn/A 48542-2019.docx")</f>
        <v/>
      </c>
      <c r="Y21">
        <f>HYPERLINK("https://klasma.github.io/Logging_UPPVIDINGE/tillsynsmail/A 48542-2019.docx")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45184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17273-2020.xlsx")</f>
        <v/>
      </c>
      <c r="T22">
        <f>HYPERLINK("https://klasma.github.io/Logging_MARKARYD/kartor/A 17273-2020.png")</f>
        <v/>
      </c>
      <c r="V22">
        <f>HYPERLINK("https://klasma.github.io/Logging_MARKARYD/klagomål/A 17273-2020.docx")</f>
        <v/>
      </c>
      <c r="W22">
        <f>HYPERLINK("https://klasma.github.io/Logging_MARKARYD/klagomålsmail/A 17273-2020.docx")</f>
        <v/>
      </c>
      <c r="X22">
        <f>HYPERLINK("https://klasma.github.io/Logging_MARKARYD/tillsyn/A 17273-2020.docx")</f>
        <v/>
      </c>
      <c r="Y22">
        <f>HYPERLINK("https://klasma.github.io/Logging_MARKARYD/tillsynsmail/A 17273-2020.docx")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45184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39880-2020.xlsx")</f>
        <v/>
      </c>
      <c r="T23">
        <f>HYPERLINK("https://klasma.github.io/Logging_ALMHULT/kartor/A 39880-2020.png")</f>
        <v/>
      </c>
      <c r="V23">
        <f>HYPERLINK("https://klasma.github.io/Logging_ALMHULT/klagomål/A 39880-2020.docx")</f>
        <v/>
      </c>
      <c r="W23">
        <f>HYPERLINK("https://klasma.github.io/Logging_ALMHULT/klagomålsmail/A 39880-2020.docx")</f>
        <v/>
      </c>
      <c r="X23">
        <f>HYPERLINK("https://klasma.github.io/Logging_ALMHULT/tillsyn/A 39880-2020.docx")</f>
        <v/>
      </c>
      <c r="Y23">
        <f>HYPERLINK("https://klasma.github.io/Logging_ALMHULT/tillsynsmail/A 39880-2020.docx")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45184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54233-2020.xlsx")</f>
        <v/>
      </c>
      <c r="T24">
        <f>HYPERLINK("https://klasma.github.io/Logging_TINGSRYD/kartor/A 54233-2020.png")</f>
        <v/>
      </c>
      <c r="V24">
        <f>HYPERLINK("https://klasma.github.io/Logging_TINGSRYD/klagomål/A 54233-2020.docx")</f>
        <v/>
      </c>
      <c r="W24">
        <f>HYPERLINK("https://klasma.github.io/Logging_TINGSRYD/klagomålsmail/A 54233-2020.docx")</f>
        <v/>
      </c>
      <c r="X24">
        <f>HYPERLINK("https://klasma.github.io/Logging_TINGSRYD/tillsyn/A 54233-2020.docx")</f>
        <v/>
      </c>
      <c r="Y24">
        <f>HYPERLINK("https://klasma.github.io/Logging_TINGSRYD/tillsynsmail/A 54233-2020.docx")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45184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66733-2020.xlsx")</f>
        <v/>
      </c>
      <c r="T25">
        <f>HYPERLINK("https://klasma.github.io/Logging_UPPVIDINGE/kartor/A 66733-2020.png")</f>
        <v/>
      </c>
      <c r="U25">
        <f>HYPERLINK("https://klasma.github.io/Logging_UPPVIDINGE/knärot/A 66733-2020.png")</f>
        <v/>
      </c>
      <c r="V25">
        <f>HYPERLINK("https://klasma.github.io/Logging_UPPVIDINGE/klagomål/A 66733-2020.docx")</f>
        <v/>
      </c>
      <c r="W25">
        <f>HYPERLINK("https://klasma.github.io/Logging_UPPVIDINGE/klagomålsmail/A 66733-2020.docx")</f>
        <v/>
      </c>
      <c r="X25">
        <f>HYPERLINK("https://klasma.github.io/Logging_UPPVIDINGE/tillsyn/A 66733-2020.docx")</f>
        <v/>
      </c>
      <c r="Y25">
        <f>HYPERLINK("https://klasma.github.io/Logging_UPPVIDINGE/tillsynsmail/A 66733-2020.docx")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45184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12048-2021.xlsx")</f>
        <v/>
      </c>
      <c r="T26">
        <f>HYPERLINK("https://klasma.github.io/Logging_UPPVIDINGE/kartor/A 12048-2021.png")</f>
        <v/>
      </c>
      <c r="U26">
        <f>HYPERLINK("https://klasma.github.io/Logging_UPPVIDINGE/knärot/A 12048-2021.png")</f>
        <v/>
      </c>
      <c r="V26">
        <f>HYPERLINK("https://klasma.github.io/Logging_UPPVIDINGE/klagomål/A 12048-2021.docx")</f>
        <v/>
      </c>
      <c r="W26">
        <f>HYPERLINK("https://klasma.github.io/Logging_UPPVIDINGE/klagomålsmail/A 12048-2021.docx")</f>
        <v/>
      </c>
      <c r="X26">
        <f>HYPERLINK("https://klasma.github.io/Logging_UPPVIDINGE/tillsyn/A 12048-2021.docx")</f>
        <v/>
      </c>
      <c r="Y26">
        <f>HYPERLINK("https://klasma.github.io/Logging_UPPVIDINGE/tillsynsmail/A 12048-2021.docx")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45184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62812-2021.xlsx")</f>
        <v/>
      </c>
      <c r="T27">
        <f>HYPERLINK("https://klasma.github.io/Logging_UPPVIDINGE/kartor/A 62812-2021.png")</f>
        <v/>
      </c>
      <c r="V27">
        <f>HYPERLINK("https://klasma.github.io/Logging_UPPVIDINGE/klagomål/A 62812-2021.docx")</f>
        <v/>
      </c>
      <c r="W27">
        <f>HYPERLINK("https://klasma.github.io/Logging_UPPVIDINGE/klagomålsmail/A 62812-2021.docx")</f>
        <v/>
      </c>
      <c r="X27">
        <f>HYPERLINK("https://klasma.github.io/Logging_UPPVIDINGE/tillsyn/A 62812-2021.docx")</f>
        <v/>
      </c>
      <c r="Y27">
        <f>HYPERLINK("https://klasma.github.io/Logging_UPPVIDINGE/tillsynsmail/A 62812-2021.docx")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45184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42551-2018.xlsx")</f>
        <v/>
      </c>
      <c r="T28">
        <f>HYPERLINK("https://klasma.github.io/Logging_LJUNGBY/kartor/A 42551-2018.png")</f>
        <v/>
      </c>
      <c r="V28">
        <f>HYPERLINK("https://klasma.github.io/Logging_LJUNGBY/klagomål/A 42551-2018.docx")</f>
        <v/>
      </c>
      <c r="W28">
        <f>HYPERLINK("https://klasma.github.io/Logging_LJUNGBY/klagomålsmail/A 42551-2018.docx")</f>
        <v/>
      </c>
      <c r="X28">
        <f>HYPERLINK("https://klasma.github.io/Logging_LJUNGBY/tillsyn/A 42551-2018.docx")</f>
        <v/>
      </c>
      <c r="Y28">
        <f>HYPERLINK("https://klasma.github.io/Logging_LJUNGBY/tillsynsmail/A 42551-2018.docx")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45184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52330-2018.xlsx")</f>
        <v/>
      </c>
      <c r="T29">
        <f>HYPERLINK("https://klasma.github.io/Logging_UPPVIDINGE/kartor/A 52330-2018.png")</f>
        <v/>
      </c>
      <c r="V29">
        <f>HYPERLINK("https://klasma.github.io/Logging_UPPVIDINGE/klagomål/A 52330-2018.docx")</f>
        <v/>
      </c>
      <c r="W29">
        <f>HYPERLINK("https://klasma.github.io/Logging_UPPVIDINGE/klagomålsmail/A 52330-2018.docx")</f>
        <v/>
      </c>
      <c r="X29">
        <f>HYPERLINK("https://klasma.github.io/Logging_UPPVIDINGE/tillsyn/A 52330-2018.docx")</f>
        <v/>
      </c>
      <c r="Y29">
        <f>HYPERLINK("https://klasma.github.io/Logging_UPPVIDINGE/tillsynsmail/A 52330-2018.docx")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45184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51646-2019.xlsx")</f>
        <v/>
      </c>
      <c r="T30">
        <f>HYPERLINK("https://klasma.github.io/Logging_LJUNGBY/kartor/A 51646-2019.png")</f>
        <v/>
      </c>
      <c r="U30">
        <f>HYPERLINK("https://klasma.github.io/Logging_LJUNGBY/knärot/A 51646-2019.png")</f>
        <v/>
      </c>
      <c r="V30">
        <f>HYPERLINK("https://klasma.github.io/Logging_LJUNGBY/klagomål/A 51646-2019.docx")</f>
        <v/>
      </c>
      <c r="W30">
        <f>HYPERLINK("https://klasma.github.io/Logging_LJUNGBY/klagomålsmail/A 51646-2019.docx")</f>
        <v/>
      </c>
      <c r="X30">
        <f>HYPERLINK("https://klasma.github.io/Logging_LJUNGBY/tillsyn/A 51646-2019.docx")</f>
        <v/>
      </c>
      <c r="Y30">
        <f>HYPERLINK("https://klasma.github.io/Logging_LJUNGBY/tillsynsmail/A 51646-2019.docx")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45184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21810-2021.xlsx")</f>
        <v/>
      </c>
      <c r="T31">
        <f>HYPERLINK("https://klasma.github.io/Logging_ALVESTA/kartor/A 21810-2021.png")</f>
        <v/>
      </c>
      <c r="V31">
        <f>HYPERLINK("https://klasma.github.io/Logging_ALVESTA/klagomål/A 21810-2021.docx")</f>
        <v/>
      </c>
      <c r="W31">
        <f>HYPERLINK("https://klasma.github.io/Logging_ALVESTA/klagomålsmail/A 21810-2021.docx")</f>
        <v/>
      </c>
      <c r="X31">
        <f>HYPERLINK("https://klasma.github.io/Logging_ALVESTA/tillsyn/A 21810-2021.docx")</f>
        <v/>
      </c>
      <c r="Y31">
        <f>HYPERLINK("https://klasma.github.io/Logging_ALVESTA/tillsynsmail/A 21810-2021.docx")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45184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27619-2022.xlsx")</f>
        <v/>
      </c>
      <c r="T32">
        <f>HYPERLINK("https://klasma.github.io/Logging_MARKARYD/kartor/A 27619-2022.png")</f>
        <v/>
      </c>
      <c r="V32">
        <f>HYPERLINK("https://klasma.github.io/Logging_MARKARYD/klagomål/A 27619-2022.docx")</f>
        <v/>
      </c>
      <c r="W32">
        <f>HYPERLINK("https://klasma.github.io/Logging_MARKARYD/klagomålsmail/A 27619-2022.docx")</f>
        <v/>
      </c>
      <c r="X32">
        <f>HYPERLINK("https://klasma.github.io/Logging_MARKARYD/tillsyn/A 27619-2022.docx")</f>
        <v/>
      </c>
      <c r="Y32">
        <f>HYPERLINK("https://klasma.github.io/Logging_MARKARYD/tillsynsmail/A 27619-2022.docx")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45184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34130-2022.xlsx")</f>
        <v/>
      </c>
      <c r="T33">
        <f>HYPERLINK("https://klasma.github.io/Logging_TINGSRYD/kartor/A 34130-2022.png")</f>
        <v/>
      </c>
      <c r="V33">
        <f>HYPERLINK("https://klasma.github.io/Logging_TINGSRYD/klagomål/A 34130-2022.docx")</f>
        <v/>
      </c>
      <c r="W33">
        <f>HYPERLINK("https://klasma.github.io/Logging_TINGSRYD/klagomålsmail/A 34130-2022.docx")</f>
        <v/>
      </c>
      <c r="X33">
        <f>HYPERLINK("https://klasma.github.io/Logging_TINGSRYD/tillsyn/A 34130-2022.docx")</f>
        <v/>
      </c>
      <c r="Y33">
        <f>HYPERLINK("https://klasma.github.io/Logging_TINGSRYD/tillsynsmail/A 34130-2022.docx")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45184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11575-2023.xlsx")</f>
        <v/>
      </c>
      <c r="T34">
        <f>HYPERLINK("https://klasma.github.io/Logging_TINGSRYD/kartor/A 11575-2023.png")</f>
        <v/>
      </c>
      <c r="U34">
        <f>HYPERLINK("https://klasma.github.io/Logging_TINGSRYD/knärot/A 11575-2023.png")</f>
        <v/>
      </c>
      <c r="V34">
        <f>HYPERLINK("https://klasma.github.io/Logging_TINGSRYD/klagomål/A 11575-2023.docx")</f>
        <v/>
      </c>
      <c r="W34">
        <f>HYPERLINK("https://klasma.github.io/Logging_TINGSRYD/klagomålsmail/A 11575-2023.docx")</f>
        <v/>
      </c>
      <c r="X34">
        <f>HYPERLINK("https://klasma.github.io/Logging_TINGSRYD/tillsyn/A 11575-2023.docx")</f>
        <v/>
      </c>
      <c r="Y34">
        <f>HYPERLINK("https://klasma.github.io/Logging_TINGSRYD/tillsynsmail/A 11575-2023.docx")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45184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12013-2023.xlsx")</f>
        <v/>
      </c>
      <c r="T35">
        <f>HYPERLINK("https://klasma.github.io/Logging_UPPVIDINGE/kartor/A 12013-2023.png")</f>
        <v/>
      </c>
      <c r="U35">
        <f>HYPERLINK("https://klasma.github.io/Logging_UPPVIDINGE/knärot/A 12013-2023.png")</f>
        <v/>
      </c>
      <c r="V35">
        <f>HYPERLINK("https://klasma.github.io/Logging_UPPVIDINGE/klagomål/A 12013-2023.docx")</f>
        <v/>
      </c>
      <c r="W35">
        <f>HYPERLINK("https://klasma.github.io/Logging_UPPVIDINGE/klagomålsmail/A 12013-2023.docx")</f>
        <v/>
      </c>
      <c r="X35">
        <f>HYPERLINK("https://klasma.github.io/Logging_UPPVIDINGE/tillsyn/A 12013-2023.docx")</f>
        <v/>
      </c>
      <c r="Y35">
        <f>HYPERLINK("https://klasma.github.io/Logging_UPPVIDINGE/tillsynsmail/A 12013-2023.docx")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45184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24339-2023.xlsx")</f>
        <v/>
      </c>
      <c r="T36">
        <f>HYPERLINK("https://klasma.github.io/Logging_VAXJO/kartor/A 24339-2023.png")</f>
        <v/>
      </c>
      <c r="V36">
        <f>HYPERLINK("https://klasma.github.io/Logging_VAXJO/klagomål/A 24339-2023.docx")</f>
        <v/>
      </c>
      <c r="W36">
        <f>HYPERLINK("https://klasma.github.io/Logging_VAXJO/klagomålsmail/A 24339-2023.docx")</f>
        <v/>
      </c>
      <c r="X36">
        <f>HYPERLINK("https://klasma.github.io/Logging_VAXJO/tillsyn/A 24339-2023.docx")</f>
        <v/>
      </c>
      <c r="Y36">
        <f>HYPERLINK("https://klasma.github.io/Logging_VAXJO/tillsynsmail/A 24339-2023.docx")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45184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40960-2018.xlsx")</f>
        <v/>
      </c>
      <c r="T37">
        <f>HYPERLINK("https://klasma.github.io/Logging_VAXJO/kartor/A 40960-2018.png")</f>
        <v/>
      </c>
      <c r="V37">
        <f>HYPERLINK("https://klasma.github.io/Logging_VAXJO/klagomål/A 40960-2018.docx")</f>
        <v/>
      </c>
      <c r="W37">
        <f>HYPERLINK("https://klasma.github.io/Logging_VAXJO/klagomålsmail/A 40960-2018.docx")</f>
        <v/>
      </c>
      <c r="X37">
        <f>HYPERLINK("https://klasma.github.io/Logging_VAXJO/tillsyn/A 40960-2018.docx")</f>
        <v/>
      </c>
      <c r="Y37">
        <f>HYPERLINK("https://klasma.github.io/Logging_VAXJO/tillsynsmail/A 40960-2018.docx")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45184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59861-2018.xlsx")</f>
        <v/>
      </c>
      <c r="T38">
        <f>HYPERLINK("https://klasma.github.io/Logging_LJUNGBY/kartor/A 59861-2018.png")</f>
        <v/>
      </c>
      <c r="V38">
        <f>HYPERLINK("https://klasma.github.io/Logging_LJUNGBY/klagomål/A 59861-2018.docx")</f>
        <v/>
      </c>
      <c r="W38">
        <f>HYPERLINK("https://klasma.github.io/Logging_LJUNGBY/klagomålsmail/A 59861-2018.docx")</f>
        <v/>
      </c>
      <c r="X38">
        <f>HYPERLINK("https://klasma.github.io/Logging_LJUNGBY/tillsyn/A 59861-2018.docx")</f>
        <v/>
      </c>
      <c r="Y38">
        <f>HYPERLINK("https://klasma.github.io/Logging_LJUNGBY/tillsynsmail/A 59861-2018.docx")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45184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4723-2019.xlsx")</f>
        <v/>
      </c>
      <c r="T39">
        <f>HYPERLINK("https://klasma.github.io/Logging_VAXJO/kartor/A 4723-2019.png")</f>
        <v/>
      </c>
      <c r="V39">
        <f>HYPERLINK("https://klasma.github.io/Logging_VAXJO/klagomål/A 4723-2019.docx")</f>
        <v/>
      </c>
      <c r="W39">
        <f>HYPERLINK("https://klasma.github.io/Logging_VAXJO/klagomålsmail/A 4723-2019.docx")</f>
        <v/>
      </c>
      <c r="X39">
        <f>HYPERLINK("https://klasma.github.io/Logging_VAXJO/tillsyn/A 4723-2019.docx")</f>
        <v/>
      </c>
      <c r="Y39">
        <f>HYPERLINK("https://klasma.github.io/Logging_VAXJO/tillsynsmail/A 4723-2019.docx")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45184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4593-2019.xlsx")</f>
        <v/>
      </c>
      <c r="T40">
        <f>HYPERLINK("https://klasma.github.io/Logging_ALVESTA/kartor/A 4593-2019.png")</f>
        <v/>
      </c>
      <c r="V40">
        <f>HYPERLINK("https://klasma.github.io/Logging_ALVESTA/klagomål/A 4593-2019.docx")</f>
        <v/>
      </c>
      <c r="W40">
        <f>HYPERLINK("https://klasma.github.io/Logging_ALVESTA/klagomålsmail/A 4593-2019.docx")</f>
        <v/>
      </c>
      <c r="X40">
        <f>HYPERLINK("https://klasma.github.io/Logging_ALVESTA/tillsyn/A 4593-2019.docx")</f>
        <v/>
      </c>
      <c r="Y40">
        <f>HYPERLINK("https://klasma.github.io/Logging_ALVESTA/tillsynsmail/A 4593-2019.docx")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45184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7092-2019.xlsx")</f>
        <v/>
      </c>
      <c r="T41">
        <f>HYPERLINK("https://klasma.github.io/Logging_UPPVIDINGE/kartor/A 7092-2019.png")</f>
        <v/>
      </c>
      <c r="V41">
        <f>HYPERLINK("https://klasma.github.io/Logging_UPPVIDINGE/klagomål/A 7092-2019.docx")</f>
        <v/>
      </c>
      <c r="W41">
        <f>HYPERLINK("https://klasma.github.io/Logging_UPPVIDINGE/klagomålsmail/A 7092-2019.docx")</f>
        <v/>
      </c>
      <c r="X41">
        <f>HYPERLINK("https://klasma.github.io/Logging_UPPVIDINGE/tillsyn/A 7092-2019.docx")</f>
        <v/>
      </c>
      <c r="Y41">
        <f>HYPERLINK("https://klasma.github.io/Logging_UPPVIDINGE/tillsynsmail/A 7092-2019.docx")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45184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7555-2019.xlsx")</f>
        <v/>
      </c>
      <c r="T42">
        <f>HYPERLINK("https://klasma.github.io/Logging_VAXJO/kartor/A 7555-2019.png")</f>
        <v/>
      </c>
      <c r="V42">
        <f>HYPERLINK("https://klasma.github.io/Logging_VAXJO/klagomål/A 7555-2019.docx")</f>
        <v/>
      </c>
      <c r="W42">
        <f>HYPERLINK("https://klasma.github.io/Logging_VAXJO/klagomålsmail/A 7555-2019.docx")</f>
        <v/>
      </c>
      <c r="X42">
        <f>HYPERLINK("https://klasma.github.io/Logging_VAXJO/tillsyn/A 7555-2019.docx")</f>
        <v/>
      </c>
      <c r="Y42">
        <f>HYPERLINK("https://klasma.github.io/Logging_VAXJO/tillsynsmail/A 7555-2019.docx")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45184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17321-2019.xlsx")</f>
        <v/>
      </c>
      <c r="T43">
        <f>HYPERLINK("https://klasma.github.io/Logging_LJUNGBY/kartor/A 17321-2019.png")</f>
        <v/>
      </c>
      <c r="U43">
        <f>HYPERLINK("https://klasma.github.io/Logging_LJUNGBY/knärot/A 17321-2019.png")</f>
        <v/>
      </c>
      <c r="V43">
        <f>HYPERLINK("https://klasma.github.io/Logging_LJUNGBY/klagomål/A 17321-2019.docx")</f>
        <v/>
      </c>
      <c r="W43">
        <f>HYPERLINK("https://klasma.github.io/Logging_LJUNGBY/klagomålsmail/A 17321-2019.docx")</f>
        <v/>
      </c>
      <c r="X43">
        <f>HYPERLINK("https://klasma.github.io/Logging_LJUNGBY/tillsyn/A 17321-2019.docx")</f>
        <v/>
      </c>
      <c r="Y43">
        <f>HYPERLINK("https://klasma.github.io/Logging_LJUNGBY/tillsynsmail/A 17321-2019.docx")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45184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18593-2019.xlsx")</f>
        <v/>
      </c>
      <c r="T44">
        <f>HYPERLINK("https://klasma.github.io/Logging_ALVESTA/kartor/A 18593-2019.png")</f>
        <v/>
      </c>
      <c r="V44">
        <f>HYPERLINK("https://klasma.github.io/Logging_ALVESTA/klagomål/A 18593-2019.docx")</f>
        <v/>
      </c>
      <c r="W44">
        <f>HYPERLINK("https://klasma.github.io/Logging_ALVESTA/klagomålsmail/A 18593-2019.docx")</f>
        <v/>
      </c>
      <c r="X44">
        <f>HYPERLINK("https://klasma.github.io/Logging_ALVESTA/tillsyn/A 18593-2019.docx")</f>
        <v/>
      </c>
      <c r="Y44">
        <f>HYPERLINK("https://klasma.github.io/Logging_ALVESTA/tillsynsmail/A 18593-2019.docx")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45184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37015-2019.xlsx")</f>
        <v/>
      </c>
      <c r="T45">
        <f>HYPERLINK("https://klasma.github.io/Logging_VAXJO/kartor/A 37015-2019.png")</f>
        <v/>
      </c>
      <c r="V45">
        <f>HYPERLINK("https://klasma.github.io/Logging_VAXJO/klagomål/A 37015-2019.docx")</f>
        <v/>
      </c>
      <c r="W45">
        <f>HYPERLINK("https://klasma.github.io/Logging_VAXJO/klagomålsmail/A 37015-2019.docx")</f>
        <v/>
      </c>
      <c r="X45">
        <f>HYPERLINK("https://klasma.github.io/Logging_VAXJO/tillsyn/A 37015-2019.docx")</f>
        <v/>
      </c>
      <c r="Y45">
        <f>HYPERLINK("https://klasma.github.io/Logging_VAXJO/tillsynsmail/A 37015-2019.docx")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45184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40210-2019.xlsx")</f>
        <v/>
      </c>
      <c r="T46">
        <f>HYPERLINK("https://klasma.github.io/Logging_UPPVIDINGE/kartor/A 40210-2019.png")</f>
        <v/>
      </c>
      <c r="V46">
        <f>HYPERLINK("https://klasma.github.io/Logging_UPPVIDINGE/klagomål/A 40210-2019.docx")</f>
        <v/>
      </c>
      <c r="W46">
        <f>HYPERLINK("https://klasma.github.io/Logging_UPPVIDINGE/klagomålsmail/A 40210-2019.docx")</f>
        <v/>
      </c>
      <c r="X46">
        <f>HYPERLINK("https://klasma.github.io/Logging_UPPVIDINGE/tillsyn/A 40210-2019.docx")</f>
        <v/>
      </c>
      <c r="Y46">
        <f>HYPERLINK("https://klasma.github.io/Logging_UPPVIDINGE/tillsynsmail/A 40210-2019.docx")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45184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41523-2019.xlsx")</f>
        <v/>
      </c>
      <c r="T47">
        <f>HYPERLINK("https://klasma.github.io/Logging_LJUNGBY/kartor/A 41523-2019.png")</f>
        <v/>
      </c>
      <c r="V47">
        <f>HYPERLINK("https://klasma.github.io/Logging_LJUNGBY/klagomål/A 41523-2019.docx")</f>
        <v/>
      </c>
      <c r="W47">
        <f>HYPERLINK("https://klasma.github.io/Logging_LJUNGBY/klagomålsmail/A 41523-2019.docx")</f>
        <v/>
      </c>
      <c r="X47">
        <f>HYPERLINK("https://klasma.github.io/Logging_LJUNGBY/tillsyn/A 41523-2019.docx")</f>
        <v/>
      </c>
      <c r="Y47">
        <f>HYPERLINK("https://klasma.github.io/Logging_LJUNGBY/tillsynsmail/A 41523-2019.docx")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45184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48017-2019.xlsx")</f>
        <v/>
      </c>
      <c r="T48">
        <f>HYPERLINK("https://klasma.github.io/Logging_LJUNGBY/kartor/A 48017-2019.png")</f>
        <v/>
      </c>
      <c r="V48">
        <f>HYPERLINK("https://klasma.github.io/Logging_LJUNGBY/klagomål/A 48017-2019.docx")</f>
        <v/>
      </c>
      <c r="W48">
        <f>HYPERLINK("https://klasma.github.io/Logging_LJUNGBY/klagomålsmail/A 48017-2019.docx")</f>
        <v/>
      </c>
      <c r="X48">
        <f>HYPERLINK("https://klasma.github.io/Logging_LJUNGBY/tillsyn/A 48017-2019.docx")</f>
        <v/>
      </c>
      <c r="Y48">
        <f>HYPERLINK("https://klasma.github.io/Logging_LJUNGBY/tillsynsmail/A 48017-2019.docx")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45184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48668-2019.xlsx")</f>
        <v/>
      </c>
      <c r="T49">
        <f>HYPERLINK("https://klasma.github.io/Logging_ALVESTA/kartor/A 48668-2019.png")</f>
        <v/>
      </c>
      <c r="V49">
        <f>HYPERLINK("https://klasma.github.io/Logging_ALVESTA/klagomål/A 48668-2019.docx")</f>
        <v/>
      </c>
      <c r="W49">
        <f>HYPERLINK("https://klasma.github.io/Logging_ALVESTA/klagomålsmail/A 48668-2019.docx")</f>
        <v/>
      </c>
      <c r="X49">
        <f>HYPERLINK("https://klasma.github.io/Logging_ALVESTA/tillsyn/A 48668-2019.docx")</f>
        <v/>
      </c>
      <c r="Y49">
        <f>HYPERLINK("https://klasma.github.io/Logging_ALVESTA/tillsynsmail/A 48668-2019.docx")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45184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51645-2019.xlsx")</f>
        <v/>
      </c>
      <c r="T50">
        <f>HYPERLINK("https://klasma.github.io/Logging_LJUNGBY/kartor/A 51645-2019.png")</f>
        <v/>
      </c>
      <c r="U50">
        <f>HYPERLINK("https://klasma.github.io/Logging_LJUNGBY/knärot/A 51645-2019.png")</f>
        <v/>
      </c>
      <c r="V50">
        <f>HYPERLINK("https://klasma.github.io/Logging_LJUNGBY/klagomål/A 51645-2019.docx")</f>
        <v/>
      </c>
      <c r="W50">
        <f>HYPERLINK("https://klasma.github.io/Logging_LJUNGBY/klagomålsmail/A 51645-2019.docx")</f>
        <v/>
      </c>
      <c r="X50">
        <f>HYPERLINK("https://klasma.github.io/Logging_LJUNGBY/tillsyn/A 51645-2019.docx")</f>
        <v/>
      </c>
      <c r="Y50">
        <f>HYPERLINK("https://klasma.github.io/Logging_LJUNGBY/tillsynsmail/A 51645-2019.docx")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45184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66340-2019.xlsx")</f>
        <v/>
      </c>
      <c r="T51">
        <f>HYPERLINK("https://klasma.github.io/Logging_VAXJO/kartor/A 66340-2019.png")</f>
        <v/>
      </c>
      <c r="V51">
        <f>HYPERLINK("https://klasma.github.io/Logging_VAXJO/klagomål/A 66340-2019.docx")</f>
        <v/>
      </c>
      <c r="W51">
        <f>HYPERLINK("https://klasma.github.io/Logging_VAXJO/klagomålsmail/A 66340-2019.docx")</f>
        <v/>
      </c>
      <c r="X51">
        <f>HYPERLINK("https://klasma.github.io/Logging_VAXJO/tillsyn/A 66340-2019.docx")</f>
        <v/>
      </c>
      <c r="Y51">
        <f>HYPERLINK("https://klasma.github.io/Logging_VAXJO/tillsynsmail/A 66340-2019.docx")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45184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4736-2020.xlsx")</f>
        <v/>
      </c>
      <c r="T52">
        <f>HYPERLINK("https://klasma.github.io/Logging_TINGSRYD/kartor/A 4736-2020.png")</f>
        <v/>
      </c>
      <c r="U52">
        <f>HYPERLINK("https://klasma.github.io/Logging_TINGSRYD/knärot/A 4736-2020.png")</f>
        <v/>
      </c>
      <c r="V52">
        <f>HYPERLINK("https://klasma.github.io/Logging_TINGSRYD/klagomål/A 4736-2020.docx")</f>
        <v/>
      </c>
      <c r="W52">
        <f>HYPERLINK("https://klasma.github.io/Logging_TINGSRYD/klagomålsmail/A 4736-2020.docx")</f>
        <v/>
      </c>
      <c r="X52">
        <f>HYPERLINK("https://klasma.github.io/Logging_TINGSRYD/tillsyn/A 4736-2020.docx")</f>
        <v/>
      </c>
      <c r="Y52">
        <f>HYPERLINK("https://klasma.github.io/Logging_TINGSRYD/tillsynsmail/A 4736-2020.docx")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45184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24921-2020.xlsx")</f>
        <v/>
      </c>
      <c r="T53">
        <f>HYPERLINK("https://klasma.github.io/Logging_UPPVIDINGE/kartor/A 24921-2020.png")</f>
        <v/>
      </c>
      <c r="U53">
        <f>HYPERLINK("https://klasma.github.io/Logging_UPPVIDINGE/knärot/A 24921-2020.png")</f>
        <v/>
      </c>
      <c r="V53">
        <f>HYPERLINK("https://klasma.github.io/Logging_UPPVIDINGE/klagomål/A 24921-2020.docx")</f>
        <v/>
      </c>
      <c r="W53">
        <f>HYPERLINK("https://klasma.github.io/Logging_UPPVIDINGE/klagomålsmail/A 24921-2020.docx")</f>
        <v/>
      </c>
      <c r="X53">
        <f>HYPERLINK("https://klasma.github.io/Logging_UPPVIDINGE/tillsyn/A 24921-2020.docx")</f>
        <v/>
      </c>
      <c r="Y53">
        <f>HYPERLINK("https://klasma.github.io/Logging_UPPVIDINGE/tillsynsmail/A 24921-2020.docx")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45184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1809-2021.xlsx")</f>
        <v/>
      </c>
      <c r="T54">
        <f>HYPERLINK("https://klasma.github.io/Logging_UPPVIDINGE/kartor/A 1809-2021.png")</f>
        <v/>
      </c>
      <c r="V54">
        <f>HYPERLINK("https://klasma.github.io/Logging_UPPVIDINGE/klagomål/A 1809-2021.docx")</f>
        <v/>
      </c>
      <c r="W54">
        <f>HYPERLINK("https://klasma.github.io/Logging_UPPVIDINGE/klagomålsmail/A 1809-2021.docx")</f>
        <v/>
      </c>
      <c r="X54">
        <f>HYPERLINK("https://klasma.github.io/Logging_UPPVIDINGE/tillsyn/A 1809-2021.docx")</f>
        <v/>
      </c>
      <c r="Y54">
        <f>HYPERLINK("https://klasma.github.io/Logging_UPPVIDINGE/tillsynsmail/A 1809-2021.docx")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45184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2988-2021.xlsx")</f>
        <v/>
      </c>
      <c r="T55">
        <f>HYPERLINK("https://klasma.github.io/Logging_LJUNGBY/kartor/A 2988-2021.png")</f>
        <v/>
      </c>
      <c r="U55">
        <f>HYPERLINK("https://klasma.github.io/Logging_LJUNGBY/knärot/A 2988-2021.png")</f>
        <v/>
      </c>
      <c r="V55">
        <f>HYPERLINK("https://klasma.github.io/Logging_LJUNGBY/klagomål/A 2988-2021.docx")</f>
        <v/>
      </c>
      <c r="W55">
        <f>HYPERLINK("https://klasma.github.io/Logging_LJUNGBY/klagomålsmail/A 2988-2021.docx")</f>
        <v/>
      </c>
      <c r="X55">
        <f>HYPERLINK("https://klasma.github.io/Logging_LJUNGBY/tillsyn/A 2988-2021.docx")</f>
        <v/>
      </c>
      <c r="Y55">
        <f>HYPERLINK("https://klasma.github.io/Logging_LJUNGBY/tillsynsmail/A 2988-2021.docx")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45184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6379-2021.xlsx")</f>
        <v/>
      </c>
      <c r="T56">
        <f>HYPERLINK("https://klasma.github.io/Logging_VAXJO/kartor/A 6379-2021.png")</f>
        <v/>
      </c>
      <c r="V56">
        <f>HYPERLINK("https://klasma.github.io/Logging_VAXJO/klagomål/A 6379-2021.docx")</f>
        <v/>
      </c>
      <c r="W56">
        <f>HYPERLINK("https://klasma.github.io/Logging_VAXJO/klagomålsmail/A 6379-2021.docx")</f>
        <v/>
      </c>
      <c r="X56">
        <f>HYPERLINK("https://klasma.github.io/Logging_VAXJO/tillsyn/A 6379-2021.docx")</f>
        <v/>
      </c>
      <c r="Y56">
        <f>HYPERLINK("https://klasma.github.io/Logging_VAXJO/tillsynsmail/A 6379-2021.docx")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45184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10670-2021.xlsx")</f>
        <v/>
      </c>
      <c r="T57">
        <f>HYPERLINK("https://klasma.github.io/Logging_LJUNGBY/kartor/A 10670-2021.png")</f>
        <v/>
      </c>
      <c r="V57">
        <f>HYPERLINK("https://klasma.github.io/Logging_LJUNGBY/klagomål/A 10670-2021.docx")</f>
        <v/>
      </c>
      <c r="W57">
        <f>HYPERLINK("https://klasma.github.io/Logging_LJUNGBY/klagomålsmail/A 10670-2021.docx")</f>
        <v/>
      </c>
      <c r="X57">
        <f>HYPERLINK("https://klasma.github.io/Logging_LJUNGBY/tillsyn/A 10670-2021.docx")</f>
        <v/>
      </c>
      <c r="Y57">
        <f>HYPERLINK("https://klasma.github.io/Logging_LJUNGBY/tillsynsmail/A 10670-2021.docx")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45184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11648-2021.xlsx")</f>
        <v/>
      </c>
      <c r="T58">
        <f>HYPERLINK("https://klasma.github.io/Logging_VAXJO/kartor/A 11648-2021.png")</f>
        <v/>
      </c>
      <c r="V58">
        <f>HYPERLINK("https://klasma.github.io/Logging_VAXJO/klagomål/A 11648-2021.docx")</f>
        <v/>
      </c>
      <c r="W58">
        <f>HYPERLINK("https://klasma.github.io/Logging_VAXJO/klagomålsmail/A 11648-2021.docx")</f>
        <v/>
      </c>
      <c r="X58">
        <f>HYPERLINK("https://klasma.github.io/Logging_VAXJO/tillsyn/A 11648-2021.docx")</f>
        <v/>
      </c>
      <c r="Y58">
        <f>HYPERLINK("https://klasma.github.io/Logging_VAXJO/tillsynsmail/A 11648-2021.docx")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45184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18959-2021.xlsx")</f>
        <v/>
      </c>
      <c r="T59">
        <f>HYPERLINK("https://klasma.github.io/Logging_LESSEBO/kartor/A 18959-2021.png")</f>
        <v/>
      </c>
      <c r="V59">
        <f>HYPERLINK("https://klasma.github.io/Logging_LESSEBO/klagomål/A 18959-2021.docx")</f>
        <v/>
      </c>
      <c r="W59">
        <f>HYPERLINK("https://klasma.github.io/Logging_LESSEBO/klagomålsmail/A 18959-2021.docx")</f>
        <v/>
      </c>
      <c r="X59">
        <f>HYPERLINK("https://klasma.github.io/Logging_LESSEBO/tillsyn/A 18959-2021.docx")</f>
        <v/>
      </c>
      <c r="Y59">
        <f>HYPERLINK("https://klasma.github.io/Logging_LESSEBO/tillsynsmail/A 18959-2021.docx")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45184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20623-2021.xlsx")</f>
        <v/>
      </c>
      <c r="T60">
        <f>HYPERLINK("https://klasma.github.io/Logging_UPPVIDINGE/kartor/A 20623-2021.png")</f>
        <v/>
      </c>
      <c r="V60">
        <f>HYPERLINK("https://klasma.github.io/Logging_UPPVIDINGE/klagomål/A 20623-2021.docx")</f>
        <v/>
      </c>
      <c r="W60">
        <f>HYPERLINK("https://klasma.github.io/Logging_UPPVIDINGE/klagomålsmail/A 20623-2021.docx")</f>
        <v/>
      </c>
      <c r="X60">
        <f>HYPERLINK("https://klasma.github.io/Logging_UPPVIDINGE/tillsyn/A 20623-2021.docx")</f>
        <v/>
      </c>
      <c r="Y60">
        <f>HYPERLINK("https://klasma.github.io/Logging_UPPVIDINGE/tillsynsmail/A 20623-2021.docx")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45184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25716-2021.xlsx")</f>
        <v/>
      </c>
      <c r="T61">
        <f>HYPERLINK("https://klasma.github.io/Logging_LJUNGBY/kartor/A 25716-2021.png")</f>
        <v/>
      </c>
      <c r="U61">
        <f>HYPERLINK("https://klasma.github.io/Logging_LJUNGBY/knärot/A 25716-2021.png")</f>
        <v/>
      </c>
      <c r="V61">
        <f>HYPERLINK("https://klasma.github.io/Logging_LJUNGBY/klagomål/A 25716-2021.docx")</f>
        <v/>
      </c>
      <c r="W61">
        <f>HYPERLINK("https://klasma.github.io/Logging_LJUNGBY/klagomålsmail/A 25716-2021.docx")</f>
        <v/>
      </c>
      <c r="X61">
        <f>HYPERLINK("https://klasma.github.io/Logging_LJUNGBY/tillsyn/A 25716-2021.docx")</f>
        <v/>
      </c>
      <c r="Y61">
        <f>HYPERLINK("https://klasma.github.io/Logging_LJUNGBY/tillsynsmail/A 25716-2021.docx")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45184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49727-2021.xlsx")</f>
        <v/>
      </c>
      <c r="T62">
        <f>HYPERLINK("https://klasma.github.io/Logging_UPPVIDINGE/kartor/A 49727-2021.png")</f>
        <v/>
      </c>
      <c r="V62">
        <f>HYPERLINK("https://klasma.github.io/Logging_UPPVIDINGE/klagomål/A 49727-2021.docx")</f>
        <v/>
      </c>
      <c r="W62">
        <f>HYPERLINK("https://klasma.github.io/Logging_UPPVIDINGE/klagomålsmail/A 49727-2021.docx")</f>
        <v/>
      </c>
      <c r="X62">
        <f>HYPERLINK("https://klasma.github.io/Logging_UPPVIDINGE/tillsyn/A 49727-2021.docx")</f>
        <v/>
      </c>
      <c r="Y62">
        <f>HYPERLINK("https://klasma.github.io/Logging_UPPVIDINGE/tillsynsmail/A 49727-2021.docx")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45184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70221-2021.xlsx")</f>
        <v/>
      </c>
      <c r="T63">
        <f>HYPERLINK("https://klasma.github.io/Logging_ALVESTA/kartor/A 70221-2021.png")</f>
        <v/>
      </c>
      <c r="V63">
        <f>HYPERLINK("https://klasma.github.io/Logging_ALVESTA/klagomål/A 70221-2021.docx")</f>
        <v/>
      </c>
      <c r="W63">
        <f>HYPERLINK("https://klasma.github.io/Logging_ALVESTA/klagomålsmail/A 70221-2021.docx")</f>
        <v/>
      </c>
      <c r="X63">
        <f>HYPERLINK("https://klasma.github.io/Logging_ALVESTA/tillsyn/A 70221-2021.docx")</f>
        <v/>
      </c>
      <c r="Y63">
        <f>HYPERLINK("https://klasma.github.io/Logging_ALVESTA/tillsynsmail/A 70221-2021.docx")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45184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4825-2022.xlsx")</f>
        <v/>
      </c>
      <c r="T64">
        <f>HYPERLINK("https://klasma.github.io/Logging_ALVESTA/kartor/A 4825-2022.png")</f>
        <v/>
      </c>
      <c r="V64">
        <f>HYPERLINK("https://klasma.github.io/Logging_ALVESTA/klagomål/A 4825-2022.docx")</f>
        <v/>
      </c>
      <c r="W64">
        <f>HYPERLINK("https://klasma.github.io/Logging_ALVESTA/klagomålsmail/A 4825-2022.docx")</f>
        <v/>
      </c>
      <c r="X64">
        <f>HYPERLINK("https://klasma.github.io/Logging_ALVESTA/tillsyn/A 4825-2022.docx")</f>
        <v/>
      </c>
      <c r="Y64">
        <f>HYPERLINK("https://klasma.github.io/Logging_ALVESTA/tillsynsmail/A 4825-2022.docx")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45184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8314-2022.xlsx")</f>
        <v/>
      </c>
      <c r="T65">
        <f>HYPERLINK("https://klasma.github.io/Logging_LJUNGBY/kartor/A 8314-2022.png")</f>
        <v/>
      </c>
      <c r="V65">
        <f>HYPERLINK("https://klasma.github.io/Logging_LJUNGBY/klagomål/A 8314-2022.docx")</f>
        <v/>
      </c>
      <c r="W65">
        <f>HYPERLINK("https://klasma.github.io/Logging_LJUNGBY/klagomålsmail/A 8314-2022.docx")</f>
        <v/>
      </c>
      <c r="X65">
        <f>HYPERLINK("https://klasma.github.io/Logging_LJUNGBY/tillsyn/A 8314-2022.docx")</f>
        <v/>
      </c>
      <c r="Y65">
        <f>HYPERLINK("https://klasma.github.io/Logging_LJUNGBY/tillsynsmail/A 8314-2022.docx")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45184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39507-2022.xlsx")</f>
        <v/>
      </c>
      <c r="T66">
        <f>HYPERLINK("https://klasma.github.io/Logging_MARKARYD/kartor/A 39507-2022.png")</f>
        <v/>
      </c>
      <c r="V66">
        <f>HYPERLINK("https://klasma.github.io/Logging_MARKARYD/klagomål/A 39507-2022.docx")</f>
        <v/>
      </c>
      <c r="W66">
        <f>HYPERLINK("https://klasma.github.io/Logging_MARKARYD/klagomålsmail/A 39507-2022.docx")</f>
        <v/>
      </c>
      <c r="X66">
        <f>HYPERLINK("https://klasma.github.io/Logging_MARKARYD/tillsyn/A 39507-2022.docx")</f>
        <v/>
      </c>
      <c r="Y66">
        <f>HYPERLINK("https://klasma.github.io/Logging_MARKARYD/tillsynsmail/A 39507-2022.docx")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45184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41957-2022.xlsx")</f>
        <v/>
      </c>
      <c r="T67">
        <f>HYPERLINK("https://klasma.github.io/Logging_ALMHULT/kartor/A 41957-2022.png")</f>
        <v/>
      </c>
      <c r="V67">
        <f>HYPERLINK("https://klasma.github.io/Logging_ALMHULT/klagomål/A 41957-2022.docx")</f>
        <v/>
      </c>
      <c r="W67">
        <f>HYPERLINK("https://klasma.github.io/Logging_ALMHULT/klagomålsmail/A 41957-2022.docx")</f>
        <v/>
      </c>
      <c r="X67">
        <f>HYPERLINK("https://klasma.github.io/Logging_ALMHULT/tillsyn/A 41957-2022.docx")</f>
        <v/>
      </c>
      <c r="Y67">
        <f>HYPERLINK("https://klasma.github.io/Logging_ALMHULT/tillsynsmail/A 41957-2022.docx")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45184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42930-2022.xlsx")</f>
        <v/>
      </c>
      <c r="T68">
        <f>HYPERLINK("https://klasma.github.io/Logging_UPPVIDINGE/kartor/A 42930-2022.png")</f>
        <v/>
      </c>
      <c r="V68">
        <f>HYPERLINK("https://klasma.github.io/Logging_UPPVIDINGE/klagomål/A 42930-2022.docx")</f>
        <v/>
      </c>
      <c r="W68">
        <f>HYPERLINK("https://klasma.github.io/Logging_UPPVIDINGE/klagomålsmail/A 42930-2022.docx")</f>
        <v/>
      </c>
      <c r="X68">
        <f>HYPERLINK("https://klasma.github.io/Logging_UPPVIDINGE/tillsyn/A 42930-2022.docx")</f>
        <v/>
      </c>
      <c r="Y68">
        <f>HYPERLINK("https://klasma.github.io/Logging_UPPVIDINGE/tillsynsmail/A 42930-2022.docx")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45184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49737-2022.xlsx")</f>
        <v/>
      </c>
      <c r="T69">
        <f>HYPERLINK("https://klasma.github.io/Logging_UPPVIDINGE/kartor/A 49737-2022.png")</f>
        <v/>
      </c>
      <c r="V69">
        <f>HYPERLINK("https://klasma.github.io/Logging_UPPVIDINGE/klagomål/A 49737-2022.docx")</f>
        <v/>
      </c>
      <c r="W69">
        <f>HYPERLINK("https://klasma.github.io/Logging_UPPVIDINGE/klagomålsmail/A 49737-2022.docx")</f>
        <v/>
      </c>
      <c r="X69">
        <f>HYPERLINK("https://klasma.github.io/Logging_UPPVIDINGE/tillsyn/A 49737-2022.docx")</f>
        <v/>
      </c>
      <c r="Y69">
        <f>HYPERLINK("https://klasma.github.io/Logging_UPPVIDINGE/tillsynsmail/A 49737-2022.docx")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45184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51691-2022.xlsx")</f>
        <v/>
      </c>
      <c r="T70">
        <f>HYPERLINK("https://klasma.github.io/Logging_TINGSRYD/kartor/A 51691-2022.png")</f>
        <v/>
      </c>
      <c r="U70">
        <f>HYPERLINK("https://klasma.github.io/Logging_TINGSRYD/knärot/A 51691-2022.png")</f>
        <v/>
      </c>
      <c r="V70">
        <f>HYPERLINK("https://klasma.github.io/Logging_TINGSRYD/klagomål/A 51691-2022.docx")</f>
        <v/>
      </c>
      <c r="W70">
        <f>HYPERLINK("https://klasma.github.io/Logging_TINGSRYD/klagomålsmail/A 51691-2022.docx")</f>
        <v/>
      </c>
      <c r="X70">
        <f>HYPERLINK("https://klasma.github.io/Logging_TINGSRYD/tillsyn/A 51691-2022.docx")</f>
        <v/>
      </c>
      <c r="Y70">
        <f>HYPERLINK("https://klasma.github.io/Logging_TINGSRYD/tillsynsmail/A 51691-2022.docx")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45184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52816-2022.xlsx")</f>
        <v/>
      </c>
      <c r="T71">
        <f>HYPERLINK("https://klasma.github.io/Logging_ALVESTA/kartor/A 52816-2022.png")</f>
        <v/>
      </c>
      <c r="V71">
        <f>HYPERLINK("https://klasma.github.io/Logging_ALVESTA/klagomål/A 52816-2022.docx")</f>
        <v/>
      </c>
      <c r="W71">
        <f>HYPERLINK("https://klasma.github.io/Logging_ALVESTA/klagomålsmail/A 52816-2022.docx")</f>
        <v/>
      </c>
      <c r="X71">
        <f>HYPERLINK("https://klasma.github.io/Logging_ALVESTA/tillsyn/A 52816-2022.docx")</f>
        <v/>
      </c>
      <c r="Y71">
        <f>HYPERLINK("https://klasma.github.io/Logging_ALVESTA/tillsynsmail/A 52816-2022.docx")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45184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62341-2022.xlsx")</f>
        <v/>
      </c>
      <c r="T72">
        <f>HYPERLINK("https://klasma.github.io/Logging_UPPVIDINGE/kartor/A 62341-2022.png")</f>
        <v/>
      </c>
      <c r="V72">
        <f>HYPERLINK("https://klasma.github.io/Logging_UPPVIDINGE/klagomål/A 62341-2022.docx")</f>
        <v/>
      </c>
      <c r="W72">
        <f>HYPERLINK("https://klasma.github.io/Logging_UPPVIDINGE/klagomålsmail/A 62341-2022.docx")</f>
        <v/>
      </c>
      <c r="X72">
        <f>HYPERLINK("https://klasma.github.io/Logging_UPPVIDINGE/tillsyn/A 62341-2022.docx")</f>
        <v/>
      </c>
      <c r="Y72">
        <f>HYPERLINK("https://klasma.github.io/Logging_UPPVIDINGE/tillsynsmail/A 62341-2022.docx")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45184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1917-2023.xlsx")</f>
        <v/>
      </c>
      <c r="T73">
        <f>HYPERLINK("https://klasma.github.io/Logging_UPPVIDINGE/kartor/A 1917-2023.png")</f>
        <v/>
      </c>
      <c r="V73">
        <f>HYPERLINK("https://klasma.github.io/Logging_UPPVIDINGE/klagomål/A 1917-2023.docx")</f>
        <v/>
      </c>
      <c r="W73">
        <f>HYPERLINK("https://klasma.github.io/Logging_UPPVIDINGE/klagomålsmail/A 1917-2023.docx")</f>
        <v/>
      </c>
      <c r="X73">
        <f>HYPERLINK("https://klasma.github.io/Logging_UPPVIDINGE/tillsyn/A 1917-2023.docx")</f>
        <v/>
      </c>
      <c r="Y73">
        <f>HYPERLINK("https://klasma.github.io/Logging_UPPVIDINGE/tillsynsmail/A 1917-2023.docx")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45184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11855-2023.xlsx")</f>
        <v/>
      </c>
      <c r="T74">
        <f>HYPERLINK("https://klasma.github.io/Logging_LJUNGBY/kartor/A 11855-2023.png")</f>
        <v/>
      </c>
      <c r="V74">
        <f>HYPERLINK("https://klasma.github.io/Logging_LJUNGBY/klagomål/A 11855-2023.docx")</f>
        <v/>
      </c>
      <c r="W74">
        <f>HYPERLINK("https://klasma.github.io/Logging_LJUNGBY/klagomålsmail/A 11855-2023.docx")</f>
        <v/>
      </c>
      <c r="X74">
        <f>HYPERLINK("https://klasma.github.io/Logging_LJUNGBY/tillsyn/A 11855-2023.docx")</f>
        <v/>
      </c>
      <c r="Y74">
        <f>HYPERLINK("https://klasma.github.io/Logging_LJUNGBY/tillsynsmail/A 11855-2023.docx")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45184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24024-2023.xlsx")</f>
        <v/>
      </c>
      <c r="T75">
        <f>HYPERLINK("https://klasma.github.io/Logging_LJUNGBY/kartor/A 24024-2023.png")</f>
        <v/>
      </c>
      <c r="V75">
        <f>HYPERLINK("https://klasma.github.io/Logging_LJUNGBY/klagomål/A 24024-2023.docx")</f>
        <v/>
      </c>
      <c r="W75">
        <f>HYPERLINK("https://klasma.github.io/Logging_LJUNGBY/klagomålsmail/A 24024-2023.docx")</f>
        <v/>
      </c>
      <c r="X75">
        <f>HYPERLINK("https://klasma.github.io/Logging_LJUNGBY/tillsyn/A 24024-2023.docx")</f>
        <v/>
      </c>
      <c r="Y75">
        <f>HYPERLINK("https://klasma.github.io/Logging_LJUNGBY/tillsynsmail/A 24024-2023.docx")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45184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24031-2023.xlsx")</f>
        <v/>
      </c>
      <c r="T76">
        <f>HYPERLINK("https://klasma.github.io/Logging_LJUNGBY/kartor/A 24031-2023.png")</f>
        <v/>
      </c>
      <c r="V76">
        <f>HYPERLINK("https://klasma.github.io/Logging_LJUNGBY/klagomål/A 24031-2023.docx")</f>
        <v/>
      </c>
      <c r="W76">
        <f>HYPERLINK("https://klasma.github.io/Logging_LJUNGBY/klagomålsmail/A 24031-2023.docx")</f>
        <v/>
      </c>
      <c r="X76">
        <f>HYPERLINK("https://klasma.github.io/Logging_LJUNGBY/tillsyn/A 24031-2023.docx")</f>
        <v/>
      </c>
      <c r="Y76">
        <f>HYPERLINK("https://klasma.github.io/Logging_LJUNGBY/tillsynsmail/A 24031-2023.docx")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45184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26057-2023.xlsx")</f>
        <v/>
      </c>
      <c r="T77">
        <f>HYPERLINK("https://klasma.github.io/Logging_UPPVIDINGE/kartor/A 26057-2023.png")</f>
        <v/>
      </c>
      <c r="V77">
        <f>HYPERLINK("https://klasma.github.io/Logging_UPPVIDINGE/klagomål/A 26057-2023.docx")</f>
        <v/>
      </c>
      <c r="W77">
        <f>HYPERLINK("https://klasma.github.io/Logging_UPPVIDINGE/klagomålsmail/A 26057-2023.docx")</f>
        <v/>
      </c>
      <c r="X77">
        <f>HYPERLINK("https://klasma.github.io/Logging_UPPVIDINGE/tillsyn/A 26057-2023.docx")</f>
        <v/>
      </c>
      <c r="Y77">
        <f>HYPERLINK("https://klasma.github.io/Logging_UPPVIDINGE/tillsynsmail/A 26057-2023.docx")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45184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28468-2023.xlsx")</f>
        <v/>
      </c>
      <c r="T78">
        <f>HYPERLINK("https://klasma.github.io/Logging_UPPVIDINGE/kartor/A 28468-2023.png")</f>
        <v/>
      </c>
      <c r="V78">
        <f>HYPERLINK("https://klasma.github.io/Logging_UPPVIDINGE/klagomål/A 28468-2023.docx")</f>
        <v/>
      </c>
      <c r="W78">
        <f>HYPERLINK("https://klasma.github.io/Logging_UPPVIDINGE/klagomålsmail/A 28468-2023.docx")</f>
        <v/>
      </c>
      <c r="X78">
        <f>HYPERLINK("https://klasma.github.io/Logging_UPPVIDINGE/tillsyn/A 28468-2023.docx")</f>
        <v/>
      </c>
      <c r="Y78">
        <f>HYPERLINK("https://klasma.github.io/Logging_UPPVIDINGE/tillsynsmail/A 28468-2023.docx")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45184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37459-2018.xlsx")</f>
        <v/>
      </c>
      <c r="T79">
        <f>HYPERLINK("https://klasma.github.io/Logging_TINGSRYD/kartor/A 37459-2018.png")</f>
        <v/>
      </c>
      <c r="U79">
        <f>HYPERLINK("https://klasma.github.io/Logging_TINGSRYD/knärot/A 37459-2018.png")</f>
        <v/>
      </c>
      <c r="V79">
        <f>HYPERLINK("https://klasma.github.io/Logging_TINGSRYD/klagomål/A 37459-2018.docx")</f>
        <v/>
      </c>
      <c r="W79">
        <f>HYPERLINK("https://klasma.github.io/Logging_TINGSRYD/klagomålsmail/A 37459-2018.docx")</f>
        <v/>
      </c>
      <c r="X79">
        <f>HYPERLINK("https://klasma.github.io/Logging_TINGSRYD/tillsyn/A 37459-2018.docx")</f>
        <v/>
      </c>
      <c r="Y79">
        <f>HYPERLINK("https://klasma.github.io/Logging_TINGSRYD/tillsynsmail/A 37459-2018.docx")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45184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39453-2018.xlsx")</f>
        <v/>
      </c>
      <c r="T80">
        <f>HYPERLINK("https://klasma.github.io/Logging_LESSEBO/kartor/A 39453-2018.png")</f>
        <v/>
      </c>
      <c r="V80">
        <f>HYPERLINK("https://klasma.github.io/Logging_LESSEBO/klagomål/A 39453-2018.docx")</f>
        <v/>
      </c>
      <c r="W80">
        <f>HYPERLINK("https://klasma.github.io/Logging_LESSEBO/klagomålsmail/A 39453-2018.docx")</f>
        <v/>
      </c>
      <c r="X80">
        <f>HYPERLINK("https://klasma.github.io/Logging_LESSEBO/tillsyn/A 39453-2018.docx")</f>
        <v/>
      </c>
      <c r="Y80">
        <f>HYPERLINK("https://klasma.github.io/Logging_LESSEBO/tillsynsmail/A 39453-2018.docx")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45184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48695-2018.xlsx")</f>
        <v/>
      </c>
      <c r="T81">
        <f>HYPERLINK("https://klasma.github.io/Logging_LJUNGBY/kartor/A 48695-2018.png")</f>
        <v/>
      </c>
      <c r="V81">
        <f>HYPERLINK("https://klasma.github.io/Logging_LJUNGBY/klagomål/A 48695-2018.docx")</f>
        <v/>
      </c>
      <c r="W81">
        <f>HYPERLINK("https://klasma.github.io/Logging_LJUNGBY/klagomålsmail/A 48695-2018.docx")</f>
        <v/>
      </c>
      <c r="X81">
        <f>HYPERLINK("https://klasma.github.io/Logging_LJUNGBY/tillsyn/A 48695-2018.docx")</f>
        <v/>
      </c>
      <c r="Y81">
        <f>HYPERLINK("https://klasma.github.io/Logging_LJUNGBY/tillsynsmail/A 48695-2018.docx")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45184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54429-2018.xlsx")</f>
        <v/>
      </c>
      <c r="T82">
        <f>HYPERLINK("https://klasma.github.io/Logging_TINGSRYD/kartor/A 54429-2018.png")</f>
        <v/>
      </c>
      <c r="V82">
        <f>HYPERLINK("https://klasma.github.io/Logging_TINGSRYD/klagomål/A 54429-2018.docx")</f>
        <v/>
      </c>
      <c r="W82">
        <f>HYPERLINK("https://klasma.github.io/Logging_TINGSRYD/klagomålsmail/A 54429-2018.docx")</f>
        <v/>
      </c>
      <c r="X82">
        <f>HYPERLINK("https://klasma.github.io/Logging_TINGSRYD/tillsyn/A 54429-2018.docx")</f>
        <v/>
      </c>
      <c r="Y82">
        <f>HYPERLINK("https://klasma.github.io/Logging_TINGSRYD/tillsynsmail/A 54429-2018.docx")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45184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58421-2018.xlsx")</f>
        <v/>
      </c>
      <c r="T83">
        <f>HYPERLINK("https://klasma.github.io/Logging_VAXJO/kartor/A 58421-2018.png")</f>
        <v/>
      </c>
      <c r="V83">
        <f>HYPERLINK("https://klasma.github.io/Logging_VAXJO/klagomål/A 58421-2018.docx")</f>
        <v/>
      </c>
      <c r="W83">
        <f>HYPERLINK("https://klasma.github.io/Logging_VAXJO/klagomålsmail/A 58421-2018.docx")</f>
        <v/>
      </c>
      <c r="X83">
        <f>HYPERLINK("https://klasma.github.io/Logging_VAXJO/tillsyn/A 58421-2018.docx")</f>
        <v/>
      </c>
      <c r="Y83">
        <f>HYPERLINK("https://klasma.github.io/Logging_VAXJO/tillsynsmail/A 58421-2018.docx")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45184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58429-2018.xlsx")</f>
        <v/>
      </c>
      <c r="T84">
        <f>HYPERLINK("https://klasma.github.io/Logging_VAXJO/kartor/A 58429-2018.png")</f>
        <v/>
      </c>
      <c r="V84">
        <f>HYPERLINK("https://klasma.github.io/Logging_VAXJO/klagomål/A 58429-2018.docx")</f>
        <v/>
      </c>
      <c r="W84">
        <f>HYPERLINK("https://klasma.github.io/Logging_VAXJO/klagomålsmail/A 58429-2018.docx")</f>
        <v/>
      </c>
      <c r="X84">
        <f>HYPERLINK("https://klasma.github.io/Logging_VAXJO/tillsyn/A 58429-2018.docx")</f>
        <v/>
      </c>
      <c r="Y84">
        <f>HYPERLINK("https://klasma.github.io/Logging_VAXJO/tillsynsmail/A 58429-2018.docx")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45184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59150-2018.xlsx")</f>
        <v/>
      </c>
      <c r="T85">
        <f>HYPERLINK("https://klasma.github.io/Logging_VAXJO/kartor/A 59150-2018.png")</f>
        <v/>
      </c>
      <c r="V85">
        <f>HYPERLINK("https://klasma.github.io/Logging_VAXJO/klagomål/A 59150-2018.docx")</f>
        <v/>
      </c>
      <c r="W85">
        <f>HYPERLINK("https://klasma.github.io/Logging_VAXJO/klagomålsmail/A 59150-2018.docx")</f>
        <v/>
      </c>
      <c r="X85">
        <f>HYPERLINK("https://klasma.github.io/Logging_VAXJO/tillsyn/A 59150-2018.docx")</f>
        <v/>
      </c>
      <c r="Y85">
        <f>HYPERLINK("https://klasma.github.io/Logging_VAXJO/tillsynsmail/A 59150-2018.docx")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45184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59844-2018.xlsx")</f>
        <v/>
      </c>
      <c r="T86">
        <f>HYPERLINK("https://klasma.github.io/Logging_LESSEBO/kartor/A 59844-2018.png")</f>
        <v/>
      </c>
      <c r="V86">
        <f>HYPERLINK("https://klasma.github.io/Logging_LESSEBO/klagomål/A 59844-2018.docx")</f>
        <v/>
      </c>
      <c r="W86">
        <f>HYPERLINK("https://klasma.github.io/Logging_LESSEBO/klagomålsmail/A 59844-2018.docx")</f>
        <v/>
      </c>
      <c r="X86">
        <f>HYPERLINK("https://klasma.github.io/Logging_LESSEBO/tillsyn/A 59844-2018.docx")</f>
        <v/>
      </c>
      <c r="Y86">
        <f>HYPERLINK("https://klasma.github.io/Logging_LESSEBO/tillsynsmail/A 59844-2018.docx")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45184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61620-2018.xlsx")</f>
        <v/>
      </c>
      <c r="T87">
        <f>HYPERLINK("https://klasma.github.io/Logging_ALMHULT/kartor/A 61620-2018.png")</f>
        <v/>
      </c>
      <c r="V87">
        <f>HYPERLINK("https://klasma.github.io/Logging_ALMHULT/klagomål/A 61620-2018.docx")</f>
        <v/>
      </c>
      <c r="W87">
        <f>HYPERLINK("https://klasma.github.io/Logging_ALMHULT/klagomålsmail/A 61620-2018.docx")</f>
        <v/>
      </c>
      <c r="X87">
        <f>HYPERLINK("https://klasma.github.io/Logging_ALMHULT/tillsyn/A 61620-2018.docx")</f>
        <v/>
      </c>
      <c r="Y87">
        <f>HYPERLINK("https://klasma.github.io/Logging_ALMHULT/tillsynsmail/A 61620-2018.docx")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45184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64794-2018.xlsx")</f>
        <v/>
      </c>
      <c r="T88">
        <f>HYPERLINK("https://klasma.github.io/Logging_TINGSRYD/kartor/A 64794-2018.png")</f>
        <v/>
      </c>
      <c r="V88">
        <f>HYPERLINK("https://klasma.github.io/Logging_TINGSRYD/klagomål/A 64794-2018.docx")</f>
        <v/>
      </c>
      <c r="W88">
        <f>HYPERLINK("https://klasma.github.io/Logging_TINGSRYD/klagomålsmail/A 64794-2018.docx")</f>
        <v/>
      </c>
      <c r="X88">
        <f>HYPERLINK("https://klasma.github.io/Logging_TINGSRYD/tillsyn/A 64794-2018.docx")</f>
        <v/>
      </c>
      <c r="Y88">
        <f>HYPERLINK("https://klasma.github.io/Logging_TINGSRYD/tillsynsmail/A 64794-2018.docx")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45184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68145-2018.xlsx")</f>
        <v/>
      </c>
      <c r="T89">
        <f>HYPERLINK("https://klasma.github.io/Logging_VAXJO/kartor/A 68145-2018.png")</f>
        <v/>
      </c>
      <c r="V89">
        <f>HYPERLINK("https://klasma.github.io/Logging_VAXJO/klagomål/A 68145-2018.docx")</f>
        <v/>
      </c>
      <c r="W89">
        <f>HYPERLINK("https://klasma.github.io/Logging_VAXJO/klagomålsmail/A 68145-2018.docx")</f>
        <v/>
      </c>
      <c r="X89">
        <f>HYPERLINK("https://klasma.github.io/Logging_VAXJO/tillsyn/A 68145-2018.docx")</f>
        <v/>
      </c>
      <c r="Y89">
        <f>HYPERLINK("https://klasma.github.io/Logging_VAXJO/tillsynsmail/A 68145-2018.docx")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45184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69243-2018.xlsx")</f>
        <v/>
      </c>
      <c r="T90">
        <f>HYPERLINK("https://klasma.github.io/Logging_TINGSRYD/kartor/A 69243-2018.png")</f>
        <v/>
      </c>
      <c r="V90">
        <f>HYPERLINK("https://klasma.github.io/Logging_TINGSRYD/klagomål/A 69243-2018.docx")</f>
        <v/>
      </c>
      <c r="W90">
        <f>HYPERLINK("https://klasma.github.io/Logging_TINGSRYD/klagomålsmail/A 69243-2018.docx")</f>
        <v/>
      </c>
      <c r="X90">
        <f>HYPERLINK("https://klasma.github.io/Logging_TINGSRYD/tillsyn/A 69243-2018.docx")</f>
        <v/>
      </c>
      <c r="Y90">
        <f>HYPERLINK("https://klasma.github.io/Logging_TINGSRYD/tillsynsmail/A 69243-2018.docx")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45184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69561-2018.xlsx")</f>
        <v/>
      </c>
      <c r="T91">
        <f>HYPERLINK("https://klasma.github.io/Logging_VAXJO/kartor/A 69561-2018.png")</f>
        <v/>
      </c>
      <c r="V91">
        <f>HYPERLINK("https://klasma.github.io/Logging_VAXJO/klagomål/A 69561-2018.docx")</f>
        <v/>
      </c>
      <c r="W91">
        <f>HYPERLINK("https://klasma.github.io/Logging_VAXJO/klagomålsmail/A 69561-2018.docx")</f>
        <v/>
      </c>
      <c r="X91">
        <f>HYPERLINK("https://klasma.github.io/Logging_VAXJO/tillsyn/A 69561-2018.docx")</f>
        <v/>
      </c>
      <c r="Y91">
        <f>HYPERLINK("https://klasma.github.io/Logging_VAXJO/tillsynsmail/A 69561-2018.docx")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45184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71531-2018.xlsx")</f>
        <v/>
      </c>
      <c r="T92">
        <f>HYPERLINK("https://klasma.github.io/Logging_MARKARYD/kartor/A 71531-2018.png")</f>
        <v/>
      </c>
      <c r="U92">
        <f>HYPERLINK("https://klasma.github.io/Logging_MARKARYD/knärot/A 71531-2018.png")</f>
        <v/>
      </c>
      <c r="V92">
        <f>HYPERLINK("https://klasma.github.io/Logging_MARKARYD/klagomål/A 71531-2018.docx")</f>
        <v/>
      </c>
      <c r="W92">
        <f>HYPERLINK("https://klasma.github.io/Logging_MARKARYD/klagomålsmail/A 71531-2018.docx")</f>
        <v/>
      </c>
      <c r="X92">
        <f>HYPERLINK("https://klasma.github.io/Logging_MARKARYD/tillsyn/A 71531-2018.docx")</f>
        <v/>
      </c>
      <c r="Y92">
        <f>HYPERLINK("https://klasma.github.io/Logging_MARKARYD/tillsynsmail/A 71531-2018.docx")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45184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2159-2019.xlsx")</f>
        <v/>
      </c>
      <c r="T93">
        <f>HYPERLINK("https://klasma.github.io/Logging_ALVESTA/kartor/A 2159-2019.png")</f>
        <v/>
      </c>
      <c r="V93">
        <f>HYPERLINK("https://klasma.github.io/Logging_ALVESTA/klagomål/A 2159-2019.docx")</f>
        <v/>
      </c>
      <c r="W93">
        <f>HYPERLINK("https://klasma.github.io/Logging_ALVESTA/klagomålsmail/A 2159-2019.docx")</f>
        <v/>
      </c>
      <c r="X93">
        <f>HYPERLINK("https://klasma.github.io/Logging_ALVESTA/tillsyn/A 2159-2019.docx")</f>
        <v/>
      </c>
      <c r="Y93">
        <f>HYPERLINK("https://klasma.github.io/Logging_ALVESTA/tillsynsmail/A 2159-2019.docx")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45184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4955-2019.xlsx")</f>
        <v/>
      </c>
      <c r="T94">
        <f>HYPERLINK("https://klasma.github.io/Logging_UPPVIDINGE/kartor/A 4955-2019.png")</f>
        <v/>
      </c>
      <c r="V94">
        <f>HYPERLINK("https://klasma.github.io/Logging_UPPVIDINGE/klagomål/A 4955-2019.docx")</f>
        <v/>
      </c>
      <c r="W94">
        <f>HYPERLINK("https://klasma.github.io/Logging_UPPVIDINGE/klagomålsmail/A 4955-2019.docx")</f>
        <v/>
      </c>
      <c r="X94">
        <f>HYPERLINK("https://klasma.github.io/Logging_UPPVIDINGE/tillsyn/A 4955-2019.docx")</f>
        <v/>
      </c>
      <c r="Y94">
        <f>HYPERLINK("https://klasma.github.io/Logging_UPPVIDINGE/tillsynsmail/A 4955-2019.docx")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45184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4988-2019.xlsx")</f>
        <v/>
      </c>
      <c r="T95">
        <f>HYPERLINK("https://klasma.github.io/Logging_UPPVIDINGE/kartor/A 4988-2019.png")</f>
        <v/>
      </c>
      <c r="V95">
        <f>HYPERLINK("https://klasma.github.io/Logging_UPPVIDINGE/klagomål/A 4988-2019.docx")</f>
        <v/>
      </c>
      <c r="W95">
        <f>HYPERLINK("https://klasma.github.io/Logging_UPPVIDINGE/klagomålsmail/A 4988-2019.docx")</f>
        <v/>
      </c>
      <c r="X95">
        <f>HYPERLINK("https://klasma.github.io/Logging_UPPVIDINGE/tillsyn/A 4988-2019.docx")</f>
        <v/>
      </c>
      <c r="Y95">
        <f>HYPERLINK("https://klasma.github.io/Logging_UPPVIDINGE/tillsynsmail/A 4988-2019.docx")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45184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8437-2019.xlsx")</f>
        <v/>
      </c>
      <c r="T96">
        <f>HYPERLINK("https://klasma.github.io/Logging_ALVESTA/kartor/A 8437-2019.png")</f>
        <v/>
      </c>
      <c r="V96">
        <f>HYPERLINK("https://klasma.github.io/Logging_ALVESTA/klagomål/A 8437-2019.docx")</f>
        <v/>
      </c>
      <c r="W96">
        <f>HYPERLINK("https://klasma.github.io/Logging_ALVESTA/klagomålsmail/A 8437-2019.docx")</f>
        <v/>
      </c>
      <c r="X96">
        <f>HYPERLINK("https://klasma.github.io/Logging_ALVESTA/tillsyn/A 8437-2019.docx")</f>
        <v/>
      </c>
      <c r="Y96">
        <f>HYPERLINK("https://klasma.github.io/Logging_ALVESTA/tillsynsmail/A 8437-2019.docx")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45184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9887-2019.xlsx")</f>
        <v/>
      </c>
      <c r="T97">
        <f>HYPERLINK("https://klasma.github.io/Logging_UPPVIDINGE/kartor/A 9887-2019.png")</f>
        <v/>
      </c>
      <c r="V97">
        <f>HYPERLINK("https://klasma.github.io/Logging_UPPVIDINGE/klagomål/A 9887-2019.docx")</f>
        <v/>
      </c>
      <c r="W97">
        <f>HYPERLINK("https://klasma.github.io/Logging_UPPVIDINGE/klagomålsmail/A 9887-2019.docx")</f>
        <v/>
      </c>
      <c r="X97">
        <f>HYPERLINK("https://klasma.github.io/Logging_UPPVIDINGE/tillsyn/A 9887-2019.docx")</f>
        <v/>
      </c>
      <c r="Y97">
        <f>HYPERLINK("https://klasma.github.io/Logging_UPPVIDINGE/tillsynsmail/A 9887-2019.docx")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45184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10169-2019.xlsx")</f>
        <v/>
      </c>
      <c r="T98">
        <f>HYPERLINK("https://klasma.github.io/Logging_LJUNGBY/kartor/A 10169-2019.png")</f>
        <v/>
      </c>
      <c r="V98">
        <f>HYPERLINK("https://klasma.github.io/Logging_LJUNGBY/klagomål/A 10169-2019.docx")</f>
        <v/>
      </c>
      <c r="W98">
        <f>HYPERLINK("https://klasma.github.io/Logging_LJUNGBY/klagomålsmail/A 10169-2019.docx")</f>
        <v/>
      </c>
      <c r="X98">
        <f>HYPERLINK("https://klasma.github.io/Logging_LJUNGBY/tillsyn/A 10169-2019.docx")</f>
        <v/>
      </c>
      <c r="Y98">
        <f>HYPERLINK("https://klasma.github.io/Logging_LJUNGBY/tillsynsmail/A 10169-2019.docx")</f>
        <v/>
      </c>
    </row>
    <row r="99" ht="15" customHeight="1">
      <c r="A99" t="inlineStr">
        <is>
          <t>A 12414-2019</t>
        </is>
      </c>
      <c r="B99" s="1" t="n">
        <v>43523</v>
      </c>
      <c r="C99" s="1" t="n">
        <v>45184</v>
      </c>
      <c r="D99" t="inlineStr">
        <is>
          <t>KRONOBERGS LÄN</t>
        </is>
      </c>
      <c r="E99" t="inlineStr">
        <is>
          <t>ALVESTA</t>
        </is>
      </c>
      <c r="G99" t="n">
        <v>2.7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HYPERLINK("https://klasma.github.io/Logging_ALVESTA/artfynd/A 12414-2019.xlsx")</f>
        <v/>
      </c>
      <c r="T99">
        <f>HYPERLINK("https://klasma.github.io/Logging_ALVESTA/kartor/A 12414-2019.png")</f>
        <v/>
      </c>
      <c r="V99">
        <f>HYPERLINK("https://klasma.github.io/Logging_ALVESTA/klagomål/A 12414-2019.docx")</f>
        <v/>
      </c>
      <c r="W99">
        <f>HYPERLINK("https://klasma.github.io/Logging_ALVESTA/klagomålsmail/A 12414-2019.docx")</f>
        <v/>
      </c>
      <c r="X99">
        <f>HYPERLINK("https://klasma.github.io/Logging_ALVESTA/tillsyn/A 12414-2019.docx")</f>
        <v/>
      </c>
      <c r="Y99">
        <f>HYPERLINK("https://klasma.github.io/Logging_ALVESTA/tillsynsmail/A 12414-2019.docx")</f>
        <v/>
      </c>
    </row>
    <row r="100" ht="15" customHeight="1">
      <c r="A100" t="inlineStr">
        <is>
          <t>A 17331-2019</t>
        </is>
      </c>
      <c r="B100" s="1" t="n">
        <v>43550</v>
      </c>
      <c r="C100" s="1" t="n">
        <v>45184</v>
      </c>
      <c r="D100" t="inlineStr">
        <is>
          <t>KRONOBERGS LÄN</t>
        </is>
      </c>
      <c r="E100" t="inlineStr">
        <is>
          <t>LJUNGBY</t>
        </is>
      </c>
      <c r="G100" t="n">
        <v>6.9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HYPERLINK("https://klasma.github.io/Logging_LJUNGBY/artfynd/A 17331-2019.xlsx")</f>
        <v/>
      </c>
      <c r="T100">
        <f>HYPERLINK("https://klasma.github.io/Logging_LJUNGBY/kartor/A 17331-2019.png")</f>
        <v/>
      </c>
      <c r="U100">
        <f>HYPERLINK("https://klasma.github.io/Logging_LJUNGBY/knärot/A 17331-2019.png")</f>
        <v/>
      </c>
      <c r="V100">
        <f>HYPERLINK("https://klasma.github.io/Logging_LJUNGBY/klagomål/A 17331-2019.docx")</f>
        <v/>
      </c>
      <c r="W100">
        <f>HYPERLINK("https://klasma.github.io/Logging_LJUNGBY/klagomålsmail/A 17331-2019.docx")</f>
        <v/>
      </c>
      <c r="X100">
        <f>HYPERLINK("https://klasma.github.io/Logging_LJUNGBY/tillsyn/A 17331-2019.docx")</f>
        <v/>
      </c>
      <c r="Y100">
        <f>HYPERLINK("https://klasma.github.io/Logging_LJUNGBY/tillsynsmail/A 17331-2019.docx")</f>
        <v/>
      </c>
    </row>
    <row r="101" ht="15" customHeight="1">
      <c r="A101" t="inlineStr">
        <is>
          <t>A 18590-2019</t>
        </is>
      </c>
      <c r="B101" s="1" t="n">
        <v>43560</v>
      </c>
      <c r="C101" s="1" t="n">
        <v>45184</v>
      </c>
      <c r="D101" t="inlineStr">
        <is>
          <t>KRONOBERGS LÄN</t>
        </is>
      </c>
      <c r="E101" t="inlineStr">
        <is>
          <t>ALVESTA</t>
        </is>
      </c>
      <c r="F101" t="inlineStr">
        <is>
          <t>Kommuner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Gropticka</t>
        </is>
      </c>
      <c r="S101">
        <f>HYPERLINK("https://klasma.github.io/Logging_ALVESTA/artfynd/A 18590-2019.xlsx")</f>
        <v/>
      </c>
      <c r="T101">
        <f>HYPERLINK("https://klasma.github.io/Logging_ALVESTA/kartor/A 18590-2019.png")</f>
        <v/>
      </c>
      <c r="V101">
        <f>HYPERLINK("https://klasma.github.io/Logging_ALVESTA/klagomål/A 18590-2019.docx")</f>
        <v/>
      </c>
      <c r="W101">
        <f>HYPERLINK("https://klasma.github.io/Logging_ALVESTA/klagomålsmail/A 18590-2019.docx")</f>
        <v/>
      </c>
      <c r="X101">
        <f>HYPERLINK("https://klasma.github.io/Logging_ALVESTA/tillsyn/A 18590-2019.docx")</f>
        <v/>
      </c>
      <c r="Y101">
        <f>HYPERLINK("https://klasma.github.io/Logging_ALVESTA/tillsynsmail/A 18590-2019.docx")</f>
        <v/>
      </c>
    </row>
    <row r="102" ht="15" customHeight="1">
      <c r="A102" t="inlineStr">
        <is>
          <t>A 22170-2019</t>
        </is>
      </c>
      <c r="B102" s="1" t="n">
        <v>43585</v>
      </c>
      <c r="C102" s="1" t="n">
        <v>45184</v>
      </c>
      <c r="D102" t="inlineStr">
        <is>
          <t>KRONOBERGS LÄN</t>
        </is>
      </c>
      <c r="E102" t="inlineStr">
        <is>
          <t>TINGSRYD</t>
        </is>
      </c>
      <c r="G102" t="n">
        <v>2.8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Blåmossa</t>
        </is>
      </c>
      <c r="S102">
        <f>HYPERLINK("https://klasma.github.io/Logging_TINGSRYD/artfynd/A 22170-2019.xlsx")</f>
        <v/>
      </c>
      <c r="T102">
        <f>HYPERLINK("https://klasma.github.io/Logging_TINGSRYD/kartor/A 22170-2019.png")</f>
        <v/>
      </c>
      <c r="V102">
        <f>HYPERLINK("https://klasma.github.io/Logging_TINGSRYD/klagomål/A 22170-2019.docx")</f>
        <v/>
      </c>
      <c r="W102">
        <f>HYPERLINK("https://klasma.github.io/Logging_TINGSRYD/klagomålsmail/A 22170-2019.docx")</f>
        <v/>
      </c>
      <c r="X102">
        <f>HYPERLINK("https://klasma.github.io/Logging_TINGSRYD/tillsyn/A 22170-2019.docx")</f>
        <v/>
      </c>
      <c r="Y102">
        <f>HYPERLINK("https://klasma.github.io/Logging_TINGSRYD/tillsynsmail/A 22170-2019.docx")</f>
        <v/>
      </c>
    </row>
    <row r="103" ht="15" customHeight="1">
      <c r="A103" t="inlineStr">
        <is>
          <t>A 22980-2019</t>
        </is>
      </c>
      <c r="B103" s="1" t="n">
        <v>43591</v>
      </c>
      <c r="C103" s="1" t="n">
        <v>45184</v>
      </c>
      <c r="D103" t="inlineStr">
        <is>
          <t>KRONOBERGS LÄN</t>
        </is>
      </c>
      <c r="E103" t="inlineStr">
        <is>
          <t>ALVESTA</t>
        </is>
      </c>
      <c r="G103" t="n">
        <v>4.9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Svinrot</t>
        </is>
      </c>
      <c r="S103">
        <f>HYPERLINK("https://klasma.github.io/Logging_ALVESTA/artfynd/A 22980-2019.xlsx")</f>
        <v/>
      </c>
      <c r="T103">
        <f>HYPERLINK("https://klasma.github.io/Logging_ALVESTA/kartor/A 22980-2019.png")</f>
        <v/>
      </c>
      <c r="V103">
        <f>HYPERLINK("https://klasma.github.io/Logging_ALVESTA/klagomål/A 22980-2019.docx")</f>
        <v/>
      </c>
      <c r="W103">
        <f>HYPERLINK("https://klasma.github.io/Logging_ALVESTA/klagomålsmail/A 22980-2019.docx")</f>
        <v/>
      </c>
      <c r="X103">
        <f>HYPERLINK("https://klasma.github.io/Logging_ALVESTA/tillsyn/A 22980-2019.docx")</f>
        <v/>
      </c>
      <c r="Y103">
        <f>HYPERLINK("https://klasma.github.io/Logging_ALVESTA/tillsynsmail/A 22980-2019.docx")</f>
        <v/>
      </c>
    </row>
    <row r="104" ht="15" customHeight="1">
      <c r="A104" t="inlineStr">
        <is>
          <t>A 26557-2019</t>
        </is>
      </c>
      <c r="B104" s="1" t="n">
        <v>43612</v>
      </c>
      <c r="C104" s="1" t="n">
        <v>45184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Silkesslidskivling</t>
        </is>
      </c>
      <c r="S104">
        <f>HYPERLINK("https://klasma.github.io/Logging_ALVESTA/artfynd/A 26557-2019.xlsx")</f>
        <v/>
      </c>
      <c r="T104">
        <f>HYPERLINK("https://klasma.github.io/Logging_ALVESTA/kartor/A 26557-2019.png")</f>
        <v/>
      </c>
      <c r="V104">
        <f>HYPERLINK("https://klasma.github.io/Logging_ALVESTA/klagomål/A 26557-2019.docx")</f>
        <v/>
      </c>
      <c r="W104">
        <f>HYPERLINK("https://klasma.github.io/Logging_ALVESTA/klagomålsmail/A 26557-2019.docx")</f>
        <v/>
      </c>
      <c r="X104">
        <f>HYPERLINK("https://klasma.github.io/Logging_ALVESTA/tillsyn/A 26557-2019.docx")</f>
        <v/>
      </c>
      <c r="Y104">
        <f>HYPERLINK("https://klasma.github.io/Logging_ALVESTA/tillsynsmail/A 26557-2019.docx")</f>
        <v/>
      </c>
    </row>
    <row r="105" ht="15" customHeight="1">
      <c r="A105" t="inlineStr">
        <is>
          <t>A 29192-2019</t>
        </is>
      </c>
      <c r="B105" s="1" t="n">
        <v>43623</v>
      </c>
      <c r="C105" s="1" t="n">
        <v>45184</v>
      </c>
      <c r="D105" t="inlineStr">
        <is>
          <t>KRONOBERGS LÄN</t>
        </is>
      </c>
      <c r="E105" t="inlineStr">
        <is>
          <t>UPPVIDINGE</t>
        </is>
      </c>
      <c r="G105" t="n">
        <v>1.7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Blomkålssvamp</t>
        </is>
      </c>
      <c r="S105">
        <f>HYPERLINK("https://klasma.github.io/Logging_UPPVIDINGE/artfynd/A 29192-2019.xlsx")</f>
        <v/>
      </c>
      <c r="T105">
        <f>HYPERLINK("https://klasma.github.io/Logging_UPPVIDINGE/kartor/A 29192-2019.png")</f>
        <v/>
      </c>
      <c r="V105">
        <f>HYPERLINK("https://klasma.github.io/Logging_UPPVIDINGE/klagomål/A 29192-2019.docx")</f>
        <v/>
      </c>
      <c r="W105">
        <f>HYPERLINK("https://klasma.github.io/Logging_UPPVIDINGE/klagomålsmail/A 29192-2019.docx")</f>
        <v/>
      </c>
      <c r="X105">
        <f>HYPERLINK("https://klasma.github.io/Logging_UPPVIDINGE/tillsyn/A 29192-2019.docx")</f>
        <v/>
      </c>
      <c r="Y105">
        <f>HYPERLINK("https://klasma.github.io/Logging_UPPVIDINGE/tillsynsmail/A 29192-2019.docx")</f>
        <v/>
      </c>
    </row>
    <row r="106" ht="15" customHeight="1">
      <c r="A106" t="inlineStr">
        <is>
          <t>A 32517-2019</t>
        </is>
      </c>
      <c r="B106" s="1" t="n">
        <v>43646</v>
      </c>
      <c r="C106" s="1" t="n">
        <v>45184</v>
      </c>
      <c r="D106" t="inlineStr">
        <is>
          <t>KRONOBERGS LÄN</t>
        </is>
      </c>
      <c r="E106" t="inlineStr">
        <is>
          <t>VÄXJÖ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Slåttergubbe</t>
        </is>
      </c>
      <c r="S106">
        <f>HYPERLINK("https://klasma.github.io/Logging_VAXJO/artfynd/A 32517-2019.xlsx")</f>
        <v/>
      </c>
      <c r="T106">
        <f>HYPERLINK("https://klasma.github.io/Logging_VAXJO/kartor/A 32517-2019.png")</f>
        <v/>
      </c>
      <c r="V106">
        <f>HYPERLINK("https://klasma.github.io/Logging_VAXJO/klagomål/A 32517-2019.docx")</f>
        <v/>
      </c>
      <c r="W106">
        <f>HYPERLINK("https://klasma.github.io/Logging_VAXJO/klagomålsmail/A 32517-2019.docx")</f>
        <v/>
      </c>
      <c r="X106">
        <f>HYPERLINK("https://klasma.github.io/Logging_VAXJO/tillsyn/A 32517-2019.docx")</f>
        <v/>
      </c>
      <c r="Y106">
        <f>HYPERLINK("https://klasma.github.io/Logging_VAXJO/tillsynsmail/A 32517-2019.docx")</f>
        <v/>
      </c>
    </row>
    <row r="107" ht="15" customHeight="1">
      <c r="A107" t="inlineStr">
        <is>
          <t>A 40952-2019</t>
        </is>
      </c>
      <c r="B107" s="1" t="n">
        <v>43696</v>
      </c>
      <c r="C107" s="1" t="n">
        <v>45184</v>
      </c>
      <c r="D107" t="inlineStr">
        <is>
          <t>KRONOBERGS LÄN</t>
        </is>
      </c>
      <c r="E107" t="inlineStr">
        <is>
          <t>UPPVIDINGE</t>
        </is>
      </c>
      <c r="G107" t="n">
        <v>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Blåsippa</t>
        </is>
      </c>
      <c r="S107">
        <f>HYPERLINK("https://klasma.github.io/Logging_UPPVIDINGE/artfynd/A 40952-2019.xlsx")</f>
        <v/>
      </c>
      <c r="T107">
        <f>HYPERLINK("https://klasma.github.io/Logging_UPPVIDINGE/kartor/A 40952-2019.png")</f>
        <v/>
      </c>
      <c r="V107">
        <f>HYPERLINK("https://klasma.github.io/Logging_UPPVIDINGE/klagomål/A 40952-2019.docx")</f>
        <v/>
      </c>
      <c r="W107">
        <f>HYPERLINK("https://klasma.github.io/Logging_UPPVIDINGE/klagomålsmail/A 40952-2019.docx")</f>
        <v/>
      </c>
      <c r="X107">
        <f>HYPERLINK("https://klasma.github.io/Logging_UPPVIDINGE/tillsyn/A 40952-2019.docx")</f>
        <v/>
      </c>
      <c r="Y107">
        <f>HYPERLINK("https://klasma.github.io/Logging_UPPVIDINGE/tillsynsmail/A 40952-2019.docx")</f>
        <v/>
      </c>
    </row>
    <row r="108" ht="15" customHeight="1">
      <c r="A108" t="inlineStr">
        <is>
          <t>A 41158-2019</t>
        </is>
      </c>
      <c r="B108" s="1" t="n">
        <v>43698</v>
      </c>
      <c r="C108" s="1" t="n">
        <v>45184</v>
      </c>
      <c r="D108" t="inlineStr">
        <is>
          <t>KRONOBERGS LÄN</t>
        </is>
      </c>
      <c r="E108" t="inlineStr">
        <is>
          <t>VÄXJÖ</t>
        </is>
      </c>
      <c r="G108" t="n">
        <v>6.5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HYPERLINK("https://klasma.github.io/Logging_VAXJO/artfynd/A 41158-2019.xlsx")</f>
        <v/>
      </c>
      <c r="T108">
        <f>HYPERLINK("https://klasma.github.io/Logging_VAXJO/kartor/A 41158-2019.png")</f>
        <v/>
      </c>
      <c r="U108">
        <f>HYPERLINK("https://klasma.github.io/Logging_VAXJO/knärot/A 41158-2019.png")</f>
        <v/>
      </c>
      <c r="V108">
        <f>HYPERLINK("https://klasma.github.io/Logging_VAXJO/klagomål/A 41158-2019.docx")</f>
        <v/>
      </c>
      <c r="W108">
        <f>HYPERLINK("https://klasma.github.io/Logging_VAXJO/klagomålsmail/A 41158-2019.docx")</f>
        <v/>
      </c>
      <c r="X108">
        <f>HYPERLINK("https://klasma.github.io/Logging_VAXJO/tillsyn/A 41158-2019.docx")</f>
        <v/>
      </c>
      <c r="Y108">
        <f>HYPERLINK("https://klasma.github.io/Logging_VAXJO/tillsynsmail/A 41158-2019.docx")</f>
        <v/>
      </c>
    </row>
    <row r="109" ht="15" customHeight="1">
      <c r="A109" t="inlineStr">
        <is>
          <t>A 53911-2019</t>
        </is>
      </c>
      <c r="B109" s="1" t="n">
        <v>43741</v>
      </c>
      <c r="C109" s="1" t="n">
        <v>45184</v>
      </c>
      <c r="D109" t="inlineStr">
        <is>
          <t>KRONOBERGS LÄN</t>
        </is>
      </c>
      <c r="E109" t="inlineStr">
        <is>
          <t>ALVESTA</t>
        </is>
      </c>
      <c r="G109" t="n">
        <v>24.1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Sotlav</t>
        </is>
      </c>
      <c r="S109">
        <f>HYPERLINK("https://klasma.github.io/Logging_ALVESTA/artfynd/A 53911-2019.xlsx")</f>
        <v/>
      </c>
      <c r="T109">
        <f>HYPERLINK("https://klasma.github.io/Logging_ALVESTA/kartor/A 53911-2019.png")</f>
        <v/>
      </c>
      <c r="V109">
        <f>HYPERLINK("https://klasma.github.io/Logging_ALVESTA/klagomål/A 53911-2019.docx")</f>
        <v/>
      </c>
      <c r="W109">
        <f>HYPERLINK("https://klasma.github.io/Logging_ALVESTA/klagomålsmail/A 53911-2019.docx")</f>
        <v/>
      </c>
      <c r="X109">
        <f>HYPERLINK("https://klasma.github.io/Logging_ALVESTA/tillsyn/A 53911-2019.docx")</f>
        <v/>
      </c>
      <c r="Y109">
        <f>HYPERLINK("https://klasma.github.io/Logging_ALVESTA/tillsynsmail/A 53911-2019.docx")</f>
        <v/>
      </c>
    </row>
    <row r="110" ht="15" customHeight="1">
      <c r="A110" t="inlineStr">
        <is>
          <t>A 54638-2019</t>
        </is>
      </c>
      <c r="B110" s="1" t="n">
        <v>43748</v>
      </c>
      <c r="C110" s="1" t="n">
        <v>45184</v>
      </c>
      <c r="D110" t="inlineStr">
        <is>
          <t>KRONOBERGS LÄN</t>
        </is>
      </c>
      <c r="E110" t="inlineStr">
        <is>
          <t>LJUNGBY</t>
        </is>
      </c>
      <c r="G110" t="n">
        <v>12.3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Hasselmus</t>
        </is>
      </c>
      <c r="S110">
        <f>HYPERLINK("https://klasma.github.io/Logging_LJUNGBY/artfynd/A 54638-2019.xlsx")</f>
        <v/>
      </c>
      <c r="T110">
        <f>HYPERLINK("https://klasma.github.io/Logging_LJUNGBY/kartor/A 54638-2019.png")</f>
        <v/>
      </c>
      <c r="V110">
        <f>HYPERLINK("https://klasma.github.io/Logging_LJUNGBY/klagomål/A 54638-2019.docx")</f>
        <v/>
      </c>
      <c r="W110">
        <f>HYPERLINK("https://klasma.github.io/Logging_LJUNGBY/klagomålsmail/A 54638-2019.docx")</f>
        <v/>
      </c>
      <c r="X110">
        <f>HYPERLINK("https://klasma.github.io/Logging_LJUNGBY/tillsyn/A 54638-2019.docx")</f>
        <v/>
      </c>
      <c r="Y110">
        <f>HYPERLINK("https://klasma.github.io/Logging_LJUNGBY/tillsynsmail/A 54638-2019.docx")</f>
        <v/>
      </c>
    </row>
    <row r="111" ht="15" customHeight="1">
      <c r="A111" t="inlineStr">
        <is>
          <t>A 62203-2019</t>
        </is>
      </c>
      <c r="B111" s="1" t="n">
        <v>43788</v>
      </c>
      <c r="C111" s="1" t="n">
        <v>45184</v>
      </c>
      <c r="D111" t="inlineStr">
        <is>
          <t>KRONOBERGS LÄN</t>
        </is>
      </c>
      <c r="E111" t="inlineStr">
        <is>
          <t>LJUNGBY</t>
        </is>
      </c>
      <c r="G111" t="n">
        <v>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Nattviol</t>
        </is>
      </c>
      <c r="S111">
        <f>HYPERLINK("https://klasma.github.io/Logging_LJUNGBY/artfynd/A 62203-2019.xlsx")</f>
        <v/>
      </c>
      <c r="T111">
        <f>HYPERLINK("https://klasma.github.io/Logging_LJUNGBY/kartor/A 62203-2019.png")</f>
        <v/>
      </c>
      <c r="V111">
        <f>HYPERLINK("https://klasma.github.io/Logging_LJUNGBY/klagomål/A 62203-2019.docx")</f>
        <v/>
      </c>
      <c r="W111">
        <f>HYPERLINK("https://klasma.github.io/Logging_LJUNGBY/klagomålsmail/A 62203-2019.docx")</f>
        <v/>
      </c>
      <c r="X111">
        <f>HYPERLINK("https://klasma.github.io/Logging_LJUNGBY/tillsyn/A 62203-2019.docx")</f>
        <v/>
      </c>
      <c r="Y111">
        <f>HYPERLINK("https://klasma.github.io/Logging_LJUNGBY/tillsynsmail/A 62203-2019.docx")</f>
        <v/>
      </c>
    </row>
    <row r="112" ht="15" customHeight="1">
      <c r="A112" t="inlineStr">
        <is>
          <t>A 63168-2019</t>
        </is>
      </c>
      <c r="B112" s="1" t="n">
        <v>43791</v>
      </c>
      <c r="C112" s="1" t="n">
        <v>45184</v>
      </c>
      <c r="D112" t="inlineStr">
        <is>
          <t>KRONOBERGS LÄN</t>
        </is>
      </c>
      <c r="E112" t="inlineStr">
        <is>
          <t>UPPVIDINGE</t>
        </is>
      </c>
      <c r="G112" t="n">
        <v>7.4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HYPERLINK("https://klasma.github.io/Logging_UPPVIDINGE/artfynd/A 63168-2019.xlsx")</f>
        <v/>
      </c>
      <c r="T112">
        <f>HYPERLINK("https://klasma.github.io/Logging_UPPVIDINGE/kartor/A 63168-2019.png")</f>
        <v/>
      </c>
      <c r="U112">
        <f>HYPERLINK("https://klasma.github.io/Logging_UPPVIDINGE/knärot/A 63168-2019.png")</f>
        <v/>
      </c>
      <c r="V112">
        <f>HYPERLINK("https://klasma.github.io/Logging_UPPVIDINGE/klagomål/A 63168-2019.docx")</f>
        <v/>
      </c>
      <c r="W112">
        <f>HYPERLINK("https://klasma.github.io/Logging_UPPVIDINGE/klagomålsmail/A 63168-2019.docx")</f>
        <v/>
      </c>
      <c r="X112">
        <f>HYPERLINK("https://klasma.github.io/Logging_UPPVIDINGE/tillsyn/A 63168-2019.docx")</f>
        <v/>
      </c>
      <c r="Y112">
        <f>HYPERLINK("https://klasma.github.io/Logging_UPPVIDINGE/tillsynsmail/A 63168-2019.docx")</f>
        <v/>
      </c>
    </row>
    <row r="113" ht="15" customHeight="1">
      <c r="A113" t="inlineStr">
        <is>
          <t>A 63735-2019</t>
        </is>
      </c>
      <c r="B113" s="1" t="n">
        <v>43795</v>
      </c>
      <c r="C113" s="1" t="n">
        <v>45184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4.4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Mellanlummer</t>
        </is>
      </c>
      <c r="S113">
        <f>HYPERLINK("https://klasma.github.io/Logging_UPPVIDINGE/artfynd/A 63735-2019.xlsx")</f>
        <v/>
      </c>
      <c r="T113">
        <f>HYPERLINK("https://klasma.github.io/Logging_UPPVIDINGE/kartor/A 63735-2019.png")</f>
        <v/>
      </c>
      <c r="V113">
        <f>HYPERLINK("https://klasma.github.io/Logging_UPPVIDINGE/klagomål/A 63735-2019.docx")</f>
        <v/>
      </c>
      <c r="W113">
        <f>HYPERLINK("https://klasma.github.io/Logging_UPPVIDINGE/klagomålsmail/A 63735-2019.docx")</f>
        <v/>
      </c>
      <c r="X113">
        <f>HYPERLINK("https://klasma.github.io/Logging_UPPVIDINGE/tillsyn/A 63735-2019.docx")</f>
        <v/>
      </c>
      <c r="Y113">
        <f>HYPERLINK("https://klasma.github.io/Logging_UPPVIDINGE/tillsynsmail/A 63735-2019.docx")</f>
        <v/>
      </c>
    </row>
    <row r="114" ht="15" customHeight="1">
      <c r="A114" t="inlineStr">
        <is>
          <t>A 65143-2019</t>
        </is>
      </c>
      <c r="B114" s="1" t="n">
        <v>43802</v>
      </c>
      <c r="C114" s="1" t="n">
        <v>45184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2.8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Kopparödla</t>
        </is>
      </c>
      <c r="S114">
        <f>HYPERLINK("https://klasma.github.io/Logging_LESSEBO/artfynd/A 65143-2019.xlsx")</f>
        <v/>
      </c>
      <c r="T114">
        <f>HYPERLINK("https://klasma.github.io/Logging_LESSEBO/kartor/A 65143-2019.png")</f>
        <v/>
      </c>
      <c r="V114">
        <f>HYPERLINK("https://klasma.github.io/Logging_LESSEBO/klagomål/A 65143-2019.docx")</f>
        <v/>
      </c>
      <c r="W114">
        <f>HYPERLINK("https://klasma.github.io/Logging_LESSEBO/klagomålsmail/A 65143-2019.docx")</f>
        <v/>
      </c>
      <c r="X114">
        <f>HYPERLINK("https://klasma.github.io/Logging_LESSEBO/tillsyn/A 65143-2019.docx")</f>
        <v/>
      </c>
      <c r="Y114">
        <f>HYPERLINK("https://klasma.github.io/Logging_LESSEBO/tillsynsmail/A 65143-2019.docx")</f>
        <v/>
      </c>
    </row>
    <row r="115" ht="15" customHeight="1">
      <c r="A115" t="inlineStr">
        <is>
          <t>A 4757-2020</t>
        </is>
      </c>
      <c r="B115" s="1" t="n">
        <v>43850</v>
      </c>
      <c r="C115" s="1" t="n">
        <v>45184</v>
      </c>
      <c r="D115" t="inlineStr">
        <is>
          <t>KRONOBERGS LÄN</t>
        </is>
      </c>
      <c r="E115" t="inlineStr">
        <is>
          <t>UPPVIDINGE</t>
        </is>
      </c>
      <c r="F115" t="inlineStr">
        <is>
          <t>Kommuner</t>
        </is>
      </c>
      <c r="G115" t="n">
        <v>2.6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Granbräken</t>
        </is>
      </c>
      <c r="S115">
        <f>HYPERLINK("https://klasma.github.io/Logging_UPPVIDINGE/artfynd/A 4757-2020.xlsx")</f>
        <v/>
      </c>
      <c r="T115">
        <f>HYPERLINK("https://klasma.github.io/Logging_UPPVIDINGE/kartor/A 4757-2020.png")</f>
        <v/>
      </c>
      <c r="V115">
        <f>HYPERLINK("https://klasma.github.io/Logging_UPPVIDINGE/klagomål/A 4757-2020.docx")</f>
        <v/>
      </c>
      <c r="W115">
        <f>HYPERLINK("https://klasma.github.io/Logging_UPPVIDINGE/klagomålsmail/A 4757-2020.docx")</f>
        <v/>
      </c>
      <c r="X115">
        <f>HYPERLINK("https://klasma.github.io/Logging_UPPVIDINGE/tillsyn/A 4757-2020.docx")</f>
        <v/>
      </c>
      <c r="Y115">
        <f>HYPERLINK("https://klasma.github.io/Logging_UPPVIDINGE/tillsynsmail/A 4757-2020.docx")</f>
        <v/>
      </c>
    </row>
    <row r="116" ht="15" customHeight="1">
      <c r="A116" t="inlineStr">
        <is>
          <t>A 4022-2020</t>
        </is>
      </c>
      <c r="B116" s="1" t="n">
        <v>43857</v>
      </c>
      <c r="C116" s="1" t="n">
        <v>45184</v>
      </c>
      <c r="D116" t="inlineStr">
        <is>
          <t>KRONOBERGS LÄN</t>
        </is>
      </c>
      <c r="E116" t="inlineStr">
        <is>
          <t>TINGSRYD</t>
        </is>
      </c>
      <c r="G116" t="n">
        <v>1.5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Nattviol</t>
        </is>
      </c>
      <c r="S116">
        <f>HYPERLINK("https://klasma.github.io/Logging_TINGSRYD/artfynd/A 4022-2020.xlsx")</f>
        <v/>
      </c>
      <c r="T116">
        <f>HYPERLINK("https://klasma.github.io/Logging_TINGSRYD/kartor/A 4022-2020.png")</f>
        <v/>
      </c>
      <c r="V116">
        <f>HYPERLINK("https://klasma.github.io/Logging_TINGSRYD/klagomål/A 4022-2020.docx")</f>
        <v/>
      </c>
      <c r="W116">
        <f>HYPERLINK("https://klasma.github.io/Logging_TINGSRYD/klagomålsmail/A 4022-2020.docx")</f>
        <v/>
      </c>
      <c r="X116">
        <f>HYPERLINK("https://klasma.github.io/Logging_TINGSRYD/tillsyn/A 4022-2020.docx")</f>
        <v/>
      </c>
      <c r="Y116">
        <f>HYPERLINK("https://klasma.github.io/Logging_TINGSRYD/tillsynsmail/A 4022-2020.docx")</f>
        <v/>
      </c>
    </row>
    <row r="117" ht="15" customHeight="1">
      <c r="A117" t="inlineStr">
        <is>
          <t>A 5701-2020</t>
        </is>
      </c>
      <c r="B117" s="1" t="n">
        <v>43861</v>
      </c>
      <c r="C117" s="1" t="n">
        <v>45184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1</v>
      </c>
      <c r="R117" s="2" t="inlineStr">
        <is>
          <t>Knärot</t>
        </is>
      </c>
      <c r="S117">
        <f>HYPERLINK("https://klasma.github.io/Logging_UPPVIDINGE/artfynd/A 5701-2020.xlsx")</f>
        <v/>
      </c>
      <c r="T117">
        <f>HYPERLINK("https://klasma.github.io/Logging_UPPVIDINGE/kartor/A 5701-2020.png")</f>
        <v/>
      </c>
      <c r="U117">
        <f>HYPERLINK("https://klasma.github.io/Logging_UPPVIDINGE/knärot/A 5701-2020.png")</f>
        <v/>
      </c>
      <c r="V117">
        <f>HYPERLINK("https://klasma.github.io/Logging_UPPVIDINGE/klagomål/A 5701-2020.docx")</f>
        <v/>
      </c>
      <c r="W117">
        <f>HYPERLINK("https://klasma.github.io/Logging_UPPVIDINGE/klagomålsmail/A 5701-2020.docx")</f>
        <v/>
      </c>
      <c r="X117">
        <f>HYPERLINK("https://klasma.github.io/Logging_UPPVIDINGE/tillsyn/A 5701-2020.docx")</f>
        <v/>
      </c>
      <c r="Y117">
        <f>HYPERLINK("https://klasma.github.io/Logging_UPPVIDINGE/tillsynsmail/A 5701-2020.docx")</f>
        <v/>
      </c>
    </row>
    <row r="118" ht="15" customHeight="1">
      <c r="A118" t="inlineStr">
        <is>
          <t>A 13774-2020</t>
        </is>
      </c>
      <c r="B118" s="1" t="n">
        <v>43903</v>
      </c>
      <c r="C118" s="1" t="n">
        <v>45184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Mattlummer</t>
        </is>
      </c>
      <c r="S118">
        <f>HYPERLINK("https://klasma.github.io/Logging_TINGSRYD/artfynd/A 13774-2020.xlsx")</f>
        <v/>
      </c>
      <c r="T118">
        <f>HYPERLINK("https://klasma.github.io/Logging_TINGSRYD/kartor/A 13774-2020.png")</f>
        <v/>
      </c>
      <c r="V118">
        <f>HYPERLINK("https://klasma.github.io/Logging_TINGSRYD/klagomål/A 13774-2020.docx")</f>
        <v/>
      </c>
      <c r="W118">
        <f>HYPERLINK("https://klasma.github.io/Logging_TINGSRYD/klagomålsmail/A 13774-2020.docx")</f>
        <v/>
      </c>
      <c r="X118">
        <f>HYPERLINK("https://klasma.github.io/Logging_TINGSRYD/tillsyn/A 13774-2020.docx")</f>
        <v/>
      </c>
      <c r="Y118">
        <f>HYPERLINK("https://klasma.github.io/Logging_TINGSRYD/tillsynsmail/A 13774-2020.docx")</f>
        <v/>
      </c>
    </row>
    <row r="119" ht="15" customHeight="1">
      <c r="A119" t="inlineStr">
        <is>
          <t>A 24609-2020</t>
        </is>
      </c>
      <c r="B119" s="1" t="n">
        <v>43977</v>
      </c>
      <c r="C119" s="1" t="n">
        <v>45184</v>
      </c>
      <c r="D119" t="inlineStr">
        <is>
          <t>KRONOBERGS LÄN</t>
        </is>
      </c>
      <c r="E119" t="inlineStr">
        <is>
          <t>ÄLMHULT</t>
        </is>
      </c>
      <c r="G119" t="n">
        <v>1.3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Hårklomossa</t>
        </is>
      </c>
      <c r="S119">
        <f>HYPERLINK("https://klasma.github.io/Logging_ALMHULT/artfynd/A 24609-2020.xlsx")</f>
        <v/>
      </c>
      <c r="T119">
        <f>HYPERLINK("https://klasma.github.io/Logging_ALMHULT/kartor/A 24609-2020.png")</f>
        <v/>
      </c>
      <c r="V119">
        <f>HYPERLINK("https://klasma.github.io/Logging_ALMHULT/klagomål/A 24609-2020.docx")</f>
        <v/>
      </c>
      <c r="W119">
        <f>HYPERLINK("https://klasma.github.io/Logging_ALMHULT/klagomålsmail/A 24609-2020.docx")</f>
        <v/>
      </c>
      <c r="X119">
        <f>HYPERLINK("https://klasma.github.io/Logging_ALMHULT/tillsyn/A 24609-2020.docx")</f>
        <v/>
      </c>
      <c r="Y119">
        <f>HYPERLINK("https://klasma.github.io/Logging_ALMHULT/tillsynsmail/A 24609-2020.docx")</f>
        <v/>
      </c>
    </row>
    <row r="120" ht="15" customHeight="1">
      <c r="A120" t="inlineStr">
        <is>
          <t>A 33646-2020</t>
        </is>
      </c>
      <c r="B120" s="1" t="n">
        <v>44022</v>
      </c>
      <c r="C120" s="1" t="n">
        <v>45184</v>
      </c>
      <c r="D120" t="inlineStr">
        <is>
          <t>KRONOBERGS LÄN</t>
        </is>
      </c>
      <c r="E120" t="inlineStr">
        <is>
          <t>UPPVIDINGE</t>
        </is>
      </c>
      <c r="G120" t="n">
        <v>1.4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Nattviol</t>
        </is>
      </c>
      <c r="S120">
        <f>HYPERLINK("https://klasma.github.io/Logging_UPPVIDINGE/artfynd/A 33646-2020.xlsx")</f>
        <v/>
      </c>
      <c r="T120">
        <f>HYPERLINK("https://klasma.github.io/Logging_UPPVIDINGE/kartor/A 33646-2020.png")</f>
        <v/>
      </c>
      <c r="V120">
        <f>HYPERLINK("https://klasma.github.io/Logging_UPPVIDINGE/klagomål/A 33646-2020.docx")</f>
        <v/>
      </c>
      <c r="W120">
        <f>HYPERLINK("https://klasma.github.io/Logging_UPPVIDINGE/klagomålsmail/A 33646-2020.docx")</f>
        <v/>
      </c>
      <c r="X120">
        <f>HYPERLINK("https://klasma.github.io/Logging_UPPVIDINGE/tillsyn/A 33646-2020.docx")</f>
        <v/>
      </c>
      <c r="Y120">
        <f>HYPERLINK("https://klasma.github.io/Logging_UPPVIDINGE/tillsynsmail/A 33646-2020.docx")</f>
        <v/>
      </c>
    </row>
    <row r="121" ht="15" customHeight="1">
      <c r="A121" t="inlineStr">
        <is>
          <t>A 34610-2020</t>
        </is>
      </c>
      <c r="B121" s="1" t="n">
        <v>44034</v>
      </c>
      <c r="C121" s="1" t="n">
        <v>45184</v>
      </c>
      <c r="D121" t="inlineStr">
        <is>
          <t>KRONOBERGS LÄN</t>
        </is>
      </c>
      <c r="E121" t="inlineStr">
        <is>
          <t>UPPVIDINGE</t>
        </is>
      </c>
      <c r="G121" t="n">
        <v>4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Utter</t>
        </is>
      </c>
      <c r="S121">
        <f>HYPERLINK("https://klasma.github.io/Logging_UPPVIDINGE/artfynd/A 34610-2020.xlsx")</f>
        <v/>
      </c>
      <c r="T121">
        <f>HYPERLINK("https://klasma.github.io/Logging_UPPVIDINGE/kartor/A 34610-2020.png")</f>
        <v/>
      </c>
      <c r="V121">
        <f>HYPERLINK("https://klasma.github.io/Logging_UPPVIDINGE/klagomål/A 34610-2020.docx")</f>
        <v/>
      </c>
      <c r="W121">
        <f>HYPERLINK("https://klasma.github.io/Logging_UPPVIDINGE/klagomålsmail/A 34610-2020.docx")</f>
        <v/>
      </c>
      <c r="X121">
        <f>HYPERLINK("https://klasma.github.io/Logging_UPPVIDINGE/tillsyn/A 34610-2020.docx")</f>
        <v/>
      </c>
      <c r="Y121">
        <f>HYPERLINK("https://klasma.github.io/Logging_UPPVIDINGE/tillsynsmail/A 34610-2020.docx")</f>
        <v/>
      </c>
    </row>
    <row r="122" ht="15" customHeight="1">
      <c r="A122" t="inlineStr">
        <is>
          <t>A 36311-2020</t>
        </is>
      </c>
      <c r="B122" s="1" t="n">
        <v>44049</v>
      </c>
      <c r="C122" s="1" t="n">
        <v>45184</v>
      </c>
      <c r="D122" t="inlineStr">
        <is>
          <t>KRONOBERGS LÄN</t>
        </is>
      </c>
      <c r="E122" t="inlineStr">
        <is>
          <t>ÄLMHULT</t>
        </is>
      </c>
      <c r="G122" t="n">
        <v>0.5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Blåsfliksmossa</t>
        </is>
      </c>
      <c r="S122">
        <f>HYPERLINK("https://klasma.github.io/Logging_ALMHULT/artfynd/A 36311-2020.xlsx")</f>
        <v/>
      </c>
      <c r="T122">
        <f>HYPERLINK("https://klasma.github.io/Logging_ALMHULT/kartor/A 36311-2020.png")</f>
        <v/>
      </c>
      <c r="V122">
        <f>HYPERLINK("https://klasma.github.io/Logging_ALMHULT/klagomål/A 36311-2020.docx")</f>
        <v/>
      </c>
      <c r="W122">
        <f>HYPERLINK("https://klasma.github.io/Logging_ALMHULT/klagomålsmail/A 36311-2020.docx")</f>
        <v/>
      </c>
      <c r="X122">
        <f>HYPERLINK("https://klasma.github.io/Logging_ALMHULT/tillsyn/A 36311-2020.docx")</f>
        <v/>
      </c>
      <c r="Y122">
        <f>HYPERLINK("https://klasma.github.io/Logging_ALMHULT/tillsynsmail/A 36311-2020.docx")</f>
        <v/>
      </c>
    </row>
    <row r="123" ht="15" customHeight="1">
      <c r="A123" t="inlineStr">
        <is>
          <t>A 37018-2020</t>
        </is>
      </c>
      <c r="B123" s="1" t="n">
        <v>44054</v>
      </c>
      <c r="C123" s="1" t="n">
        <v>45184</v>
      </c>
      <c r="D123" t="inlineStr">
        <is>
          <t>KRONOBERGS LÄN</t>
        </is>
      </c>
      <c r="E123" t="inlineStr">
        <is>
          <t>UPPVIDINGE</t>
        </is>
      </c>
      <c r="G123" t="n">
        <v>1.7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Granticka</t>
        </is>
      </c>
      <c r="S123">
        <f>HYPERLINK("https://klasma.github.io/Logging_UPPVIDINGE/artfynd/A 37018-2020.xlsx")</f>
        <v/>
      </c>
      <c r="T123">
        <f>HYPERLINK("https://klasma.github.io/Logging_UPPVIDINGE/kartor/A 37018-2020.png")</f>
        <v/>
      </c>
      <c r="V123">
        <f>HYPERLINK("https://klasma.github.io/Logging_UPPVIDINGE/klagomål/A 37018-2020.docx")</f>
        <v/>
      </c>
      <c r="W123">
        <f>HYPERLINK("https://klasma.github.io/Logging_UPPVIDINGE/klagomålsmail/A 37018-2020.docx")</f>
        <v/>
      </c>
      <c r="X123">
        <f>HYPERLINK("https://klasma.github.io/Logging_UPPVIDINGE/tillsyn/A 37018-2020.docx")</f>
        <v/>
      </c>
      <c r="Y123">
        <f>HYPERLINK("https://klasma.github.io/Logging_UPPVIDINGE/tillsynsmail/A 37018-2020.docx")</f>
        <v/>
      </c>
    </row>
    <row r="124" ht="15" customHeight="1">
      <c r="A124" t="inlineStr">
        <is>
          <t>A 41394-2020</t>
        </is>
      </c>
      <c r="B124" s="1" t="n">
        <v>44073</v>
      </c>
      <c r="C124" s="1" t="n">
        <v>45184</v>
      </c>
      <c r="D124" t="inlineStr">
        <is>
          <t>KRONOBERGS LÄN</t>
        </is>
      </c>
      <c r="E124" t="inlineStr">
        <is>
          <t>UPPVIDINGE</t>
        </is>
      </c>
      <c r="G124" t="n">
        <v>7.1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Nattviol</t>
        </is>
      </c>
      <c r="S124">
        <f>HYPERLINK("https://klasma.github.io/Logging_UPPVIDINGE/artfynd/A 41394-2020.xlsx")</f>
        <v/>
      </c>
      <c r="T124">
        <f>HYPERLINK("https://klasma.github.io/Logging_UPPVIDINGE/kartor/A 41394-2020.png")</f>
        <v/>
      </c>
      <c r="V124">
        <f>HYPERLINK("https://klasma.github.io/Logging_UPPVIDINGE/klagomål/A 41394-2020.docx")</f>
        <v/>
      </c>
      <c r="W124">
        <f>HYPERLINK("https://klasma.github.io/Logging_UPPVIDINGE/klagomålsmail/A 41394-2020.docx")</f>
        <v/>
      </c>
      <c r="X124">
        <f>HYPERLINK("https://klasma.github.io/Logging_UPPVIDINGE/tillsyn/A 41394-2020.docx")</f>
        <v/>
      </c>
      <c r="Y124">
        <f>HYPERLINK("https://klasma.github.io/Logging_UPPVIDINGE/tillsynsmail/A 41394-2020.docx")</f>
        <v/>
      </c>
    </row>
    <row r="125" ht="15" customHeight="1">
      <c r="A125" t="inlineStr">
        <is>
          <t>A 45420-2020</t>
        </is>
      </c>
      <c r="B125" s="1" t="n">
        <v>44089</v>
      </c>
      <c r="C125" s="1" t="n">
        <v>45184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Ljungögontröst</t>
        </is>
      </c>
      <c r="S125">
        <f>HYPERLINK("https://klasma.github.io/Logging_UPPVIDINGE/artfynd/A 45420-2020.xlsx")</f>
        <v/>
      </c>
      <c r="T125">
        <f>HYPERLINK("https://klasma.github.io/Logging_UPPVIDINGE/kartor/A 45420-2020.png")</f>
        <v/>
      </c>
      <c r="V125">
        <f>HYPERLINK("https://klasma.github.io/Logging_UPPVIDINGE/klagomål/A 45420-2020.docx")</f>
        <v/>
      </c>
      <c r="W125">
        <f>HYPERLINK("https://klasma.github.io/Logging_UPPVIDINGE/klagomålsmail/A 45420-2020.docx")</f>
        <v/>
      </c>
      <c r="X125">
        <f>HYPERLINK("https://klasma.github.io/Logging_UPPVIDINGE/tillsyn/A 45420-2020.docx")</f>
        <v/>
      </c>
      <c r="Y125">
        <f>HYPERLINK("https://klasma.github.io/Logging_UPPVIDINGE/tillsynsmail/A 45420-2020.docx")</f>
        <v/>
      </c>
    </row>
    <row r="126" ht="15" customHeight="1">
      <c r="A126" t="inlineStr">
        <is>
          <t>A 45886-2020</t>
        </is>
      </c>
      <c r="B126" s="1" t="n">
        <v>44091</v>
      </c>
      <c r="C126" s="1" t="n">
        <v>45184</v>
      </c>
      <c r="D126" t="inlineStr">
        <is>
          <t>KRONOBERGS LÄN</t>
        </is>
      </c>
      <c r="E126" t="inlineStr">
        <is>
          <t>UPPVIDINGE</t>
        </is>
      </c>
      <c r="G126" t="n">
        <v>1.9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Hagfingersvamp</t>
        </is>
      </c>
      <c r="S126">
        <f>HYPERLINK("https://klasma.github.io/Logging_UPPVIDINGE/artfynd/A 45886-2020.xlsx")</f>
        <v/>
      </c>
      <c r="T126">
        <f>HYPERLINK("https://klasma.github.io/Logging_UPPVIDINGE/kartor/A 45886-2020.png")</f>
        <v/>
      </c>
      <c r="V126">
        <f>HYPERLINK("https://klasma.github.io/Logging_UPPVIDINGE/klagomål/A 45886-2020.docx")</f>
        <v/>
      </c>
      <c r="W126">
        <f>HYPERLINK("https://klasma.github.io/Logging_UPPVIDINGE/klagomålsmail/A 45886-2020.docx")</f>
        <v/>
      </c>
      <c r="X126">
        <f>HYPERLINK("https://klasma.github.io/Logging_UPPVIDINGE/tillsyn/A 45886-2020.docx")</f>
        <v/>
      </c>
      <c r="Y126">
        <f>HYPERLINK("https://klasma.github.io/Logging_UPPVIDINGE/tillsynsmail/A 45886-2020.docx")</f>
        <v/>
      </c>
    </row>
    <row r="127" ht="15" customHeight="1">
      <c r="A127" t="inlineStr">
        <is>
          <t>A 47090-2020</t>
        </is>
      </c>
      <c r="B127" s="1" t="n">
        <v>44096</v>
      </c>
      <c r="C127" s="1" t="n">
        <v>45184</v>
      </c>
      <c r="D127" t="inlineStr">
        <is>
          <t>KRONOBERGS LÄN</t>
        </is>
      </c>
      <c r="E127" t="inlineStr">
        <is>
          <t>TINGSRYD</t>
        </is>
      </c>
      <c r="G127" t="n">
        <v>3.9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Huggorm</t>
        </is>
      </c>
      <c r="S127">
        <f>HYPERLINK("https://klasma.github.io/Logging_TINGSRYD/artfynd/A 47090-2020.xlsx")</f>
        <v/>
      </c>
      <c r="T127">
        <f>HYPERLINK("https://klasma.github.io/Logging_TINGSRYD/kartor/A 47090-2020.png")</f>
        <v/>
      </c>
      <c r="V127">
        <f>HYPERLINK("https://klasma.github.io/Logging_TINGSRYD/klagomål/A 47090-2020.docx")</f>
        <v/>
      </c>
      <c r="W127">
        <f>HYPERLINK("https://klasma.github.io/Logging_TINGSRYD/klagomålsmail/A 47090-2020.docx")</f>
        <v/>
      </c>
      <c r="X127">
        <f>HYPERLINK("https://klasma.github.io/Logging_TINGSRYD/tillsyn/A 47090-2020.docx")</f>
        <v/>
      </c>
      <c r="Y127">
        <f>HYPERLINK("https://klasma.github.io/Logging_TINGSRYD/tillsynsmail/A 47090-2020.docx")</f>
        <v/>
      </c>
    </row>
    <row r="128" ht="15" customHeight="1">
      <c r="A128" t="inlineStr">
        <is>
          <t>A 52984-2020</t>
        </is>
      </c>
      <c r="B128" s="1" t="n">
        <v>44119</v>
      </c>
      <c r="C128" s="1" t="n">
        <v>45184</v>
      </c>
      <c r="D128" t="inlineStr">
        <is>
          <t>KRONOBERGS LÄN</t>
        </is>
      </c>
      <c r="E128" t="inlineStr">
        <is>
          <t>UPPVIDINGE</t>
        </is>
      </c>
      <c r="G128" t="n">
        <v>3.3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52984-2020.xlsx")</f>
        <v/>
      </c>
      <c r="T128">
        <f>HYPERLINK("https://klasma.github.io/Logging_UPPVIDINGE/kartor/A 52984-2020.png")</f>
        <v/>
      </c>
      <c r="U128">
        <f>HYPERLINK("https://klasma.github.io/Logging_UPPVIDINGE/knärot/A 52984-2020.png")</f>
        <v/>
      </c>
      <c r="V128">
        <f>HYPERLINK("https://klasma.github.io/Logging_UPPVIDINGE/klagomål/A 52984-2020.docx")</f>
        <v/>
      </c>
      <c r="W128">
        <f>HYPERLINK("https://klasma.github.io/Logging_UPPVIDINGE/klagomålsmail/A 52984-2020.docx")</f>
        <v/>
      </c>
      <c r="X128">
        <f>HYPERLINK("https://klasma.github.io/Logging_UPPVIDINGE/tillsyn/A 52984-2020.docx")</f>
        <v/>
      </c>
      <c r="Y128">
        <f>HYPERLINK("https://klasma.github.io/Logging_UPPVIDINGE/tillsynsmail/A 52984-2020.docx")</f>
        <v/>
      </c>
    </row>
    <row r="129" ht="15" customHeight="1">
      <c r="A129" t="inlineStr">
        <is>
          <t>A 55805-2020</t>
        </is>
      </c>
      <c r="B129" s="1" t="n">
        <v>44132</v>
      </c>
      <c r="C129" s="1" t="n">
        <v>45184</v>
      </c>
      <c r="D129" t="inlineStr">
        <is>
          <t>KRONOBERGS LÄN</t>
        </is>
      </c>
      <c r="E129" t="inlineStr">
        <is>
          <t>UPPVIDINGE</t>
        </is>
      </c>
      <c r="G129" t="n">
        <v>5.7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55805-2020.xlsx")</f>
        <v/>
      </c>
      <c r="T129">
        <f>HYPERLINK("https://klasma.github.io/Logging_UPPVIDINGE/kartor/A 55805-2020.png")</f>
        <v/>
      </c>
      <c r="U129">
        <f>HYPERLINK("https://klasma.github.io/Logging_UPPVIDINGE/knärot/A 55805-2020.png")</f>
        <v/>
      </c>
      <c r="V129">
        <f>HYPERLINK("https://klasma.github.io/Logging_UPPVIDINGE/klagomål/A 55805-2020.docx")</f>
        <v/>
      </c>
      <c r="W129">
        <f>HYPERLINK("https://klasma.github.io/Logging_UPPVIDINGE/klagomålsmail/A 55805-2020.docx")</f>
        <v/>
      </c>
      <c r="X129">
        <f>HYPERLINK("https://klasma.github.io/Logging_UPPVIDINGE/tillsyn/A 55805-2020.docx")</f>
        <v/>
      </c>
      <c r="Y129">
        <f>HYPERLINK("https://klasma.github.io/Logging_UPPVIDINGE/tillsynsmail/A 55805-2020.docx")</f>
        <v/>
      </c>
    </row>
    <row r="130" ht="15" customHeight="1">
      <c r="A130" t="inlineStr">
        <is>
          <t>A 59685-2020</t>
        </is>
      </c>
      <c r="B130" s="1" t="n">
        <v>44151</v>
      </c>
      <c r="C130" s="1" t="n">
        <v>45184</v>
      </c>
      <c r="D130" t="inlineStr">
        <is>
          <t>KRONOBERGS LÄN</t>
        </is>
      </c>
      <c r="E130" t="inlineStr">
        <is>
          <t>LJUNGBY</t>
        </is>
      </c>
      <c r="G130" t="n">
        <v>1.2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Borsttåg</t>
        </is>
      </c>
      <c r="S130">
        <f>HYPERLINK("https://klasma.github.io/Logging_LJUNGBY/artfynd/A 59685-2020.xlsx")</f>
        <v/>
      </c>
      <c r="T130">
        <f>HYPERLINK("https://klasma.github.io/Logging_LJUNGBY/kartor/A 59685-2020.png")</f>
        <v/>
      </c>
      <c r="V130">
        <f>HYPERLINK("https://klasma.github.io/Logging_LJUNGBY/klagomål/A 59685-2020.docx")</f>
        <v/>
      </c>
      <c r="W130">
        <f>HYPERLINK("https://klasma.github.io/Logging_LJUNGBY/klagomålsmail/A 59685-2020.docx")</f>
        <v/>
      </c>
      <c r="X130">
        <f>HYPERLINK("https://klasma.github.io/Logging_LJUNGBY/tillsyn/A 59685-2020.docx")</f>
        <v/>
      </c>
      <c r="Y130">
        <f>HYPERLINK("https://klasma.github.io/Logging_LJUNGBY/tillsynsmail/A 59685-2020.docx")</f>
        <v/>
      </c>
    </row>
    <row r="131" ht="15" customHeight="1">
      <c r="A131" t="inlineStr">
        <is>
          <t>A 63385-2020</t>
        </is>
      </c>
      <c r="B131" s="1" t="n">
        <v>44160</v>
      </c>
      <c r="C131" s="1" t="n">
        <v>45184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Blodvaxskivling</t>
        </is>
      </c>
      <c r="S131">
        <f>HYPERLINK("https://klasma.github.io/Logging_UPPVIDINGE/artfynd/A 63385-2020.xlsx")</f>
        <v/>
      </c>
      <c r="T131">
        <f>HYPERLINK("https://klasma.github.io/Logging_UPPVIDINGE/kartor/A 63385-2020.png")</f>
        <v/>
      </c>
      <c r="V131">
        <f>HYPERLINK("https://klasma.github.io/Logging_UPPVIDINGE/klagomål/A 63385-2020.docx")</f>
        <v/>
      </c>
      <c r="W131">
        <f>HYPERLINK("https://klasma.github.io/Logging_UPPVIDINGE/klagomålsmail/A 63385-2020.docx")</f>
        <v/>
      </c>
      <c r="X131">
        <f>HYPERLINK("https://klasma.github.io/Logging_UPPVIDINGE/tillsyn/A 63385-2020.docx")</f>
        <v/>
      </c>
      <c r="Y131">
        <f>HYPERLINK("https://klasma.github.io/Logging_UPPVIDINGE/tillsynsmail/A 63385-2020.docx")</f>
        <v/>
      </c>
    </row>
    <row r="132" ht="15" customHeight="1">
      <c r="A132" t="inlineStr">
        <is>
          <t>A 62695-2020</t>
        </is>
      </c>
      <c r="B132" s="1" t="n">
        <v>44161</v>
      </c>
      <c r="C132" s="1" t="n">
        <v>45184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Mindre bastardsvärmare</t>
        </is>
      </c>
      <c r="S132">
        <f>HYPERLINK("https://klasma.github.io/Logging_VAXJO/artfynd/A 62695-2020.xlsx")</f>
        <v/>
      </c>
      <c r="T132">
        <f>HYPERLINK("https://klasma.github.io/Logging_VAXJO/kartor/A 62695-2020.png")</f>
        <v/>
      </c>
      <c r="V132">
        <f>HYPERLINK("https://klasma.github.io/Logging_VAXJO/klagomål/A 62695-2020.docx")</f>
        <v/>
      </c>
      <c r="W132">
        <f>HYPERLINK("https://klasma.github.io/Logging_VAXJO/klagomålsmail/A 62695-2020.docx")</f>
        <v/>
      </c>
      <c r="X132">
        <f>HYPERLINK("https://klasma.github.io/Logging_VAXJO/tillsyn/A 62695-2020.docx")</f>
        <v/>
      </c>
      <c r="Y132">
        <f>HYPERLINK("https://klasma.github.io/Logging_VAXJO/tillsynsmail/A 62695-2020.docx")</f>
        <v/>
      </c>
    </row>
    <row r="133" ht="15" customHeight="1">
      <c r="A133" t="inlineStr">
        <is>
          <t>A 69178-2020</t>
        </is>
      </c>
      <c r="B133" s="1" t="n">
        <v>44189</v>
      </c>
      <c r="C133" s="1" t="n">
        <v>45184</v>
      </c>
      <c r="D133" t="inlineStr">
        <is>
          <t>KRONOBERGS LÄN</t>
        </is>
      </c>
      <c r="E133" t="inlineStr">
        <is>
          <t>VÄXJÖ</t>
        </is>
      </c>
      <c r="G133" t="n">
        <v>1.1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Sävsparv</t>
        </is>
      </c>
      <c r="S133">
        <f>HYPERLINK("https://klasma.github.io/Logging_VAXJO/artfynd/A 69178-2020.xlsx")</f>
        <v/>
      </c>
      <c r="T133">
        <f>HYPERLINK("https://klasma.github.io/Logging_VAXJO/kartor/A 69178-2020.png")</f>
        <v/>
      </c>
      <c r="V133">
        <f>HYPERLINK("https://klasma.github.io/Logging_VAXJO/klagomål/A 69178-2020.docx")</f>
        <v/>
      </c>
      <c r="W133">
        <f>HYPERLINK("https://klasma.github.io/Logging_VAXJO/klagomålsmail/A 69178-2020.docx")</f>
        <v/>
      </c>
      <c r="X133">
        <f>HYPERLINK("https://klasma.github.io/Logging_VAXJO/tillsyn/A 69178-2020.docx")</f>
        <v/>
      </c>
      <c r="Y133">
        <f>HYPERLINK("https://klasma.github.io/Logging_VAXJO/tillsynsmail/A 69178-2020.docx")</f>
        <v/>
      </c>
    </row>
    <row r="134" ht="15" customHeight="1">
      <c r="A134" t="inlineStr">
        <is>
          <t>A 927-2021</t>
        </is>
      </c>
      <c r="B134" s="1" t="n">
        <v>44207</v>
      </c>
      <c r="C134" s="1" t="n">
        <v>45184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1.3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Revlummer</t>
        </is>
      </c>
      <c r="S134">
        <f>HYPERLINK("https://klasma.github.io/Logging_UPPVIDINGE/artfynd/A 927-2021.xlsx")</f>
        <v/>
      </c>
      <c r="T134">
        <f>HYPERLINK("https://klasma.github.io/Logging_UPPVIDINGE/kartor/A 927-2021.png")</f>
        <v/>
      </c>
      <c r="V134">
        <f>HYPERLINK("https://klasma.github.io/Logging_UPPVIDINGE/klagomål/A 927-2021.docx")</f>
        <v/>
      </c>
      <c r="W134">
        <f>HYPERLINK("https://klasma.github.io/Logging_UPPVIDINGE/klagomålsmail/A 927-2021.docx")</f>
        <v/>
      </c>
      <c r="X134">
        <f>HYPERLINK("https://klasma.github.io/Logging_UPPVIDINGE/tillsyn/A 927-2021.docx")</f>
        <v/>
      </c>
      <c r="Y134">
        <f>HYPERLINK("https://klasma.github.io/Logging_UPPVIDINGE/tillsynsmail/A 927-2021.docx")</f>
        <v/>
      </c>
    </row>
    <row r="135" ht="15" customHeight="1">
      <c r="A135" t="inlineStr">
        <is>
          <t>A 4737-2021</t>
        </is>
      </c>
      <c r="B135" s="1" t="n">
        <v>44225</v>
      </c>
      <c r="C135" s="1" t="n">
        <v>45184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5.4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Västlig hakmossa</t>
        </is>
      </c>
      <c r="S135">
        <f>HYPERLINK("https://klasma.github.io/Logging_UPPVIDINGE/artfynd/A 4737-2021.xlsx")</f>
        <v/>
      </c>
      <c r="T135">
        <f>HYPERLINK("https://klasma.github.io/Logging_UPPVIDINGE/kartor/A 4737-2021.png")</f>
        <v/>
      </c>
      <c r="V135">
        <f>HYPERLINK("https://klasma.github.io/Logging_UPPVIDINGE/klagomål/A 4737-2021.docx")</f>
        <v/>
      </c>
      <c r="W135">
        <f>HYPERLINK("https://klasma.github.io/Logging_UPPVIDINGE/klagomålsmail/A 4737-2021.docx")</f>
        <v/>
      </c>
      <c r="X135">
        <f>HYPERLINK("https://klasma.github.io/Logging_UPPVIDINGE/tillsyn/A 4737-2021.docx")</f>
        <v/>
      </c>
      <c r="Y135">
        <f>HYPERLINK("https://klasma.github.io/Logging_UPPVIDINGE/tillsynsmail/A 4737-2021.docx")</f>
        <v/>
      </c>
    </row>
    <row r="136" ht="15" customHeight="1">
      <c r="A136" t="inlineStr">
        <is>
          <t>A 5364-2021</t>
        </is>
      </c>
      <c r="B136" s="1" t="n">
        <v>44229</v>
      </c>
      <c r="C136" s="1" t="n">
        <v>45184</v>
      </c>
      <c r="D136" t="inlineStr">
        <is>
          <t>KRONOBERGS LÄN</t>
        </is>
      </c>
      <c r="E136" t="inlineStr">
        <is>
          <t>VÄXJÖ</t>
        </is>
      </c>
      <c r="G136" t="n">
        <v>1.3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Grönpyrola</t>
        </is>
      </c>
      <c r="S136">
        <f>HYPERLINK("https://klasma.github.io/Logging_VAXJO/artfynd/A 5364-2021.xlsx")</f>
        <v/>
      </c>
      <c r="T136">
        <f>HYPERLINK("https://klasma.github.io/Logging_VAXJO/kartor/A 5364-2021.png")</f>
        <v/>
      </c>
      <c r="V136">
        <f>HYPERLINK("https://klasma.github.io/Logging_VAXJO/klagomål/A 5364-2021.docx")</f>
        <v/>
      </c>
      <c r="W136">
        <f>HYPERLINK("https://klasma.github.io/Logging_VAXJO/klagomålsmail/A 5364-2021.docx")</f>
        <v/>
      </c>
      <c r="X136">
        <f>HYPERLINK("https://klasma.github.io/Logging_VAXJO/tillsyn/A 5364-2021.docx")</f>
        <v/>
      </c>
      <c r="Y136">
        <f>HYPERLINK("https://klasma.github.io/Logging_VAXJO/tillsynsmail/A 5364-2021.docx")</f>
        <v/>
      </c>
    </row>
    <row r="137" ht="15" customHeight="1">
      <c r="A137" t="inlineStr">
        <is>
          <t>A 6165-2021</t>
        </is>
      </c>
      <c r="B137" s="1" t="n">
        <v>44232</v>
      </c>
      <c r="C137" s="1" t="n">
        <v>45184</v>
      </c>
      <c r="D137" t="inlineStr">
        <is>
          <t>KRONOBERGS LÄN</t>
        </is>
      </c>
      <c r="E137" t="inlineStr">
        <is>
          <t>LJUNGBY</t>
        </is>
      </c>
      <c r="G137" t="n">
        <v>4.2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Spillkråka</t>
        </is>
      </c>
      <c r="S137">
        <f>HYPERLINK("https://klasma.github.io/Logging_LJUNGBY/artfynd/A 6165-2021.xlsx")</f>
        <v/>
      </c>
      <c r="T137">
        <f>HYPERLINK("https://klasma.github.io/Logging_LJUNGBY/kartor/A 6165-2021.png")</f>
        <v/>
      </c>
      <c r="V137">
        <f>HYPERLINK("https://klasma.github.io/Logging_LJUNGBY/klagomål/A 6165-2021.docx")</f>
        <v/>
      </c>
      <c r="W137">
        <f>HYPERLINK("https://klasma.github.io/Logging_LJUNGBY/klagomålsmail/A 6165-2021.docx")</f>
        <v/>
      </c>
      <c r="X137">
        <f>HYPERLINK("https://klasma.github.io/Logging_LJUNGBY/tillsyn/A 6165-2021.docx")</f>
        <v/>
      </c>
      <c r="Y137">
        <f>HYPERLINK("https://klasma.github.io/Logging_LJUNGBY/tillsynsmail/A 6165-2021.docx")</f>
        <v/>
      </c>
    </row>
    <row r="138" ht="15" customHeight="1">
      <c r="A138" t="inlineStr">
        <is>
          <t>A 7040-2021</t>
        </is>
      </c>
      <c r="B138" s="1" t="n">
        <v>44237</v>
      </c>
      <c r="C138" s="1" t="n">
        <v>45184</v>
      </c>
      <c r="D138" t="inlineStr">
        <is>
          <t>KRONOBERGS LÄN</t>
        </is>
      </c>
      <c r="E138" t="inlineStr">
        <is>
          <t>LJUNGBY</t>
        </is>
      </c>
      <c r="F138" t="inlineStr">
        <is>
          <t>Sveaskog</t>
        </is>
      </c>
      <c r="G138" t="n">
        <v>3.2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Skogsödla</t>
        </is>
      </c>
      <c r="S138">
        <f>HYPERLINK("https://klasma.github.io/Logging_LJUNGBY/artfynd/A 7040-2021.xlsx")</f>
        <v/>
      </c>
      <c r="T138">
        <f>HYPERLINK("https://klasma.github.io/Logging_LJUNGBY/kartor/A 7040-2021.png")</f>
        <v/>
      </c>
      <c r="V138">
        <f>HYPERLINK("https://klasma.github.io/Logging_LJUNGBY/klagomål/A 7040-2021.docx")</f>
        <v/>
      </c>
      <c r="W138">
        <f>HYPERLINK("https://klasma.github.io/Logging_LJUNGBY/klagomålsmail/A 7040-2021.docx")</f>
        <v/>
      </c>
      <c r="X138">
        <f>HYPERLINK("https://klasma.github.io/Logging_LJUNGBY/tillsyn/A 7040-2021.docx")</f>
        <v/>
      </c>
      <c r="Y138">
        <f>HYPERLINK("https://klasma.github.io/Logging_LJUNGBY/tillsynsmail/A 7040-2021.docx")</f>
        <v/>
      </c>
    </row>
    <row r="139" ht="15" customHeight="1">
      <c r="A139" t="inlineStr">
        <is>
          <t>A 16358-2021</t>
        </is>
      </c>
      <c r="B139" s="1" t="n">
        <v>44292</v>
      </c>
      <c r="C139" s="1" t="n">
        <v>45184</v>
      </c>
      <c r="D139" t="inlineStr">
        <is>
          <t>KRONOBERGS LÄN</t>
        </is>
      </c>
      <c r="E139" t="inlineStr">
        <is>
          <t>LJUNGBY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Slåttergubbe</t>
        </is>
      </c>
      <c r="S139">
        <f>HYPERLINK("https://klasma.github.io/Logging_LJUNGBY/artfynd/A 16358-2021.xlsx")</f>
        <v/>
      </c>
      <c r="T139">
        <f>HYPERLINK("https://klasma.github.io/Logging_LJUNGBY/kartor/A 16358-2021.png")</f>
        <v/>
      </c>
      <c r="V139">
        <f>HYPERLINK("https://klasma.github.io/Logging_LJUNGBY/klagomål/A 16358-2021.docx")</f>
        <v/>
      </c>
      <c r="W139">
        <f>HYPERLINK("https://klasma.github.io/Logging_LJUNGBY/klagomålsmail/A 16358-2021.docx")</f>
        <v/>
      </c>
      <c r="X139">
        <f>HYPERLINK("https://klasma.github.io/Logging_LJUNGBY/tillsyn/A 16358-2021.docx")</f>
        <v/>
      </c>
      <c r="Y139">
        <f>HYPERLINK("https://klasma.github.io/Logging_LJUNGBY/tillsynsmail/A 16358-2021.docx")</f>
        <v/>
      </c>
    </row>
    <row r="140" ht="15" customHeight="1">
      <c r="A140" t="inlineStr">
        <is>
          <t>A 16871-2021</t>
        </is>
      </c>
      <c r="B140" s="1" t="n">
        <v>44295</v>
      </c>
      <c r="C140" s="1" t="n">
        <v>45184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Brunpudrad nållav</t>
        </is>
      </c>
      <c r="S140">
        <f>HYPERLINK("https://klasma.github.io/Logging_UPPVIDINGE/artfynd/A 16871-2021.xlsx")</f>
        <v/>
      </c>
      <c r="T140">
        <f>HYPERLINK("https://klasma.github.io/Logging_UPPVIDINGE/kartor/A 16871-2021.png")</f>
        <v/>
      </c>
      <c r="V140">
        <f>HYPERLINK("https://klasma.github.io/Logging_UPPVIDINGE/klagomål/A 16871-2021.docx")</f>
        <v/>
      </c>
      <c r="W140">
        <f>HYPERLINK("https://klasma.github.io/Logging_UPPVIDINGE/klagomålsmail/A 16871-2021.docx")</f>
        <v/>
      </c>
      <c r="X140">
        <f>HYPERLINK("https://klasma.github.io/Logging_UPPVIDINGE/tillsyn/A 16871-2021.docx")</f>
        <v/>
      </c>
      <c r="Y140">
        <f>HYPERLINK("https://klasma.github.io/Logging_UPPVIDINGE/tillsynsmail/A 16871-2021.docx")</f>
        <v/>
      </c>
    </row>
    <row r="141" ht="15" customHeight="1">
      <c r="A141" t="inlineStr">
        <is>
          <t>A 21191-2021</t>
        </is>
      </c>
      <c r="B141" s="1" t="n">
        <v>44320</v>
      </c>
      <c r="C141" s="1" t="n">
        <v>45184</v>
      </c>
      <c r="D141" t="inlineStr">
        <is>
          <t>KRONOBERGS LÄN</t>
        </is>
      </c>
      <c r="E141" t="inlineStr">
        <is>
          <t>VÄXJÖ</t>
        </is>
      </c>
      <c r="G141" t="n">
        <v>3.6</v>
      </c>
      <c r="H141" t="n">
        <v>1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Knärot</t>
        </is>
      </c>
      <c r="S141">
        <f>HYPERLINK("https://klasma.github.io/Logging_VAXJO/artfynd/A 21191-2021.xlsx")</f>
        <v/>
      </c>
      <c r="T141">
        <f>HYPERLINK("https://klasma.github.io/Logging_VAXJO/kartor/A 21191-2021.png")</f>
        <v/>
      </c>
      <c r="U141">
        <f>HYPERLINK("https://klasma.github.io/Logging_VAXJO/knärot/A 21191-2021.png")</f>
        <v/>
      </c>
      <c r="V141">
        <f>HYPERLINK("https://klasma.github.io/Logging_VAXJO/klagomål/A 21191-2021.docx")</f>
        <v/>
      </c>
      <c r="W141">
        <f>HYPERLINK("https://klasma.github.io/Logging_VAXJO/klagomålsmail/A 21191-2021.docx")</f>
        <v/>
      </c>
      <c r="X141">
        <f>HYPERLINK("https://klasma.github.io/Logging_VAXJO/tillsyn/A 21191-2021.docx")</f>
        <v/>
      </c>
      <c r="Y141">
        <f>HYPERLINK("https://klasma.github.io/Logging_VAXJO/tillsynsmail/A 21191-2021.docx")</f>
        <v/>
      </c>
    </row>
    <row r="142" ht="15" customHeight="1">
      <c r="A142" t="inlineStr">
        <is>
          <t>A 32873-2021</t>
        </is>
      </c>
      <c r="B142" s="1" t="n">
        <v>44375</v>
      </c>
      <c r="C142" s="1" t="n">
        <v>45184</v>
      </c>
      <c r="D142" t="inlineStr">
        <is>
          <t>KRONOBERGS LÄN</t>
        </is>
      </c>
      <c r="E142" t="inlineStr">
        <is>
          <t>UPPVIDINGE</t>
        </is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Fjällig taggsvamp s.str.</t>
        </is>
      </c>
      <c r="S142">
        <f>HYPERLINK("https://klasma.github.io/Logging_UPPVIDINGE/artfynd/A 32873-2021.xlsx")</f>
        <v/>
      </c>
      <c r="T142">
        <f>HYPERLINK("https://klasma.github.io/Logging_UPPVIDINGE/kartor/A 32873-2021.png")</f>
        <v/>
      </c>
      <c r="V142">
        <f>HYPERLINK("https://klasma.github.io/Logging_UPPVIDINGE/klagomål/A 32873-2021.docx")</f>
        <v/>
      </c>
      <c r="W142">
        <f>HYPERLINK("https://klasma.github.io/Logging_UPPVIDINGE/klagomålsmail/A 32873-2021.docx")</f>
        <v/>
      </c>
      <c r="X142">
        <f>HYPERLINK("https://klasma.github.io/Logging_UPPVIDINGE/tillsyn/A 32873-2021.docx")</f>
        <v/>
      </c>
      <c r="Y142">
        <f>HYPERLINK("https://klasma.github.io/Logging_UPPVIDINGE/tillsynsmail/A 32873-2021.docx")</f>
        <v/>
      </c>
    </row>
    <row r="143" ht="15" customHeight="1">
      <c r="A143" t="inlineStr">
        <is>
          <t>A 35200-2021</t>
        </is>
      </c>
      <c r="B143" s="1" t="n">
        <v>44384</v>
      </c>
      <c r="C143" s="1" t="n">
        <v>45184</v>
      </c>
      <c r="D143" t="inlineStr">
        <is>
          <t>KRONOBERGS LÄN</t>
        </is>
      </c>
      <c r="E143" t="inlineStr">
        <is>
          <t>UPPVIDINGE</t>
        </is>
      </c>
      <c r="G143" t="n">
        <v>5.5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Vanlig flatbagge</t>
        </is>
      </c>
      <c r="S143">
        <f>HYPERLINK("https://klasma.github.io/Logging_UPPVIDINGE/artfynd/A 35200-2021.xlsx")</f>
        <v/>
      </c>
      <c r="T143">
        <f>HYPERLINK("https://klasma.github.io/Logging_UPPVIDINGE/kartor/A 35200-2021.png")</f>
        <v/>
      </c>
      <c r="V143">
        <f>HYPERLINK("https://klasma.github.io/Logging_UPPVIDINGE/klagomål/A 35200-2021.docx")</f>
        <v/>
      </c>
      <c r="W143">
        <f>HYPERLINK("https://klasma.github.io/Logging_UPPVIDINGE/klagomålsmail/A 35200-2021.docx")</f>
        <v/>
      </c>
      <c r="X143">
        <f>HYPERLINK("https://klasma.github.io/Logging_UPPVIDINGE/tillsyn/A 35200-2021.docx")</f>
        <v/>
      </c>
      <c r="Y143">
        <f>HYPERLINK("https://klasma.github.io/Logging_UPPVIDINGE/tillsynsmail/A 35200-2021.docx")</f>
        <v/>
      </c>
    </row>
    <row r="144" ht="15" customHeight="1">
      <c r="A144" t="inlineStr">
        <is>
          <t>A 35815-2021</t>
        </is>
      </c>
      <c r="B144" s="1" t="n">
        <v>44386</v>
      </c>
      <c r="C144" s="1" t="n">
        <v>45184</v>
      </c>
      <c r="D144" t="inlineStr">
        <is>
          <t>KRONOBERGS LÄN</t>
        </is>
      </c>
      <c r="E144" t="inlineStr">
        <is>
          <t>VÄXJÖ</t>
        </is>
      </c>
      <c r="G144" t="n">
        <v>2.7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Svinrot</t>
        </is>
      </c>
      <c r="S144">
        <f>HYPERLINK("https://klasma.github.io/Logging_VAXJO/artfynd/A 35815-2021.xlsx")</f>
        <v/>
      </c>
      <c r="T144">
        <f>HYPERLINK("https://klasma.github.io/Logging_VAXJO/kartor/A 35815-2021.png")</f>
        <v/>
      </c>
      <c r="V144">
        <f>HYPERLINK("https://klasma.github.io/Logging_VAXJO/klagomål/A 35815-2021.docx")</f>
        <v/>
      </c>
      <c r="W144">
        <f>HYPERLINK("https://klasma.github.io/Logging_VAXJO/klagomålsmail/A 35815-2021.docx")</f>
        <v/>
      </c>
      <c r="X144">
        <f>HYPERLINK("https://klasma.github.io/Logging_VAXJO/tillsyn/A 35815-2021.docx")</f>
        <v/>
      </c>
      <c r="Y144">
        <f>HYPERLINK("https://klasma.github.io/Logging_VAXJO/tillsynsmail/A 35815-2021.docx")</f>
        <v/>
      </c>
    </row>
    <row r="145" ht="15" customHeight="1">
      <c r="A145" t="inlineStr">
        <is>
          <t>A 37936-2021</t>
        </is>
      </c>
      <c r="B145" s="1" t="n">
        <v>44403</v>
      </c>
      <c r="C145" s="1" t="n">
        <v>45184</v>
      </c>
      <c r="D145" t="inlineStr">
        <is>
          <t>KRONOBERGS LÄN</t>
        </is>
      </c>
      <c r="E145" t="inlineStr">
        <is>
          <t>LESSEBO</t>
        </is>
      </c>
      <c r="G145" t="n">
        <v>6.2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HYPERLINK("https://klasma.github.io/Logging_LESSEBO/artfynd/A 37936-2021.xlsx")</f>
        <v/>
      </c>
      <c r="T145">
        <f>HYPERLINK("https://klasma.github.io/Logging_LESSEBO/kartor/A 37936-2021.png")</f>
        <v/>
      </c>
      <c r="U145">
        <f>HYPERLINK("https://klasma.github.io/Logging_LESSEBO/knärot/A 37936-2021.png")</f>
        <v/>
      </c>
      <c r="V145">
        <f>HYPERLINK("https://klasma.github.io/Logging_LESSEBO/klagomål/A 37936-2021.docx")</f>
        <v/>
      </c>
      <c r="W145">
        <f>HYPERLINK("https://klasma.github.io/Logging_LESSEBO/klagomålsmail/A 37936-2021.docx")</f>
        <v/>
      </c>
      <c r="X145">
        <f>HYPERLINK("https://klasma.github.io/Logging_LESSEBO/tillsyn/A 37936-2021.docx")</f>
        <v/>
      </c>
      <c r="Y145">
        <f>HYPERLINK("https://klasma.github.io/Logging_LESSEBO/tillsynsmail/A 37936-2021.docx")</f>
        <v/>
      </c>
    </row>
    <row r="146" ht="15" customHeight="1">
      <c r="A146" t="inlineStr">
        <is>
          <t>A 47908-2021</t>
        </is>
      </c>
      <c r="B146" s="1" t="n">
        <v>44448</v>
      </c>
      <c r="C146" s="1" t="n">
        <v>45184</v>
      </c>
      <c r="D146" t="inlineStr">
        <is>
          <t>KRONOBERGS LÄN</t>
        </is>
      </c>
      <c r="E146" t="inlineStr">
        <is>
          <t>LJUNGBY</t>
        </is>
      </c>
      <c r="G146" t="n">
        <v>4.4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HYPERLINK("https://klasma.github.io/Logging_LJUNGBY/artfynd/A 47908-2021.xlsx")</f>
        <v/>
      </c>
      <c r="T146">
        <f>HYPERLINK("https://klasma.github.io/Logging_LJUNGBY/kartor/A 47908-2021.png")</f>
        <v/>
      </c>
      <c r="U146">
        <f>HYPERLINK("https://klasma.github.io/Logging_LJUNGBY/knärot/A 47908-2021.png")</f>
        <v/>
      </c>
      <c r="V146">
        <f>HYPERLINK("https://klasma.github.io/Logging_LJUNGBY/klagomål/A 47908-2021.docx")</f>
        <v/>
      </c>
      <c r="W146">
        <f>HYPERLINK("https://klasma.github.io/Logging_LJUNGBY/klagomålsmail/A 47908-2021.docx")</f>
        <v/>
      </c>
      <c r="X146">
        <f>HYPERLINK("https://klasma.github.io/Logging_LJUNGBY/tillsyn/A 47908-2021.docx")</f>
        <v/>
      </c>
      <c r="Y146">
        <f>HYPERLINK("https://klasma.github.io/Logging_LJUNGBY/tillsynsmail/A 47908-2021.docx")</f>
        <v/>
      </c>
    </row>
    <row r="147" ht="15" customHeight="1">
      <c r="A147" t="inlineStr">
        <is>
          <t>A 47909-2021</t>
        </is>
      </c>
      <c r="B147" s="1" t="n">
        <v>44448</v>
      </c>
      <c r="C147" s="1" t="n">
        <v>45184</v>
      </c>
      <c r="D147" t="inlineStr">
        <is>
          <t>KRONOBERGS LÄN</t>
        </is>
      </c>
      <c r="E147" t="inlineStr">
        <is>
          <t>LJUNGBY</t>
        </is>
      </c>
      <c r="G147" t="n">
        <v>2.9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Klippfrullania</t>
        </is>
      </c>
      <c r="S147">
        <f>HYPERLINK("https://klasma.github.io/Logging_LJUNGBY/artfynd/A 47909-2021.xlsx")</f>
        <v/>
      </c>
      <c r="T147">
        <f>HYPERLINK("https://klasma.github.io/Logging_LJUNGBY/kartor/A 47909-2021.png")</f>
        <v/>
      </c>
      <c r="V147">
        <f>HYPERLINK("https://klasma.github.io/Logging_LJUNGBY/klagomål/A 47909-2021.docx")</f>
        <v/>
      </c>
      <c r="W147">
        <f>HYPERLINK("https://klasma.github.io/Logging_LJUNGBY/klagomålsmail/A 47909-2021.docx")</f>
        <v/>
      </c>
      <c r="X147">
        <f>HYPERLINK("https://klasma.github.io/Logging_LJUNGBY/tillsyn/A 47909-2021.docx")</f>
        <v/>
      </c>
      <c r="Y147">
        <f>HYPERLINK("https://klasma.github.io/Logging_LJUNGBY/tillsynsmail/A 47909-2021.docx")</f>
        <v/>
      </c>
    </row>
    <row r="148" ht="15" customHeight="1">
      <c r="A148" t="inlineStr">
        <is>
          <t>A 51284-2021</t>
        </is>
      </c>
      <c r="B148" s="1" t="n">
        <v>44461</v>
      </c>
      <c r="C148" s="1" t="n">
        <v>45184</v>
      </c>
      <c r="D148" t="inlineStr">
        <is>
          <t>KRONOBERGS LÄN</t>
        </is>
      </c>
      <c r="E148" t="inlineStr">
        <is>
          <t>LJUNGBY</t>
        </is>
      </c>
      <c r="G148" t="n">
        <v>1.1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Spillkråka</t>
        </is>
      </c>
      <c r="S148">
        <f>HYPERLINK("https://klasma.github.io/Logging_LJUNGBY/artfynd/A 51284-2021.xlsx")</f>
        <v/>
      </c>
      <c r="T148">
        <f>HYPERLINK("https://klasma.github.io/Logging_LJUNGBY/kartor/A 51284-2021.png")</f>
        <v/>
      </c>
      <c r="V148">
        <f>HYPERLINK("https://klasma.github.io/Logging_LJUNGBY/klagomål/A 51284-2021.docx")</f>
        <v/>
      </c>
      <c r="W148">
        <f>HYPERLINK("https://klasma.github.io/Logging_LJUNGBY/klagomålsmail/A 51284-2021.docx")</f>
        <v/>
      </c>
      <c r="X148">
        <f>HYPERLINK("https://klasma.github.io/Logging_LJUNGBY/tillsyn/A 51284-2021.docx")</f>
        <v/>
      </c>
      <c r="Y148">
        <f>HYPERLINK("https://klasma.github.io/Logging_LJUNGBY/tillsynsmail/A 51284-2021.docx")</f>
        <v/>
      </c>
    </row>
    <row r="149" ht="15" customHeight="1">
      <c r="A149" t="inlineStr">
        <is>
          <t>A 58629-2021</t>
        </is>
      </c>
      <c r="B149" s="1" t="n">
        <v>44489</v>
      </c>
      <c r="C149" s="1" t="n">
        <v>45184</v>
      </c>
      <c r="D149" t="inlineStr">
        <is>
          <t>KRONOBERGS LÄN</t>
        </is>
      </c>
      <c r="E149" t="inlineStr">
        <is>
          <t>TINGSRYD</t>
        </is>
      </c>
      <c r="G149" t="n">
        <v>2.3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Kavelhirs</t>
        </is>
      </c>
      <c r="S149">
        <f>HYPERLINK("https://klasma.github.io/Logging_TINGSRYD/artfynd/A 58629-2021.xlsx")</f>
        <v/>
      </c>
      <c r="T149">
        <f>HYPERLINK("https://klasma.github.io/Logging_TINGSRYD/kartor/A 58629-2021.png")</f>
        <v/>
      </c>
      <c r="V149">
        <f>HYPERLINK("https://klasma.github.io/Logging_TINGSRYD/klagomål/A 58629-2021.docx")</f>
        <v/>
      </c>
      <c r="W149">
        <f>HYPERLINK("https://klasma.github.io/Logging_TINGSRYD/klagomålsmail/A 58629-2021.docx")</f>
        <v/>
      </c>
      <c r="X149">
        <f>HYPERLINK("https://klasma.github.io/Logging_TINGSRYD/tillsyn/A 58629-2021.docx")</f>
        <v/>
      </c>
      <c r="Y149">
        <f>HYPERLINK("https://klasma.github.io/Logging_TINGSRYD/tillsynsmail/A 58629-2021.docx")</f>
        <v/>
      </c>
    </row>
    <row r="150" ht="15" customHeight="1">
      <c r="A150" t="inlineStr">
        <is>
          <t>A 67665-2021</t>
        </is>
      </c>
      <c r="B150" s="1" t="n">
        <v>44524</v>
      </c>
      <c r="C150" s="1" t="n">
        <v>45184</v>
      </c>
      <c r="D150" t="inlineStr">
        <is>
          <t>KRONOBERGS LÄN</t>
        </is>
      </c>
      <c r="E150" t="inlineStr">
        <is>
          <t>LJUNGBY</t>
        </is>
      </c>
      <c r="G150" t="n">
        <v>7.8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Sjötåtel</t>
        </is>
      </c>
      <c r="S150">
        <f>HYPERLINK("https://klasma.github.io/Logging_LJUNGBY/artfynd/A 67665-2021.xlsx")</f>
        <v/>
      </c>
      <c r="T150">
        <f>HYPERLINK("https://klasma.github.io/Logging_LJUNGBY/kartor/A 67665-2021.png")</f>
        <v/>
      </c>
      <c r="V150">
        <f>HYPERLINK("https://klasma.github.io/Logging_LJUNGBY/klagomål/A 67665-2021.docx")</f>
        <v/>
      </c>
      <c r="W150">
        <f>HYPERLINK("https://klasma.github.io/Logging_LJUNGBY/klagomålsmail/A 67665-2021.docx")</f>
        <v/>
      </c>
      <c r="X150">
        <f>HYPERLINK("https://klasma.github.io/Logging_LJUNGBY/tillsyn/A 67665-2021.docx")</f>
        <v/>
      </c>
      <c r="Y150">
        <f>HYPERLINK("https://klasma.github.io/Logging_LJUNGBY/tillsynsmail/A 67665-2021.docx")</f>
        <v/>
      </c>
    </row>
    <row r="151" ht="15" customHeight="1">
      <c r="A151" t="inlineStr">
        <is>
          <t>A 69689-2021</t>
        </is>
      </c>
      <c r="B151" s="1" t="n">
        <v>44532</v>
      </c>
      <c r="C151" s="1" t="n">
        <v>45184</v>
      </c>
      <c r="D151" t="inlineStr">
        <is>
          <t>KRONOBERGS LÄN</t>
        </is>
      </c>
      <c r="E151" t="inlineStr">
        <is>
          <t>VÄXJÖ</t>
        </is>
      </c>
      <c r="F151" t="inlineStr">
        <is>
          <t>Övriga statliga verk och myndigheter</t>
        </is>
      </c>
      <c r="G151" t="n">
        <v>2.7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Hasselmus</t>
        </is>
      </c>
      <c r="S151">
        <f>HYPERLINK("https://klasma.github.io/Logging_VAXJO/artfynd/A 69689-2021.xlsx")</f>
        <v/>
      </c>
      <c r="T151">
        <f>HYPERLINK("https://klasma.github.io/Logging_VAXJO/kartor/A 69689-2021.png")</f>
        <v/>
      </c>
      <c r="V151">
        <f>HYPERLINK("https://klasma.github.io/Logging_VAXJO/klagomål/A 69689-2021.docx")</f>
        <v/>
      </c>
      <c r="W151">
        <f>HYPERLINK("https://klasma.github.io/Logging_VAXJO/klagomålsmail/A 69689-2021.docx")</f>
        <v/>
      </c>
      <c r="X151">
        <f>HYPERLINK("https://klasma.github.io/Logging_VAXJO/tillsyn/A 69689-2021.docx")</f>
        <v/>
      </c>
      <c r="Y151">
        <f>HYPERLINK("https://klasma.github.io/Logging_VAXJO/tillsynsmail/A 69689-2021.docx")</f>
        <v/>
      </c>
    </row>
    <row r="152" ht="15" customHeight="1">
      <c r="A152" t="inlineStr">
        <is>
          <t>A 73118-2021</t>
        </is>
      </c>
      <c r="B152" s="1" t="n">
        <v>44550</v>
      </c>
      <c r="C152" s="1" t="n">
        <v>45184</v>
      </c>
      <c r="D152" t="inlineStr">
        <is>
          <t>KRONOBERGS LÄN</t>
        </is>
      </c>
      <c r="E152" t="inlineStr">
        <is>
          <t>UPPVIDINGE</t>
        </is>
      </c>
      <c r="G152" t="n">
        <v>1.3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Mattlummer</t>
        </is>
      </c>
      <c r="S152">
        <f>HYPERLINK("https://klasma.github.io/Logging_UPPVIDINGE/artfynd/A 73118-2021.xlsx")</f>
        <v/>
      </c>
      <c r="T152">
        <f>HYPERLINK("https://klasma.github.io/Logging_UPPVIDINGE/kartor/A 73118-2021.png")</f>
        <v/>
      </c>
      <c r="V152">
        <f>HYPERLINK("https://klasma.github.io/Logging_UPPVIDINGE/klagomål/A 73118-2021.docx")</f>
        <v/>
      </c>
      <c r="W152">
        <f>HYPERLINK("https://klasma.github.io/Logging_UPPVIDINGE/klagomålsmail/A 73118-2021.docx")</f>
        <v/>
      </c>
      <c r="X152">
        <f>HYPERLINK("https://klasma.github.io/Logging_UPPVIDINGE/tillsyn/A 73118-2021.docx")</f>
        <v/>
      </c>
      <c r="Y152">
        <f>HYPERLINK("https://klasma.github.io/Logging_UPPVIDINGE/tillsynsmail/A 73118-2021.docx")</f>
        <v/>
      </c>
    </row>
    <row r="153" ht="15" customHeight="1">
      <c r="A153" t="inlineStr">
        <is>
          <t>A 73863-2021</t>
        </is>
      </c>
      <c r="B153" s="1" t="n">
        <v>44553</v>
      </c>
      <c r="C153" s="1" t="n">
        <v>45184</v>
      </c>
      <c r="D153" t="inlineStr">
        <is>
          <t>KRONOBERGS LÄN</t>
        </is>
      </c>
      <c r="E153" t="inlineStr">
        <is>
          <t>MARKARYD</t>
        </is>
      </c>
      <c r="G153" t="n">
        <v>1.4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Lopplummer</t>
        </is>
      </c>
      <c r="S153">
        <f>HYPERLINK("https://klasma.github.io/Logging_MARKARYD/artfynd/A 73863-2021.xlsx")</f>
        <v/>
      </c>
      <c r="T153">
        <f>HYPERLINK("https://klasma.github.io/Logging_MARKARYD/kartor/A 73863-2021.png")</f>
        <v/>
      </c>
      <c r="V153">
        <f>HYPERLINK("https://klasma.github.io/Logging_MARKARYD/klagomål/A 73863-2021.docx")</f>
        <v/>
      </c>
      <c r="W153">
        <f>HYPERLINK("https://klasma.github.io/Logging_MARKARYD/klagomålsmail/A 73863-2021.docx")</f>
        <v/>
      </c>
      <c r="X153">
        <f>HYPERLINK("https://klasma.github.io/Logging_MARKARYD/tillsyn/A 73863-2021.docx")</f>
        <v/>
      </c>
      <c r="Y153">
        <f>HYPERLINK("https://klasma.github.io/Logging_MARKARYD/tillsynsmail/A 73863-2021.docx")</f>
        <v/>
      </c>
    </row>
    <row r="154" ht="15" customHeight="1">
      <c r="A154" t="inlineStr">
        <is>
          <t>A 3220-2022</t>
        </is>
      </c>
      <c r="B154" s="1" t="n">
        <v>44582</v>
      </c>
      <c r="C154" s="1" t="n">
        <v>45184</v>
      </c>
      <c r="D154" t="inlineStr">
        <is>
          <t>KRONOBERGS LÄN</t>
        </is>
      </c>
      <c r="E154" t="inlineStr">
        <is>
          <t>LJUNGBY</t>
        </is>
      </c>
      <c r="G154" t="n">
        <v>0.6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Talltita</t>
        </is>
      </c>
      <c r="S154">
        <f>HYPERLINK("https://klasma.github.io/Logging_LJUNGBY/artfynd/A 3220-2022.xlsx")</f>
        <v/>
      </c>
      <c r="T154">
        <f>HYPERLINK("https://klasma.github.io/Logging_LJUNGBY/kartor/A 3220-2022.png")</f>
        <v/>
      </c>
      <c r="V154">
        <f>HYPERLINK("https://klasma.github.io/Logging_LJUNGBY/klagomål/A 3220-2022.docx")</f>
        <v/>
      </c>
      <c r="W154">
        <f>HYPERLINK("https://klasma.github.io/Logging_LJUNGBY/klagomålsmail/A 3220-2022.docx")</f>
        <v/>
      </c>
      <c r="X154">
        <f>HYPERLINK("https://klasma.github.io/Logging_LJUNGBY/tillsyn/A 3220-2022.docx")</f>
        <v/>
      </c>
      <c r="Y154">
        <f>HYPERLINK("https://klasma.github.io/Logging_LJUNGBY/tillsynsmail/A 3220-2022.docx")</f>
        <v/>
      </c>
    </row>
    <row r="155" ht="15" customHeight="1">
      <c r="A155" t="inlineStr">
        <is>
          <t>A 13387-2022</t>
        </is>
      </c>
      <c r="B155" s="1" t="n">
        <v>44645</v>
      </c>
      <c r="C155" s="1" t="n">
        <v>45184</v>
      </c>
      <c r="D155" t="inlineStr">
        <is>
          <t>KRONOBERGS LÄN</t>
        </is>
      </c>
      <c r="E155" t="inlineStr">
        <is>
          <t>LJUNGBY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Borsttåg</t>
        </is>
      </c>
      <c r="S155">
        <f>HYPERLINK("https://klasma.github.io/Logging_LJUNGBY/artfynd/A 13387-2022.xlsx")</f>
        <v/>
      </c>
      <c r="T155">
        <f>HYPERLINK("https://klasma.github.io/Logging_LJUNGBY/kartor/A 13387-2022.png")</f>
        <v/>
      </c>
      <c r="V155">
        <f>HYPERLINK("https://klasma.github.io/Logging_LJUNGBY/klagomål/A 13387-2022.docx")</f>
        <v/>
      </c>
      <c r="W155">
        <f>HYPERLINK("https://klasma.github.io/Logging_LJUNGBY/klagomålsmail/A 13387-2022.docx")</f>
        <v/>
      </c>
      <c r="X155">
        <f>HYPERLINK("https://klasma.github.io/Logging_LJUNGBY/tillsyn/A 13387-2022.docx")</f>
        <v/>
      </c>
      <c r="Y155">
        <f>HYPERLINK("https://klasma.github.io/Logging_LJUNGBY/tillsynsmail/A 13387-2022.docx")</f>
        <v/>
      </c>
    </row>
    <row r="156" ht="15" customHeight="1">
      <c r="A156" t="inlineStr">
        <is>
          <t>A 15676-2022</t>
        </is>
      </c>
      <c r="B156" s="1" t="n">
        <v>44663</v>
      </c>
      <c r="C156" s="1" t="n">
        <v>45184</v>
      </c>
      <c r="D156" t="inlineStr">
        <is>
          <t>KRONOBERGS LÄN</t>
        </is>
      </c>
      <c r="E156" t="inlineStr">
        <is>
          <t>UPPVIDINGE</t>
        </is>
      </c>
      <c r="G156" t="n">
        <v>1.5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HYPERLINK("https://klasma.github.io/Logging_UPPVIDINGE/artfynd/A 15676-2022.xlsx")</f>
        <v/>
      </c>
      <c r="T156">
        <f>HYPERLINK("https://klasma.github.io/Logging_UPPVIDINGE/kartor/A 15676-2022.png")</f>
        <v/>
      </c>
      <c r="U156">
        <f>HYPERLINK("https://klasma.github.io/Logging_UPPVIDINGE/knärot/A 15676-2022.png")</f>
        <v/>
      </c>
      <c r="V156">
        <f>HYPERLINK("https://klasma.github.io/Logging_UPPVIDINGE/klagomål/A 15676-2022.docx")</f>
        <v/>
      </c>
      <c r="W156">
        <f>HYPERLINK("https://klasma.github.io/Logging_UPPVIDINGE/klagomålsmail/A 15676-2022.docx")</f>
        <v/>
      </c>
      <c r="X156">
        <f>HYPERLINK("https://klasma.github.io/Logging_UPPVIDINGE/tillsyn/A 15676-2022.docx")</f>
        <v/>
      </c>
      <c r="Y156">
        <f>HYPERLINK("https://klasma.github.io/Logging_UPPVIDINGE/tillsynsmail/A 15676-2022.docx")</f>
        <v/>
      </c>
    </row>
    <row r="157" ht="15" customHeight="1">
      <c r="A157" t="inlineStr">
        <is>
          <t>A 15756-2022</t>
        </is>
      </c>
      <c r="B157" s="1" t="n">
        <v>44663</v>
      </c>
      <c r="C157" s="1" t="n">
        <v>45184</v>
      </c>
      <c r="D157" t="inlineStr">
        <is>
          <t>KRONOBERGS LÄN</t>
        </is>
      </c>
      <c r="E157" t="inlineStr">
        <is>
          <t>ÄLMHULT</t>
        </is>
      </c>
      <c r="G157" t="n">
        <v>1.6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Slåtterfibbla</t>
        </is>
      </c>
      <c r="S157">
        <f>HYPERLINK("https://klasma.github.io/Logging_ALMHULT/artfynd/A 15756-2022.xlsx")</f>
        <v/>
      </c>
      <c r="T157">
        <f>HYPERLINK("https://klasma.github.io/Logging_ALMHULT/kartor/A 15756-2022.png")</f>
        <v/>
      </c>
      <c r="V157">
        <f>HYPERLINK("https://klasma.github.io/Logging_ALMHULT/klagomål/A 15756-2022.docx")</f>
        <v/>
      </c>
      <c r="W157">
        <f>HYPERLINK("https://klasma.github.io/Logging_ALMHULT/klagomålsmail/A 15756-2022.docx")</f>
        <v/>
      </c>
      <c r="X157">
        <f>HYPERLINK("https://klasma.github.io/Logging_ALMHULT/tillsyn/A 15756-2022.docx")</f>
        <v/>
      </c>
      <c r="Y157">
        <f>HYPERLINK("https://klasma.github.io/Logging_ALMHULT/tillsynsmail/A 15756-2022.docx")</f>
        <v/>
      </c>
    </row>
    <row r="158" ht="15" customHeight="1">
      <c r="A158" t="inlineStr">
        <is>
          <t>A 16796-2022</t>
        </is>
      </c>
      <c r="B158" s="1" t="n">
        <v>44673</v>
      </c>
      <c r="C158" s="1" t="n">
        <v>45184</v>
      </c>
      <c r="D158" t="inlineStr">
        <is>
          <t>KRONOBERGS LÄN</t>
        </is>
      </c>
      <c r="E158" t="inlineStr">
        <is>
          <t>VÄXJÖ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Ask</t>
        </is>
      </c>
      <c r="S158">
        <f>HYPERLINK("https://klasma.github.io/Logging_VAXJO/artfynd/A 16796-2022.xlsx")</f>
        <v/>
      </c>
      <c r="T158">
        <f>HYPERLINK("https://klasma.github.io/Logging_VAXJO/kartor/A 16796-2022.png")</f>
        <v/>
      </c>
      <c r="V158">
        <f>HYPERLINK("https://klasma.github.io/Logging_VAXJO/klagomål/A 16796-2022.docx")</f>
        <v/>
      </c>
      <c r="W158">
        <f>HYPERLINK("https://klasma.github.io/Logging_VAXJO/klagomålsmail/A 16796-2022.docx")</f>
        <v/>
      </c>
      <c r="X158">
        <f>HYPERLINK("https://klasma.github.io/Logging_VAXJO/tillsyn/A 16796-2022.docx")</f>
        <v/>
      </c>
      <c r="Y158">
        <f>HYPERLINK("https://klasma.github.io/Logging_VAXJO/tillsynsmail/A 16796-2022.docx")</f>
        <v/>
      </c>
    </row>
    <row r="159" ht="15" customHeight="1">
      <c r="A159" t="inlineStr">
        <is>
          <t>A 16882-2022</t>
        </is>
      </c>
      <c r="B159" s="1" t="n">
        <v>44676</v>
      </c>
      <c r="C159" s="1" t="n">
        <v>45184</v>
      </c>
      <c r="D159" t="inlineStr">
        <is>
          <t>KRONOBERGS LÄN</t>
        </is>
      </c>
      <c r="E159" t="inlineStr">
        <is>
          <t>UPPVIDINGE</t>
        </is>
      </c>
      <c r="G159" t="n">
        <v>13.5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Sommarfibbla</t>
        </is>
      </c>
      <c r="S159">
        <f>HYPERLINK("https://klasma.github.io/Logging_UPPVIDINGE/artfynd/A 16882-2022.xlsx")</f>
        <v/>
      </c>
      <c r="T159">
        <f>HYPERLINK("https://klasma.github.io/Logging_UPPVIDINGE/kartor/A 16882-2022.png")</f>
        <v/>
      </c>
      <c r="V159">
        <f>HYPERLINK("https://klasma.github.io/Logging_UPPVIDINGE/klagomål/A 16882-2022.docx")</f>
        <v/>
      </c>
      <c r="W159">
        <f>HYPERLINK("https://klasma.github.io/Logging_UPPVIDINGE/klagomålsmail/A 16882-2022.docx")</f>
        <v/>
      </c>
      <c r="X159">
        <f>HYPERLINK("https://klasma.github.io/Logging_UPPVIDINGE/tillsyn/A 16882-2022.docx")</f>
        <v/>
      </c>
      <c r="Y159">
        <f>HYPERLINK("https://klasma.github.io/Logging_UPPVIDINGE/tillsynsmail/A 16882-2022.docx")</f>
        <v/>
      </c>
    </row>
    <row r="160" ht="15" customHeight="1">
      <c r="A160" t="inlineStr">
        <is>
          <t>A 33935-2022</t>
        </is>
      </c>
      <c r="B160" s="1" t="n">
        <v>44790</v>
      </c>
      <c r="C160" s="1" t="n">
        <v>45184</v>
      </c>
      <c r="D160" t="inlineStr">
        <is>
          <t>KRONOBERGS LÄN</t>
        </is>
      </c>
      <c r="E160" t="inlineStr">
        <is>
          <t>LJUNGBY</t>
        </is>
      </c>
      <c r="G160" t="n">
        <v>10.5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HYPERLINK("https://klasma.github.io/Logging_LJUNGBY/artfynd/A 33935-2022.xlsx")</f>
        <v/>
      </c>
      <c r="T160">
        <f>HYPERLINK("https://klasma.github.io/Logging_LJUNGBY/kartor/A 33935-2022.png")</f>
        <v/>
      </c>
      <c r="V160">
        <f>HYPERLINK("https://klasma.github.io/Logging_LJUNGBY/klagomål/A 33935-2022.docx")</f>
        <v/>
      </c>
      <c r="W160">
        <f>HYPERLINK("https://klasma.github.io/Logging_LJUNGBY/klagomålsmail/A 33935-2022.docx")</f>
        <v/>
      </c>
      <c r="X160">
        <f>HYPERLINK("https://klasma.github.io/Logging_LJUNGBY/tillsyn/A 33935-2022.docx")</f>
        <v/>
      </c>
      <c r="Y160">
        <f>HYPERLINK("https://klasma.github.io/Logging_LJUNGBY/tillsynsmail/A 33935-2022.docx")</f>
        <v/>
      </c>
    </row>
    <row r="161" ht="15" customHeight="1">
      <c r="A161" t="inlineStr">
        <is>
          <t>A 37608-2022</t>
        </is>
      </c>
      <c r="B161" s="1" t="n">
        <v>44810</v>
      </c>
      <c r="C161" s="1" t="n">
        <v>45184</v>
      </c>
      <c r="D161" t="inlineStr">
        <is>
          <t>KRONOBERGS LÄN</t>
        </is>
      </c>
      <c r="E161" t="inlineStr">
        <is>
          <t>ALVESTA</t>
        </is>
      </c>
      <c r="G161" t="n">
        <v>5.3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Gropticka</t>
        </is>
      </c>
      <c r="S161">
        <f>HYPERLINK("https://klasma.github.io/Logging_ALVESTA/artfynd/A 37608-2022.xlsx")</f>
        <v/>
      </c>
      <c r="T161">
        <f>HYPERLINK("https://klasma.github.io/Logging_ALVESTA/kartor/A 37608-2022.png")</f>
        <v/>
      </c>
      <c r="V161">
        <f>HYPERLINK("https://klasma.github.io/Logging_ALVESTA/klagomål/A 37608-2022.docx")</f>
        <v/>
      </c>
      <c r="W161">
        <f>HYPERLINK("https://klasma.github.io/Logging_ALVESTA/klagomålsmail/A 37608-2022.docx")</f>
        <v/>
      </c>
      <c r="X161">
        <f>HYPERLINK("https://klasma.github.io/Logging_ALVESTA/tillsyn/A 37608-2022.docx")</f>
        <v/>
      </c>
      <c r="Y161">
        <f>HYPERLINK("https://klasma.github.io/Logging_ALVESTA/tillsynsmail/A 37608-2022.docx")</f>
        <v/>
      </c>
    </row>
    <row r="162" ht="15" customHeight="1">
      <c r="A162" t="inlineStr">
        <is>
          <t>A 39508-2022</t>
        </is>
      </c>
      <c r="B162" s="1" t="n">
        <v>44818</v>
      </c>
      <c r="C162" s="1" t="n">
        <v>45184</v>
      </c>
      <c r="D162" t="inlineStr">
        <is>
          <t>KRONOBERGS LÄN</t>
        </is>
      </c>
      <c r="E162" t="inlineStr">
        <is>
          <t>MARKARYD</t>
        </is>
      </c>
      <c r="F162" t="inlineStr">
        <is>
          <t>Kommuner</t>
        </is>
      </c>
      <c r="G162" t="n">
        <v>45.6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Kråka</t>
        </is>
      </c>
      <c r="S162">
        <f>HYPERLINK("https://klasma.github.io/Logging_MARKARYD/artfynd/A 39508-2022.xlsx")</f>
        <v/>
      </c>
      <c r="T162">
        <f>HYPERLINK("https://klasma.github.io/Logging_MARKARYD/kartor/A 39508-2022.png")</f>
        <v/>
      </c>
      <c r="V162">
        <f>HYPERLINK("https://klasma.github.io/Logging_MARKARYD/klagomål/A 39508-2022.docx")</f>
        <v/>
      </c>
      <c r="W162">
        <f>HYPERLINK("https://klasma.github.io/Logging_MARKARYD/klagomålsmail/A 39508-2022.docx")</f>
        <v/>
      </c>
      <c r="X162">
        <f>HYPERLINK("https://klasma.github.io/Logging_MARKARYD/tillsyn/A 39508-2022.docx")</f>
        <v/>
      </c>
      <c r="Y162">
        <f>HYPERLINK("https://klasma.github.io/Logging_MARKARYD/tillsynsmail/A 39508-2022.docx")</f>
        <v/>
      </c>
    </row>
    <row r="163" ht="15" customHeight="1">
      <c r="A163" t="inlineStr">
        <is>
          <t>A 39766-2022</t>
        </is>
      </c>
      <c r="B163" s="1" t="n">
        <v>44819</v>
      </c>
      <c r="C163" s="1" t="n">
        <v>45184</v>
      </c>
      <c r="D163" t="inlineStr">
        <is>
          <t>KRONOBERGS LÄN</t>
        </is>
      </c>
      <c r="E163" t="inlineStr">
        <is>
          <t>ALVESTA</t>
        </is>
      </c>
      <c r="G163" t="n">
        <v>0.8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Brandticka</t>
        </is>
      </c>
      <c r="S163">
        <f>HYPERLINK("https://klasma.github.io/Logging_ALVESTA/artfynd/A 39766-2022.xlsx")</f>
        <v/>
      </c>
      <c r="T163">
        <f>HYPERLINK("https://klasma.github.io/Logging_ALVESTA/kartor/A 39766-2022.png")</f>
        <v/>
      </c>
      <c r="V163">
        <f>HYPERLINK("https://klasma.github.io/Logging_ALVESTA/klagomål/A 39766-2022.docx")</f>
        <v/>
      </c>
      <c r="W163">
        <f>HYPERLINK("https://klasma.github.io/Logging_ALVESTA/klagomålsmail/A 39766-2022.docx")</f>
        <v/>
      </c>
      <c r="X163">
        <f>HYPERLINK("https://klasma.github.io/Logging_ALVESTA/tillsyn/A 39766-2022.docx")</f>
        <v/>
      </c>
      <c r="Y163">
        <f>HYPERLINK("https://klasma.github.io/Logging_ALVESTA/tillsynsmail/A 39766-2022.docx")</f>
        <v/>
      </c>
    </row>
    <row r="164" ht="15" customHeight="1">
      <c r="A164" t="inlineStr">
        <is>
          <t>A 41652-2022</t>
        </is>
      </c>
      <c r="B164" s="1" t="n">
        <v>44827</v>
      </c>
      <c r="C164" s="1" t="n">
        <v>45184</v>
      </c>
      <c r="D164" t="inlineStr">
        <is>
          <t>KRONOBERGS LÄN</t>
        </is>
      </c>
      <c r="E164" t="inlineStr">
        <is>
          <t>UPPVIDINGE</t>
        </is>
      </c>
      <c r="G164" t="n">
        <v>1.1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Sankt pers nycklar</t>
        </is>
      </c>
      <c r="S164">
        <f>HYPERLINK("https://klasma.github.io/Logging_UPPVIDINGE/artfynd/A 41652-2022.xlsx")</f>
        <v/>
      </c>
      <c r="T164">
        <f>HYPERLINK("https://klasma.github.io/Logging_UPPVIDINGE/kartor/A 41652-2022.png")</f>
        <v/>
      </c>
      <c r="V164">
        <f>HYPERLINK("https://klasma.github.io/Logging_UPPVIDINGE/klagomål/A 41652-2022.docx")</f>
        <v/>
      </c>
      <c r="W164">
        <f>HYPERLINK("https://klasma.github.io/Logging_UPPVIDINGE/klagomålsmail/A 41652-2022.docx")</f>
        <v/>
      </c>
      <c r="X164">
        <f>HYPERLINK("https://klasma.github.io/Logging_UPPVIDINGE/tillsyn/A 41652-2022.docx")</f>
        <v/>
      </c>
      <c r="Y164">
        <f>HYPERLINK("https://klasma.github.io/Logging_UPPVIDINGE/tillsynsmail/A 41652-2022.docx")</f>
        <v/>
      </c>
    </row>
    <row r="165" ht="15" customHeight="1">
      <c r="A165" t="inlineStr">
        <is>
          <t>A 43291-2022</t>
        </is>
      </c>
      <c r="B165" s="1" t="n">
        <v>44834</v>
      </c>
      <c r="C165" s="1" t="n">
        <v>45184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Grönpyrola</t>
        </is>
      </c>
      <c r="S165">
        <f>HYPERLINK("https://klasma.github.io/Logging_TINGSRYD/artfynd/A 43291-2022.xlsx")</f>
        <v/>
      </c>
      <c r="T165">
        <f>HYPERLINK("https://klasma.github.io/Logging_TINGSRYD/kartor/A 43291-2022.png")</f>
        <v/>
      </c>
      <c r="V165">
        <f>HYPERLINK("https://klasma.github.io/Logging_TINGSRYD/klagomål/A 43291-2022.docx")</f>
        <v/>
      </c>
      <c r="W165">
        <f>HYPERLINK("https://klasma.github.io/Logging_TINGSRYD/klagomålsmail/A 43291-2022.docx")</f>
        <v/>
      </c>
      <c r="X165">
        <f>HYPERLINK("https://klasma.github.io/Logging_TINGSRYD/tillsyn/A 43291-2022.docx")</f>
        <v/>
      </c>
      <c r="Y165">
        <f>HYPERLINK("https://klasma.github.io/Logging_TINGSRYD/tillsynsmail/A 43291-2022.docx")</f>
        <v/>
      </c>
    </row>
    <row r="166" ht="15" customHeight="1">
      <c r="A166" t="inlineStr">
        <is>
          <t>A 45975-2022</t>
        </is>
      </c>
      <c r="B166" s="1" t="n">
        <v>44846</v>
      </c>
      <c r="C166" s="1" t="n">
        <v>45184</v>
      </c>
      <c r="D166" t="inlineStr">
        <is>
          <t>KRONOBERGS LÄN</t>
        </is>
      </c>
      <c r="E166" t="inlineStr">
        <is>
          <t>LESSEBO</t>
        </is>
      </c>
      <c r="G166" t="n">
        <v>0.9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HYPERLINK("https://klasma.github.io/Logging_LESSEBO/artfynd/A 45975-2022.xlsx")</f>
        <v/>
      </c>
      <c r="T166">
        <f>HYPERLINK("https://klasma.github.io/Logging_LESSEBO/kartor/A 45975-2022.png")</f>
        <v/>
      </c>
      <c r="U166">
        <f>HYPERLINK("https://klasma.github.io/Logging_LESSEBO/knärot/A 45975-2022.png")</f>
        <v/>
      </c>
      <c r="V166">
        <f>HYPERLINK("https://klasma.github.io/Logging_LESSEBO/klagomål/A 45975-2022.docx")</f>
        <v/>
      </c>
      <c r="W166">
        <f>HYPERLINK("https://klasma.github.io/Logging_LESSEBO/klagomålsmail/A 45975-2022.docx")</f>
        <v/>
      </c>
      <c r="X166">
        <f>HYPERLINK("https://klasma.github.io/Logging_LESSEBO/tillsyn/A 45975-2022.docx")</f>
        <v/>
      </c>
      <c r="Y166">
        <f>HYPERLINK("https://klasma.github.io/Logging_LESSEBO/tillsynsmail/A 45975-2022.docx")</f>
        <v/>
      </c>
    </row>
    <row r="167" ht="15" customHeight="1">
      <c r="A167" t="inlineStr">
        <is>
          <t>A 49123-2022</t>
        </is>
      </c>
      <c r="B167" s="1" t="n">
        <v>44858</v>
      </c>
      <c r="C167" s="1" t="n">
        <v>45184</v>
      </c>
      <c r="D167" t="inlineStr">
        <is>
          <t>KRONOBERGS LÄN</t>
        </is>
      </c>
      <c r="E167" t="inlineStr">
        <is>
          <t>UPPVIDINGE</t>
        </is>
      </c>
      <c r="G167" t="n">
        <v>5.5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HYPERLINK("https://klasma.github.io/Logging_UPPVIDINGE/artfynd/A 49123-2022.xlsx")</f>
        <v/>
      </c>
      <c r="T167">
        <f>HYPERLINK("https://klasma.github.io/Logging_UPPVIDINGE/kartor/A 49123-2022.png")</f>
        <v/>
      </c>
      <c r="V167">
        <f>HYPERLINK("https://klasma.github.io/Logging_UPPVIDINGE/klagomål/A 49123-2022.docx")</f>
        <v/>
      </c>
      <c r="W167">
        <f>HYPERLINK("https://klasma.github.io/Logging_UPPVIDINGE/klagomålsmail/A 49123-2022.docx")</f>
        <v/>
      </c>
      <c r="X167">
        <f>HYPERLINK("https://klasma.github.io/Logging_UPPVIDINGE/tillsyn/A 49123-2022.docx")</f>
        <v/>
      </c>
      <c r="Y167">
        <f>HYPERLINK("https://klasma.github.io/Logging_UPPVIDINGE/tillsynsmail/A 49123-2022.docx")</f>
        <v/>
      </c>
    </row>
    <row r="168" ht="15" customHeight="1">
      <c r="A168" t="inlineStr">
        <is>
          <t>A 55924-2022</t>
        </is>
      </c>
      <c r="B168" s="1" t="n">
        <v>44886</v>
      </c>
      <c r="C168" s="1" t="n">
        <v>45184</v>
      </c>
      <c r="D168" t="inlineStr">
        <is>
          <t>KRONOBERGS LÄN</t>
        </is>
      </c>
      <c r="E168" t="inlineStr">
        <is>
          <t>TINGSRYD</t>
        </is>
      </c>
      <c r="F168" t="inlineStr">
        <is>
          <t>Kyrkan</t>
        </is>
      </c>
      <c r="G168" t="n">
        <v>1.1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Västlig hakmossa</t>
        </is>
      </c>
      <c r="S168">
        <f>HYPERLINK("https://klasma.github.io/Logging_TINGSRYD/artfynd/A 55924-2022.xlsx")</f>
        <v/>
      </c>
      <c r="T168">
        <f>HYPERLINK("https://klasma.github.io/Logging_TINGSRYD/kartor/A 55924-2022.png")</f>
        <v/>
      </c>
      <c r="V168">
        <f>HYPERLINK("https://klasma.github.io/Logging_TINGSRYD/klagomål/A 55924-2022.docx")</f>
        <v/>
      </c>
      <c r="W168">
        <f>HYPERLINK("https://klasma.github.io/Logging_TINGSRYD/klagomålsmail/A 55924-2022.docx")</f>
        <v/>
      </c>
      <c r="X168">
        <f>HYPERLINK("https://klasma.github.io/Logging_TINGSRYD/tillsyn/A 55924-2022.docx")</f>
        <v/>
      </c>
      <c r="Y168">
        <f>HYPERLINK("https://klasma.github.io/Logging_TINGSRYD/tillsynsmail/A 55924-2022.docx")</f>
        <v/>
      </c>
    </row>
    <row r="169" ht="15" customHeight="1">
      <c r="A169" t="inlineStr">
        <is>
          <t>A 57999-2022</t>
        </is>
      </c>
      <c r="B169" s="1" t="n">
        <v>44900</v>
      </c>
      <c r="C169" s="1" t="n">
        <v>45184</v>
      </c>
      <c r="D169" t="inlineStr">
        <is>
          <t>KRONOBERGS LÄN</t>
        </is>
      </c>
      <c r="E169" t="inlineStr">
        <is>
          <t>UPPVIDINGE</t>
        </is>
      </c>
      <c r="F169" t="inlineStr">
        <is>
          <t>Sveaskog</t>
        </is>
      </c>
      <c r="G169" t="n">
        <v>4.2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HYPERLINK("https://klasma.github.io/Logging_UPPVIDINGE/artfynd/A 57999-2022.xlsx")</f>
        <v/>
      </c>
      <c r="T169">
        <f>HYPERLINK("https://klasma.github.io/Logging_UPPVIDINGE/kartor/A 57999-2022.png")</f>
        <v/>
      </c>
      <c r="V169">
        <f>HYPERLINK("https://klasma.github.io/Logging_UPPVIDINGE/klagomål/A 57999-2022.docx")</f>
        <v/>
      </c>
      <c r="W169">
        <f>HYPERLINK("https://klasma.github.io/Logging_UPPVIDINGE/klagomålsmail/A 57999-2022.docx")</f>
        <v/>
      </c>
      <c r="X169">
        <f>HYPERLINK("https://klasma.github.io/Logging_UPPVIDINGE/tillsyn/A 57999-2022.docx")</f>
        <v/>
      </c>
      <c r="Y169">
        <f>HYPERLINK("https://klasma.github.io/Logging_UPPVIDINGE/tillsynsmail/A 57999-2022.docx")</f>
        <v/>
      </c>
    </row>
    <row r="170" ht="15" customHeight="1">
      <c r="A170" t="inlineStr">
        <is>
          <t>A 205-2023</t>
        </is>
      </c>
      <c r="B170" s="1" t="n">
        <v>44928</v>
      </c>
      <c r="C170" s="1" t="n">
        <v>45184</v>
      </c>
      <c r="D170" t="inlineStr">
        <is>
          <t>KRONOBERGS LÄN</t>
        </is>
      </c>
      <c r="E170" t="inlineStr">
        <is>
          <t>LJUNGBY</t>
        </is>
      </c>
      <c r="G170" t="n">
        <v>1.9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Borsttåg</t>
        </is>
      </c>
      <c r="S170">
        <f>HYPERLINK("https://klasma.github.io/Logging_LJUNGBY/artfynd/A 205-2023.xlsx")</f>
        <v/>
      </c>
      <c r="T170">
        <f>HYPERLINK("https://klasma.github.io/Logging_LJUNGBY/kartor/A 205-2023.png")</f>
        <v/>
      </c>
      <c r="V170">
        <f>HYPERLINK("https://klasma.github.io/Logging_LJUNGBY/klagomål/A 205-2023.docx")</f>
        <v/>
      </c>
      <c r="W170">
        <f>HYPERLINK("https://klasma.github.io/Logging_LJUNGBY/klagomålsmail/A 205-2023.docx")</f>
        <v/>
      </c>
      <c r="X170">
        <f>HYPERLINK("https://klasma.github.io/Logging_LJUNGBY/tillsyn/A 205-2023.docx")</f>
        <v/>
      </c>
      <c r="Y170">
        <f>HYPERLINK("https://klasma.github.io/Logging_LJUNGBY/tillsynsmail/A 205-2023.docx")</f>
        <v/>
      </c>
    </row>
    <row r="171" ht="15" customHeight="1">
      <c r="A171" t="inlineStr">
        <is>
          <t>A 486-2023</t>
        </is>
      </c>
      <c r="B171" s="1" t="n">
        <v>44930</v>
      </c>
      <c r="C171" s="1" t="n">
        <v>45184</v>
      </c>
      <c r="D171" t="inlineStr">
        <is>
          <t>KRONOBERGS LÄN</t>
        </is>
      </c>
      <c r="E171" t="inlineStr">
        <is>
          <t>VÄXJÖ</t>
        </is>
      </c>
      <c r="G171" t="n">
        <v>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Garnlav</t>
        </is>
      </c>
      <c r="S171">
        <f>HYPERLINK("https://klasma.github.io/Logging_VAXJO/artfynd/A 486-2023.xlsx")</f>
        <v/>
      </c>
      <c r="T171">
        <f>HYPERLINK("https://klasma.github.io/Logging_VAXJO/kartor/A 486-2023.png")</f>
        <v/>
      </c>
      <c r="V171">
        <f>HYPERLINK("https://klasma.github.io/Logging_VAXJO/klagomål/A 486-2023.docx")</f>
        <v/>
      </c>
      <c r="W171">
        <f>HYPERLINK("https://klasma.github.io/Logging_VAXJO/klagomålsmail/A 486-2023.docx")</f>
        <v/>
      </c>
      <c r="X171">
        <f>HYPERLINK("https://klasma.github.io/Logging_VAXJO/tillsyn/A 486-2023.docx")</f>
        <v/>
      </c>
      <c r="Y171">
        <f>HYPERLINK("https://klasma.github.io/Logging_VAXJO/tillsynsmail/A 486-2023.docx")</f>
        <v/>
      </c>
    </row>
    <row r="172" ht="15" customHeight="1">
      <c r="A172" t="inlineStr">
        <is>
          <t>A 3677-2023</t>
        </is>
      </c>
      <c r="B172" s="1" t="n">
        <v>44950</v>
      </c>
      <c r="C172" s="1" t="n">
        <v>45184</v>
      </c>
      <c r="D172" t="inlineStr">
        <is>
          <t>KRONOBERGS LÄN</t>
        </is>
      </c>
      <c r="E172" t="inlineStr">
        <is>
          <t>UPPVIDINGE</t>
        </is>
      </c>
      <c r="G172" t="n">
        <v>13.4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Blomkålssvamp</t>
        </is>
      </c>
      <c r="S172">
        <f>HYPERLINK("https://klasma.github.io/Logging_UPPVIDINGE/artfynd/A 3677-2023.xlsx")</f>
        <v/>
      </c>
      <c r="T172">
        <f>HYPERLINK("https://klasma.github.io/Logging_UPPVIDINGE/kartor/A 3677-2023.png")</f>
        <v/>
      </c>
      <c r="V172">
        <f>HYPERLINK("https://klasma.github.io/Logging_UPPVIDINGE/klagomål/A 3677-2023.docx")</f>
        <v/>
      </c>
      <c r="W172">
        <f>HYPERLINK("https://klasma.github.io/Logging_UPPVIDINGE/klagomålsmail/A 3677-2023.docx")</f>
        <v/>
      </c>
      <c r="X172">
        <f>HYPERLINK("https://klasma.github.io/Logging_UPPVIDINGE/tillsyn/A 3677-2023.docx")</f>
        <v/>
      </c>
      <c r="Y172">
        <f>HYPERLINK("https://klasma.github.io/Logging_UPPVIDINGE/tillsynsmail/A 3677-2023.docx")</f>
        <v/>
      </c>
    </row>
    <row r="173" ht="15" customHeight="1">
      <c r="A173" t="inlineStr">
        <is>
          <t>A 9825-2023</t>
        </is>
      </c>
      <c r="B173" s="1" t="n">
        <v>44984</v>
      </c>
      <c r="C173" s="1" t="n">
        <v>45184</v>
      </c>
      <c r="D173" t="inlineStr">
        <is>
          <t>KRONOBERGS LÄN</t>
        </is>
      </c>
      <c r="E173" t="inlineStr">
        <is>
          <t>TINGSRYD</t>
        </is>
      </c>
      <c r="G173" t="n">
        <v>3.5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Huggorm</t>
        </is>
      </c>
      <c r="S173">
        <f>HYPERLINK("https://klasma.github.io/Logging_TINGSRYD/artfynd/A 9825-2023.xlsx")</f>
        <v/>
      </c>
      <c r="T173">
        <f>HYPERLINK("https://klasma.github.io/Logging_TINGSRYD/kartor/A 9825-2023.png")</f>
        <v/>
      </c>
      <c r="V173">
        <f>HYPERLINK("https://klasma.github.io/Logging_TINGSRYD/klagomål/A 9825-2023.docx")</f>
        <v/>
      </c>
      <c r="W173">
        <f>HYPERLINK("https://klasma.github.io/Logging_TINGSRYD/klagomålsmail/A 9825-2023.docx")</f>
        <v/>
      </c>
      <c r="X173">
        <f>HYPERLINK("https://klasma.github.io/Logging_TINGSRYD/tillsyn/A 9825-2023.docx")</f>
        <v/>
      </c>
      <c r="Y173">
        <f>HYPERLINK("https://klasma.github.io/Logging_TINGSRYD/tillsynsmail/A 9825-2023.docx")</f>
        <v/>
      </c>
    </row>
    <row r="174" ht="15" customHeight="1">
      <c r="A174" t="inlineStr">
        <is>
          <t>A 9911-2023</t>
        </is>
      </c>
      <c r="B174" s="1" t="n">
        <v>44985</v>
      </c>
      <c r="C174" s="1" t="n">
        <v>45184</v>
      </c>
      <c r="D174" t="inlineStr">
        <is>
          <t>KRONOBERGS LÄN</t>
        </is>
      </c>
      <c r="E174" t="inlineStr">
        <is>
          <t>LJUNGBY</t>
        </is>
      </c>
      <c r="G174" t="n">
        <v>1</v>
      </c>
      <c r="H174" t="n">
        <v>1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Spindelblomster</t>
        </is>
      </c>
      <c r="S174">
        <f>HYPERLINK("https://klasma.github.io/Logging_LJUNGBY/artfynd/A 9911-2023.xlsx")</f>
        <v/>
      </c>
      <c r="T174">
        <f>HYPERLINK("https://klasma.github.io/Logging_LJUNGBY/kartor/A 9911-2023.png")</f>
        <v/>
      </c>
      <c r="V174">
        <f>HYPERLINK("https://klasma.github.io/Logging_LJUNGBY/klagomål/A 9911-2023.docx")</f>
        <v/>
      </c>
      <c r="W174">
        <f>HYPERLINK("https://klasma.github.io/Logging_LJUNGBY/klagomålsmail/A 9911-2023.docx")</f>
        <v/>
      </c>
      <c r="X174">
        <f>HYPERLINK("https://klasma.github.io/Logging_LJUNGBY/tillsyn/A 9911-2023.docx")</f>
        <v/>
      </c>
      <c r="Y174">
        <f>HYPERLINK("https://klasma.github.io/Logging_LJUNGBY/tillsynsmail/A 9911-2023.docx")</f>
        <v/>
      </c>
    </row>
    <row r="175" ht="15" customHeight="1">
      <c r="A175" t="inlineStr">
        <is>
          <t>A 12184-2023</t>
        </is>
      </c>
      <c r="B175" s="1" t="n">
        <v>44998</v>
      </c>
      <c r="C175" s="1" t="n">
        <v>45184</v>
      </c>
      <c r="D175" t="inlineStr">
        <is>
          <t>KRONOBERGS LÄN</t>
        </is>
      </c>
      <c r="E175" t="inlineStr">
        <is>
          <t>UPPVIDINGE</t>
        </is>
      </c>
      <c r="G175" t="n">
        <v>0.6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Fjällig taggsvamp s.str.</t>
        </is>
      </c>
      <c r="S175">
        <f>HYPERLINK("https://klasma.github.io/Logging_UPPVIDINGE/artfynd/A 12184-2023.xlsx")</f>
        <v/>
      </c>
      <c r="T175">
        <f>HYPERLINK("https://klasma.github.io/Logging_UPPVIDINGE/kartor/A 12184-2023.png")</f>
        <v/>
      </c>
      <c r="V175">
        <f>HYPERLINK("https://klasma.github.io/Logging_UPPVIDINGE/klagomål/A 12184-2023.docx")</f>
        <v/>
      </c>
      <c r="W175">
        <f>HYPERLINK("https://klasma.github.io/Logging_UPPVIDINGE/klagomålsmail/A 12184-2023.docx")</f>
        <v/>
      </c>
      <c r="X175">
        <f>HYPERLINK("https://klasma.github.io/Logging_UPPVIDINGE/tillsyn/A 12184-2023.docx")</f>
        <v/>
      </c>
      <c r="Y175">
        <f>HYPERLINK("https://klasma.github.io/Logging_UPPVIDINGE/tillsynsmail/A 12184-2023.docx")</f>
        <v/>
      </c>
    </row>
    <row r="176" ht="15" customHeight="1">
      <c r="A176" t="inlineStr">
        <is>
          <t>A 13460-2023</t>
        </is>
      </c>
      <c r="B176" s="1" t="n">
        <v>45005</v>
      </c>
      <c r="C176" s="1" t="n">
        <v>45184</v>
      </c>
      <c r="D176" t="inlineStr">
        <is>
          <t>KRONOBERGS LÄN</t>
        </is>
      </c>
      <c r="E176" t="inlineStr">
        <is>
          <t>LJUNGBY</t>
        </is>
      </c>
      <c r="G176" t="n">
        <v>5.1</v>
      </c>
      <c r="H176" t="n">
        <v>1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Spillkråka</t>
        </is>
      </c>
      <c r="S176">
        <f>HYPERLINK("https://klasma.github.io/Logging_LJUNGBY/artfynd/A 13460-2023.xlsx")</f>
        <v/>
      </c>
      <c r="T176">
        <f>HYPERLINK("https://klasma.github.io/Logging_LJUNGBY/kartor/A 13460-2023.png")</f>
        <v/>
      </c>
      <c r="V176">
        <f>HYPERLINK("https://klasma.github.io/Logging_LJUNGBY/klagomål/A 13460-2023.docx")</f>
        <v/>
      </c>
      <c r="W176">
        <f>HYPERLINK("https://klasma.github.io/Logging_LJUNGBY/klagomålsmail/A 13460-2023.docx")</f>
        <v/>
      </c>
      <c r="X176">
        <f>HYPERLINK("https://klasma.github.io/Logging_LJUNGBY/tillsyn/A 13460-2023.docx")</f>
        <v/>
      </c>
      <c r="Y176">
        <f>HYPERLINK("https://klasma.github.io/Logging_LJUNGBY/tillsynsmail/A 13460-2023.docx")</f>
        <v/>
      </c>
    </row>
    <row r="177" ht="15" customHeight="1">
      <c r="A177" t="inlineStr">
        <is>
          <t>A 18430-2023</t>
        </is>
      </c>
      <c r="B177" s="1" t="n">
        <v>45042</v>
      </c>
      <c r="C177" s="1" t="n">
        <v>45184</v>
      </c>
      <c r="D177" t="inlineStr">
        <is>
          <t>KRONOBERGS LÄN</t>
        </is>
      </c>
      <c r="E177" t="inlineStr">
        <is>
          <t>LJUNGBY</t>
        </is>
      </c>
      <c r="G177" t="n">
        <v>2.4</v>
      </c>
      <c r="H177" t="n">
        <v>1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Knärot</t>
        </is>
      </c>
      <c r="S177">
        <f>HYPERLINK("https://klasma.github.io/Logging_LJUNGBY/artfynd/A 18430-2023.xlsx")</f>
        <v/>
      </c>
      <c r="T177">
        <f>HYPERLINK("https://klasma.github.io/Logging_LJUNGBY/kartor/A 18430-2023.png")</f>
        <v/>
      </c>
      <c r="U177">
        <f>HYPERLINK("https://klasma.github.io/Logging_LJUNGBY/knärot/A 18430-2023.png")</f>
        <v/>
      </c>
      <c r="V177">
        <f>HYPERLINK("https://klasma.github.io/Logging_LJUNGBY/klagomål/A 18430-2023.docx")</f>
        <v/>
      </c>
      <c r="W177">
        <f>HYPERLINK("https://klasma.github.io/Logging_LJUNGBY/klagomålsmail/A 18430-2023.docx")</f>
        <v/>
      </c>
      <c r="X177">
        <f>HYPERLINK("https://klasma.github.io/Logging_LJUNGBY/tillsyn/A 18430-2023.docx")</f>
        <v/>
      </c>
      <c r="Y177">
        <f>HYPERLINK("https://klasma.github.io/Logging_LJUNGBY/tillsynsmail/A 18430-2023.docx")</f>
        <v/>
      </c>
    </row>
    <row r="178" ht="15" customHeight="1">
      <c r="A178" t="inlineStr">
        <is>
          <t>A 25295-2023</t>
        </is>
      </c>
      <c r="B178" s="1" t="n">
        <v>45086</v>
      </c>
      <c r="C178" s="1" t="n">
        <v>45184</v>
      </c>
      <c r="D178" t="inlineStr">
        <is>
          <t>KRONOBERGS LÄN</t>
        </is>
      </c>
      <c r="E178" t="inlineStr">
        <is>
          <t>LJUNGBY</t>
        </is>
      </c>
      <c r="G178" t="n">
        <v>1.3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Grönpyrola</t>
        </is>
      </c>
      <c r="S178">
        <f>HYPERLINK("https://klasma.github.io/Logging_LJUNGBY/artfynd/A 25295-2023.xlsx")</f>
        <v/>
      </c>
      <c r="T178">
        <f>HYPERLINK("https://klasma.github.io/Logging_LJUNGBY/kartor/A 25295-2023.png")</f>
        <v/>
      </c>
      <c r="V178">
        <f>HYPERLINK("https://klasma.github.io/Logging_LJUNGBY/klagomål/A 25295-2023.docx")</f>
        <v/>
      </c>
      <c r="W178">
        <f>HYPERLINK("https://klasma.github.io/Logging_LJUNGBY/klagomålsmail/A 25295-2023.docx")</f>
        <v/>
      </c>
      <c r="X178">
        <f>HYPERLINK("https://klasma.github.io/Logging_LJUNGBY/tillsyn/A 25295-2023.docx")</f>
        <v/>
      </c>
      <c r="Y178">
        <f>HYPERLINK("https://klasma.github.io/Logging_LJUNGBY/tillsynsmail/A 25295-2023.docx")</f>
        <v/>
      </c>
    </row>
    <row r="179" ht="15" customHeight="1">
      <c r="A179" t="inlineStr">
        <is>
          <t>A 31667-2023</t>
        </is>
      </c>
      <c r="B179" s="1" t="n">
        <v>45098</v>
      </c>
      <c r="C179" s="1" t="n">
        <v>45184</v>
      </c>
      <c r="D179" t="inlineStr">
        <is>
          <t>KRONOBERGS LÄN</t>
        </is>
      </c>
      <c r="E179" t="inlineStr">
        <is>
          <t>VÄXJÖ</t>
        </is>
      </c>
      <c r="G179" t="n">
        <v>1.5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Hårklomossa</t>
        </is>
      </c>
      <c r="S179">
        <f>HYPERLINK("https://klasma.github.io/Logging_VAXJO/artfynd/A 31667-2023.xlsx")</f>
        <v/>
      </c>
      <c r="T179">
        <f>HYPERLINK("https://klasma.github.io/Logging_VAXJO/kartor/A 31667-2023.png")</f>
        <v/>
      </c>
      <c r="V179">
        <f>HYPERLINK("https://klasma.github.io/Logging_VAXJO/klagomål/A 31667-2023.docx")</f>
        <v/>
      </c>
      <c r="W179">
        <f>HYPERLINK("https://klasma.github.io/Logging_VAXJO/klagomålsmail/A 31667-2023.docx")</f>
        <v/>
      </c>
      <c r="X179">
        <f>HYPERLINK("https://klasma.github.io/Logging_VAXJO/tillsyn/A 31667-2023.docx")</f>
        <v/>
      </c>
      <c r="Y179">
        <f>HYPERLINK("https://klasma.github.io/Logging_VAXJO/tillsynsmail/A 31667-2023.docx")</f>
        <v/>
      </c>
    </row>
    <row r="180" ht="15" customHeight="1">
      <c r="A180" t="inlineStr">
        <is>
          <t>A 29270-2023</t>
        </is>
      </c>
      <c r="B180" s="1" t="n">
        <v>45105</v>
      </c>
      <c r="C180" s="1" t="n">
        <v>45184</v>
      </c>
      <c r="D180" t="inlineStr">
        <is>
          <t>KRONOBERGS LÄN</t>
        </is>
      </c>
      <c r="E180" t="inlineStr">
        <is>
          <t>LJUNGBY</t>
        </is>
      </c>
      <c r="F180" t="inlineStr">
        <is>
          <t>Kommuner</t>
        </is>
      </c>
      <c r="G180" t="n">
        <v>3.5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Bronshjon</t>
        </is>
      </c>
      <c r="S180">
        <f>HYPERLINK("https://klasma.github.io/Logging_LJUNGBY/artfynd/A 29270-2023.xlsx")</f>
        <v/>
      </c>
      <c r="T180">
        <f>HYPERLINK("https://klasma.github.io/Logging_LJUNGBY/kartor/A 29270-2023.png")</f>
        <v/>
      </c>
      <c r="V180">
        <f>HYPERLINK("https://klasma.github.io/Logging_LJUNGBY/klagomål/A 29270-2023.docx")</f>
        <v/>
      </c>
      <c r="W180">
        <f>HYPERLINK("https://klasma.github.io/Logging_LJUNGBY/klagomålsmail/A 29270-2023.docx")</f>
        <v/>
      </c>
      <c r="X180">
        <f>HYPERLINK("https://klasma.github.io/Logging_LJUNGBY/tillsyn/A 29270-2023.docx")</f>
        <v/>
      </c>
      <c r="Y180">
        <f>HYPERLINK("https://klasma.github.io/Logging_LJUNGBY/tillsynsmail/A 29270-2023.docx")</f>
        <v/>
      </c>
    </row>
    <row r="181" ht="15" customHeight="1">
      <c r="A181" t="inlineStr">
        <is>
          <t>A 31848-2023</t>
        </is>
      </c>
      <c r="B181" s="1" t="n">
        <v>45106</v>
      </c>
      <c r="C181" s="1" t="n">
        <v>45184</v>
      </c>
      <c r="D181" t="inlineStr">
        <is>
          <t>KRONOBERGS LÄN</t>
        </is>
      </c>
      <c r="E181" t="inlineStr">
        <is>
          <t>ALVESTA</t>
        </is>
      </c>
      <c r="G181" t="n">
        <v>3.3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Springkorn</t>
        </is>
      </c>
      <c r="S181">
        <f>HYPERLINK("https://klasma.github.io/Logging_ALVESTA/artfynd/A 31848-2023.xlsx")</f>
        <v/>
      </c>
      <c r="T181">
        <f>HYPERLINK("https://klasma.github.io/Logging_ALVESTA/kartor/A 31848-2023.png")</f>
        <v/>
      </c>
      <c r="V181">
        <f>HYPERLINK("https://klasma.github.io/Logging_ALVESTA/klagomål/A 31848-2023.docx")</f>
        <v/>
      </c>
      <c r="W181">
        <f>HYPERLINK("https://klasma.github.io/Logging_ALVESTA/klagomålsmail/A 31848-2023.docx")</f>
        <v/>
      </c>
      <c r="X181">
        <f>HYPERLINK("https://klasma.github.io/Logging_ALVESTA/tillsyn/A 31848-2023.docx")</f>
        <v/>
      </c>
      <c r="Y181">
        <f>HYPERLINK("https://klasma.github.io/Logging_ALVESTA/tillsynsmail/A 31848-2023.docx")</f>
        <v/>
      </c>
    </row>
    <row r="182" ht="15" customHeight="1">
      <c r="A182" t="inlineStr">
        <is>
          <t>A 30359-2023</t>
        </is>
      </c>
      <c r="B182" s="1" t="n">
        <v>45111</v>
      </c>
      <c r="C182" s="1" t="n">
        <v>45184</v>
      </c>
      <c r="D182" t="inlineStr">
        <is>
          <t>KRONOBERGS LÄN</t>
        </is>
      </c>
      <c r="E182" t="inlineStr">
        <is>
          <t>LJUNGBY</t>
        </is>
      </c>
      <c r="G182" t="n">
        <v>2.1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Brunpudrad nållav</t>
        </is>
      </c>
      <c r="S182">
        <f>HYPERLINK("https://klasma.github.io/Logging_LJUNGBY/artfynd/A 30359-2023.xlsx")</f>
        <v/>
      </c>
      <c r="T182">
        <f>HYPERLINK("https://klasma.github.io/Logging_LJUNGBY/kartor/A 30359-2023.png")</f>
        <v/>
      </c>
      <c r="V182">
        <f>HYPERLINK("https://klasma.github.io/Logging_LJUNGBY/klagomål/A 30359-2023.docx")</f>
        <v/>
      </c>
      <c r="W182">
        <f>HYPERLINK("https://klasma.github.io/Logging_LJUNGBY/klagomålsmail/A 30359-2023.docx")</f>
        <v/>
      </c>
      <c r="X182">
        <f>HYPERLINK("https://klasma.github.io/Logging_LJUNGBY/tillsyn/A 30359-2023.docx")</f>
        <v/>
      </c>
      <c r="Y182">
        <f>HYPERLINK("https://klasma.github.io/Logging_LJUNGBY/tillsynsmail/A 30359-2023.docx")</f>
        <v/>
      </c>
    </row>
    <row r="183" ht="15" customHeight="1">
      <c r="A183" t="inlineStr">
        <is>
          <t>A 37950-2023</t>
        </is>
      </c>
      <c r="B183" s="1" t="n">
        <v>45160</v>
      </c>
      <c r="C183" s="1" t="n">
        <v>45184</v>
      </c>
      <c r="D183" t="inlineStr">
        <is>
          <t>KRONOBERGS LÄN</t>
        </is>
      </c>
      <c r="E183" t="inlineStr">
        <is>
          <t>ALVESTA</t>
        </is>
      </c>
      <c r="G183" t="n">
        <v>4.8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Brandticka</t>
        </is>
      </c>
      <c r="S183">
        <f>HYPERLINK("https://klasma.github.io/Logging_ALVESTA/artfynd/A 37950-2023.xlsx")</f>
        <v/>
      </c>
      <c r="T183">
        <f>HYPERLINK("https://klasma.github.io/Logging_ALVESTA/kartor/A 37950-2023.png")</f>
        <v/>
      </c>
      <c r="V183">
        <f>HYPERLINK("https://klasma.github.io/Logging_ALVESTA/klagomål/A 37950-2023.docx")</f>
        <v/>
      </c>
      <c r="W183">
        <f>HYPERLINK("https://klasma.github.io/Logging_ALVESTA/klagomålsmail/A 37950-2023.docx")</f>
        <v/>
      </c>
      <c r="X183">
        <f>HYPERLINK("https://klasma.github.io/Logging_ALVESTA/tillsyn/A 37950-2023.docx")</f>
        <v/>
      </c>
      <c r="Y183">
        <f>HYPERLINK("https://klasma.github.io/Logging_ALVESTA/tillsynsmail/A 37950-2023.docx")</f>
        <v/>
      </c>
    </row>
    <row r="184" ht="15" customHeight="1">
      <c r="A184" t="inlineStr">
        <is>
          <t>A 33996-2018</t>
        </is>
      </c>
      <c r="B184" s="1" t="n">
        <v>43314</v>
      </c>
      <c r="C184" s="1" t="n">
        <v>45184</v>
      </c>
      <c r="D184" t="inlineStr">
        <is>
          <t>KRONOBERGS LÄN</t>
        </is>
      </c>
      <c r="E184" t="inlineStr">
        <is>
          <t>TINGSRYD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34147-2018</t>
        </is>
      </c>
      <c r="B185" s="1" t="n">
        <v>43317</v>
      </c>
      <c r="C185" s="1" t="n">
        <v>45184</v>
      </c>
      <c r="D185" t="inlineStr">
        <is>
          <t>KRONOBERGS LÄN</t>
        </is>
      </c>
      <c r="E185" t="inlineStr">
        <is>
          <t>ÄLMHULT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34211-2018</t>
        </is>
      </c>
      <c r="B186" s="1" t="n">
        <v>43318</v>
      </c>
      <c r="C186" s="1" t="n">
        <v>45184</v>
      </c>
      <c r="D186" t="inlineStr">
        <is>
          <t>KRONOBERGS LÄN</t>
        </is>
      </c>
      <c r="E186" t="inlineStr">
        <is>
          <t>ÄLMHULT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34303-2018</t>
        </is>
      </c>
      <c r="B187" s="1" t="n">
        <v>43318</v>
      </c>
      <c r="C187" s="1" t="n">
        <v>45184</v>
      </c>
      <c r="D187" t="inlineStr">
        <is>
          <t>KRONOBERGS LÄN</t>
        </is>
      </c>
      <c r="E187" t="inlineStr">
        <is>
          <t>ALVESTA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34644-2018</t>
        </is>
      </c>
      <c r="B188" s="1" t="n">
        <v>43320</v>
      </c>
      <c r="C188" s="1" t="n">
        <v>45184</v>
      </c>
      <c r="D188" t="inlineStr">
        <is>
          <t>KRONOBERGS LÄN</t>
        </is>
      </c>
      <c r="E188" t="inlineStr">
        <is>
          <t>TINGSRYD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34622-2018</t>
        </is>
      </c>
      <c r="B189" s="1" t="n">
        <v>43320</v>
      </c>
      <c r="C189" s="1" t="n">
        <v>45184</v>
      </c>
      <c r="D189" t="inlineStr">
        <is>
          <t>KRONOBERGS LÄN</t>
        </is>
      </c>
      <c r="E189" t="inlineStr">
        <is>
          <t>TINGSRYD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34841-2018</t>
        </is>
      </c>
      <c r="B190" s="1" t="n">
        <v>43321</v>
      </c>
      <c r="C190" s="1" t="n">
        <v>45184</v>
      </c>
      <c r="D190" t="inlineStr">
        <is>
          <t>KRONOBERGS LÄN</t>
        </is>
      </c>
      <c r="E190" t="inlineStr">
        <is>
          <t>LJUNGBY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35095-2018</t>
        </is>
      </c>
      <c r="B191" s="1" t="n">
        <v>43322</v>
      </c>
      <c r="C191" s="1" t="n">
        <v>45184</v>
      </c>
      <c r="D191" t="inlineStr">
        <is>
          <t>KRONOBERGS LÄN</t>
        </is>
      </c>
      <c r="E191" t="inlineStr">
        <is>
          <t>ALVESTA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35572-2018</t>
        </is>
      </c>
      <c r="B192" s="1" t="n">
        <v>43325</v>
      </c>
      <c r="C192" s="1" t="n">
        <v>45184</v>
      </c>
      <c r="D192" t="inlineStr">
        <is>
          <t>KRONOBERGS LÄN</t>
        </is>
      </c>
      <c r="E192" t="inlineStr">
        <is>
          <t>ÄLMHULT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35766-2018</t>
        </is>
      </c>
      <c r="B193" s="1" t="n">
        <v>43326</v>
      </c>
      <c r="C193" s="1" t="n">
        <v>45184</v>
      </c>
      <c r="D193" t="inlineStr">
        <is>
          <t>KRONOBERGS LÄN</t>
        </is>
      </c>
      <c r="E193" t="inlineStr">
        <is>
          <t>UPPVIDINGE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35788-2018</t>
        </is>
      </c>
      <c r="B194" s="1" t="n">
        <v>43326</v>
      </c>
      <c r="C194" s="1" t="n">
        <v>45184</v>
      </c>
      <c r="D194" t="inlineStr">
        <is>
          <t>KRONOBERGS LÄN</t>
        </is>
      </c>
      <c r="E194" t="inlineStr">
        <is>
          <t>VÄXJÖ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35807-2018</t>
        </is>
      </c>
      <c r="B195" s="1" t="n">
        <v>43326</v>
      </c>
      <c r="C195" s="1" t="n">
        <v>45184</v>
      </c>
      <c r="D195" t="inlineStr">
        <is>
          <t>KRONOBERGS LÄN</t>
        </is>
      </c>
      <c r="E195" t="inlineStr">
        <is>
          <t>TINGSRYD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35813-2018</t>
        </is>
      </c>
      <c r="B196" s="1" t="n">
        <v>43326</v>
      </c>
      <c r="C196" s="1" t="n">
        <v>45184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35731-2018</t>
        </is>
      </c>
      <c r="B197" s="1" t="n">
        <v>43326</v>
      </c>
      <c r="C197" s="1" t="n">
        <v>45184</v>
      </c>
      <c r="D197" t="inlineStr">
        <is>
          <t>KRONOBERGS LÄN</t>
        </is>
      </c>
      <c r="E197" t="inlineStr">
        <is>
          <t>UPPVIDINGE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35804-2018</t>
        </is>
      </c>
      <c r="B198" s="1" t="n">
        <v>43326</v>
      </c>
      <c r="C198" s="1" t="n">
        <v>45184</v>
      </c>
      <c r="D198" t="inlineStr">
        <is>
          <t>KRONOBERGS LÄN</t>
        </is>
      </c>
      <c r="E198" t="inlineStr">
        <is>
          <t>TINGSRYD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35985-2018</t>
        </is>
      </c>
      <c r="B199" s="1" t="n">
        <v>43326</v>
      </c>
      <c r="C199" s="1" t="n">
        <v>45184</v>
      </c>
      <c r="D199" t="inlineStr">
        <is>
          <t>KRONOBERGS LÄN</t>
        </is>
      </c>
      <c r="E199" t="inlineStr">
        <is>
          <t>ALVESTA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36063-2018</t>
        </is>
      </c>
      <c r="B200" s="1" t="n">
        <v>43326</v>
      </c>
      <c r="C200" s="1" t="n">
        <v>45184</v>
      </c>
      <c r="D200" t="inlineStr">
        <is>
          <t>KRONOBERGS LÄN</t>
        </is>
      </c>
      <c r="E200" t="inlineStr">
        <is>
          <t>UPPVIDINGE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36195-2018</t>
        </is>
      </c>
      <c r="B201" s="1" t="n">
        <v>43327</v>
      </c>
      <c r="C201" s="1" t="n">
        <v>45184</v>
      </c>
      <c r="D201" t="inlineStr">
        <is>
          <t>KRONOBERGS LÄN</t>
        </is>
      </c>
      <c r="E201" t="inlineStr">
        <is>
          <t>LJUNGBY</t>
        </is>
      </c>
      <c r="F201" t="inlineStr">
        <is>
          <t>Kommuner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35942-2018</t>
        </is>
      </c>
      <c r="B202" s="1" t="n">
        <v>43327</v>
      </c>
      <c r="C202" s="1" t="n">
        <v>45184</v>
      </c>
      <c r="D202" t="inlineStr">
        <is>
          <t>KRONOBERGS LÄN</t>
        </is>
      </c>
      <c r="E202" t="inlineStr">
        <is>
          <t>TINGSRYD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36084-2018</t>
        </is>
      </c>
      <c r="B203" s="1" t="n">
        <v>43327</v>
      </c>
      <c r="C203" s="1" t="n">
        <v>45184</v>
      </c>
      <c r="D203" t="inlineStr">
        <is>
          <t>KRONOBERGS LÄN</t>
        </is>
      </c>
      <c r="E203" t="inlineStr">
        <is>
          <t>UPPVIDINGE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36205-2018</t>
        </is>
      </c>
      <c r="B204" s="1" t="n">
        <v>43328</v>
      </c>
      <c r="C204" s="1" t="n">
        <v>45184</v>
      </c>
      <c r="D204" t="inlineStr">
        <is>
          <t>KRONOBERGS LÄN</t>
        </is>
      </c>
      <c r="E204" t="inlineStr">
        <is>
          <t>UPPVIDINGE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36742-2018</t>
        </is>
      </c>
      <c r="B205" s="1" t="n">
        <v>43329</v>
      </c>
      <c r="C205" s="1" t="n">
        <v>45184</v>
      </c>
      <c r="D205" t="inlineStr">
        <is>
          <t>KRONOBERGS LÄN</t>
        </is>
      </c>
      <c r="E205" t="inlineStr">
        <is>
          <t>LJUNGBY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36756-2018</t>
        </is>
      </c>
      <c r="B206" s="1" t="n">
        <v>43329</v>
      </c>
      <c r="C206" s="1" t="n">
        <v>45184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36558-2018</t>
        </is>
      </c>
      <c r="B207" s="1" t="n">
        <v>43329</v>
      </c>
      <c r="C207" s="1" t="n">
        <v>45184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36657-2018</t>
        </is>
      </c>
      <c r="B208" s="1" t="n">
        <v>43331</v>
      </c>
      <c r="C208" s="1" t="n">
        <v>45184</v>
      </c>
      <c r="D208" t="inlineStr">
        <is>
          <t>KRONOBERGS LÄN</t>
        </is>
      </c>
      <c r="E208" t="inlineStr">
        <is>
          <t>VÄXJÖ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36658-2018</t>
        </is>
      </c>
      <c r="B209" s="1" t="n">
        <v>43331</v>
      </c>
      <c r="C209" s="1" t="n">
        <v>45184</v>
      </c>
      <c r="D209" t="inlineStr">
        <is>
          <t>KRONOBERGS LÄN</t>
        </is>
      </c>
      <c r="E209" t="inlineStr">
        <is>
          <t>VÄXJÖ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36656-2018</t>
        </is>
      </c>
      <c r="B210" s="1" t="n">
        <v>43331</v>
      </c>
      <c r="C210" s="1" t="n">
        <v>45184</v>
      </c>
      <c r="D210" t="inlineStr">
        <is>
          <t>KRONOBERGS LÄN</t>
        </is>
      </c>
      <c r="E210" t="inlineStr">
        <is>
          <t>VÄXJÖ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36857-2018</t>
        </is>
      </c>
      <c r="B211" s="1" t="n">
        <v>43332</v>
      </c>
      <c r="C211" s="1" t="n">
        <v>45184</v>
      </c>
      <c r="D211" t="inlineStr">
        <is>
          <t>KRONOBERGS LÄN</t>
        </is>
      </c>
      <c r="E211" t="inlineStr">
        <is>
          <t>VÄXJÖ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36874-2018</t>
        </is>
      </c>
      <c r="B212" s="1" t="n">
        <v>43332</v>
      </c>
      <c r="C212" s="1" t="n">
        <v>45184</v>
      </c>
      <c r="D212" t="inlineStr">
        <is>
          <t>KRONOBERGS LÄN</t>
        </is>
      </c>
      <c r="E212" t="inlineStr">
        <is>
          <t>MARKARYD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36883-2018</t>
        </is>
      </c>
      <c r="B213" s="1" t="n">
        <v>43332</v>
      </c>
      <c r="C213" s="1" t="n">
        <v>45184</v>
      </c>
      <c r="D213" t="inlineStr">
        <is>
          <t>KRONOBERGS LÄN</t>
        </is>
      </c>
      <c r="E213" t="inlineStr">
        <is>
          <t>MARKARYD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36862-2018</t>
        </is>
      </c>
      <c r="B214" s="1" t="n">
        <v>43332</v>
      </c>
      <c r="C214" s="1" t="n">
        <v>45184</v>
      </c>
      <c r="D214" t="inlineStr">
        <is>
          <t>KRONOBERGS LÄN</t>
        </is>
      </c>
      <c r="E214" t="inlineStr">
        <is>
          <t>VÄXJÖ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36839-2018</t>
        </is>
      </c>
      <c r="B215" s="1" t="n">
        <v>43332</v>
      </c>
      <c r="C215" s="1" t="n">
        <v>45184</v>
      </c>
      <c r="D215" t="inlineStr">
        <is>
          <t>KRONOBERGS LÄN</t>
        </is>
      </c>
      <c r="E215" t="inlineStr">
        <is>
          <t>ALVESTA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37297-2018</t>
        </is>
      </c>
      <c r="B216" s="1" t="n">
        <v>43333</v>
      </c>
      <c r="C216" s="1" t="n">
        <v>45184</v>
      </c>
      <c r="D216" t="inlineStr">
        <is>
          <t>KRONOBERGS LÄN</t>
        </is>
      </c>
      <c r="E216" t="inlineStr">
        <is>
          <t>LJUNGBY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37456-2018</t>
        </is>
      </c>
      <c r="B217" s="1" t="n">
        <v>43334</v>
      </c>
      <c r="C217" s="1" t="n">
        <v>45184</v>
      </c>
      <c r="D217" t="inlineStr">
        <is>
          <t>KRONOBERGS LÄN</t>
        </is>
      </c>
      <c r="E217" t="inlineStr">
        <is>
          <t>TINGSRYD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38727-2018</t>
        </is>
      </c>
      <c r="B218" s="1" t="n">
        <v>43335</v>
      </c>
      <c r="C218" s="1" t="n">
        <v>45184</v>
      </c>
      <c r="D218" t="inlineStr">
        <is>
          <t>KRONOBERGS LÄN</t>
        </is>
      </c>
      <c r="E218" t="inlineStr">
        <is>
          <t>MARKARYD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37646-2018</t>
        </is>
      </c>
      <c r="B219" s="1" t="n">
        <v>43335</v>
      </c>
      <c r="C219" s="1" t="n">
        <v>45184</v>
      </c>
      <c r="D219" t="inlineStr">
        <is>
          <t>KRONOBERGS LÄN</t>
        </is>
      </c>
      <c r="E219" t="inlineStr">
        <is>
          <t>ALVESTA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38607-2018</t>
        </is>
      </c>
      <c r="B220" s="1" t="n">
        <v>43335</v>
      </c>
      <c r="C220" s="1" t="n">
        <v>45184</v>
      </c>
      <c r="D220" t="inlineStr">
        <is>
          <t>KRONOBERGS LÄN</t>
        </is>
      </c>
      <c r="E220" t="inlineStr">
        <is>
          <t>ÄLMHULT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38023-2018</t>
        </is>
      </c>
      <c r="B221" s="1" t="n">
        <v>43336</v>
      </c>
      <c r="C221" s="1" t="n">
        <v>45184</v>
      </c>
      <c r="D221" t="inlineStr">
        <is>
          <t>KRONOBERGS LÄN</t>
        </is>
      </c>
      <c r="E221" t="inlineStr">
        <is>
          <t>TINGSRYD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38110-2018</t>
        </is>
      </c>
      <c r="B222" s="1" t="n">
        <v>43336</v>
      </c>
      <c r="C222" s="1" t="n">
        <v>45184</v>
      </c>
      <c r="D222" t="inlineStr">
        <is>
          <t>KRONOBERGS LÄN</t>
        </is>
      </c>
      <c r="E222" t="inlineStr">
        <is>
          <t>VÄXJÖ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38033-2018</t>
        </is>
      </c>
      <c r="B223" s="1" t="n">
        <v>43336</v>
      </c>
      <c r="C223" s="1" t="n">
        <v>45184</v>
      </c>
      <c r="D223" t="inlineStr">
        <is>
          <t>KRONOBERGS LÄN</t>
        </is>
      </c>
      <c r="E223" t="inlineStr">
        <is>
          <t>TINGSRYD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38738-2018</t>
        </is>
      </c>
      <c r="B224" s="1" t="n">
        <v>43336</v>
      </c>
      <c r="C224" s="1" t="n">
        <v>45184</v>
      </c>
      <c r="D224" t="inlineStr">
        <is>
          <t>KRONOBERGS LÄN</t>
        </is>
      </c>
      <c r="E224" t="inlineStr">
        <is>
          <t>UPPVIDINGE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38148-2018</t>
        </is>
      </c>
      <c r="B225" s="1" t="n">
        <v>43336</v>
      </c>
      <c r="C225" s="1" t="n">
        <v>45184</v>
      </c>
      <c r="D225" t="inlineStr">
        <is>
          <t>KRONOBERGS LÄN</t>
        </is>
      </c>
      <c r="E225" t="inlineStr">
        <is>
          <t>VÄXJÖ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38385-2018</t>
        </is>
      </c>
      <c r="B226" s="1" t="n">
        <v>43339</v>
      </c>
      <c r="C226" s="1" t="n">
        <v>45184</v>
      </c>
      <c r="D226" t="inlineStr">
        <is>
          <t>KRONOBERGS LÄN</t>
        </is>
      </c>
      <c r="E226" t="inlineStr">
        <is>
          <t>VÄXJÖ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39170-2018</t>
        </is>
      </c>
      <c r="B227" s="1" t="n">
        <v>43339</v>
      </c>
      <c r="C227" s="1" t="n">
        <v>45184</v>
      </c>
      <c r="D227" t="inlineStr">
        <is>
          <t>KRONOBERGS LÄN</t>
        </is>
      </c>
      <c r="E227" t="inlineStr">
        <is>
          <t>LESSEBO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39201-2018</t>
        </is>
      </c>
      <c r="B228" s="1" t="n">
        <v>43339</v>
      </c>
      <c r="C228" s="1" t="n">
        <v>45184</v>
      </c>
      <c r="D228" t="inlineStr">
        <is>
          <t>KRONOBERGS LÄN</t>
        </is>
      </c>
      <c r="E228" t="inlineStr">
        <is>
          <t>ÄLMHULT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39158-2018</t>
        </is>
      </c>
      <c r="B229" s="1" t="n">
        <v>43339</v>
      </c>
      <c r="C229" s="1" t="n">
        <v>45184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38971-2018</t>
        </is>
      </c>
      <c r="B230" s="1" t="n">
        <v>43340</v>
      </c>
      <c r="C230" s="1" t="n">
        <v>45184</v>
      </c>
      <c r="D230" t="inlineStr">
        <is>
          <t>KRONOBERGS LÄN</t>
        </is>
      </c>
      <c r="E230" t="inlineStr">
        <is>
          <t>VÄXJÖ</t>
        </is>
      </c>
      <c r="F230" t="inlineStr">
        <is>
          <t>Kyrkan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39544-2018</t>
        </is>
      </c>
      <c r="B231" s="1" t="n">
        <v>43340</v>
      </c>
      <c r="C231" s="1" t="n">
        <v>45184</v>
      </c>
      <c r="D231" t="inlineStr">
        <is>
          <t>KRONOBERGS LÄN</t>
        </is>
      </c>
      <c r="E231" t="inlineStr">
        <is>
          <t>VÄXJÖ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39434-2018</t>
        </is>
      </c>
      <c r="B232" s="1" t="n">
        <v>43341</v>
      </c>
      <c r="C232" s="1" t="n">
        <v>45184</v>
      </c>
      <c r="D232" t="inlineStr">
        <is>
          <t>KRONOBERGS LÄN</t>
        </is>
      </c>
      <c r="E232" t="inlineStr">
        <is>
          <t>VÄXJÖ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39432-2018</t>
        </is>
      </c>
      <c r="B233" s="1" t="n">
        <v>43341</v>
      </c>
      <c r="C233" s="1" t="n">
        <v>45184</v>
      </c>
      <c r="D233" t="inlineStr">
        <is>
          <t>KRONOBERGS LÄN</t>
        </is>
      </c>
      <c r="E233" t="inlineStr">
        <is>
          <t>VÄXJÖ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39678-2018</t>
        </is>
      </c>
      <c r="B234" s="1" t="n">
        <v>43341</v>
      </c>
      <c r="C234" s="1" t="n">
        <v>45184</v>
      </c>
      <c r="D234" t="inlineStr">
        <is>
          <t>KRONOBERGS LÄN</t>
        </is>
      </c>
      <c r="E234" t="inlineStr">
        <is>
          <t>ÄLMHULT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39246-2018</t>
        </is>
      </c>
      <c r="B235" s="1" t="n">
        <v>43341</v>
      </c>
      <c r="C235" s="1" t="n">
        <v>45184</v>
      </c>
      <c r="D235" t="inlineStr">
        <is>
          <t>KRONOBERGS LÄN</t>
        </is>
      </c>
      <c r="E235" t="inlineStr">
        <is>
          <t>TINGSRYD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39343-2018</t>
        </is>
      </c>
      <c r="B236" s="1" t="n">
        <v>43341</v>
      </c>
      <c r="C236" s="1" t="n">
        <v>45184</v>
      </c>
      <c r="D236" t="inlineStr">
        <is>
          <t>KRONOBERGS LÄN</t>
        </is>
      </c>
      <c r="E236" t="inlineStr">
        <is>
          <t>ÄLMHULT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39801-2018</t>
        </is>
      </c>
      <c r="B237" s="1" t="n">
        <v>43342</v>
      </c>
      <c r="C237" s="1" t="n">
        <v>45184</v>
      </c>
      <c r="D237" t="inlineStr">
        <is>
          <t>KRONOBERGS LÄN</t>
        </is>
      </c>
      <c r="E237" t="inlineStr">
        <is>
          <t>LJUNGBY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40064-2018</t>
        </is>
      </c>
      <c r="B238" s="1" t="n">
        <v>43342</v>
      </c>
      <c r="C238" s="1" t="n">
        <v>45184</v>
      </c>
      <c r="D238" t="inlineStr">
        <is>
          <t>KRONOBERGS LÄN</t>
        </is>
      </c>
      <c r="E238" t="inlineStr">
        <is>
          <t>VÄXJÖ</t>
        </is>
      </c>
      <c r="F238" t="inlineStr">
        <is>
          <t>Kyrkan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39942-2018</t>
        </is>
      </c>
      <c r="B239" s="1" t="n">
        <v>43343</v>
      </c>
      <c r="C239" s="1" t="n">
        <v>45184</v>
      </c>
      <c r="D239" t="inlineStr">
        <is>
          <t>KRONOBERGS LÄN</t>
        </is>
      </c>
      <c r="E239" t="inlineStr">
        <is>
          <t>ALVESTA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40738-2018</t>
        </is>
      </c>
      <c r="B240" s="1" t="n">
        <v>43343</v>
      </c>
      <c r="C240" s="1" t="n">
        <v>45184</v>
      </c>
      <c r="D240" t="inlineStr">
        <is>
          <t>KRONOBERGS LÄN</t>
        </is>
      </c>
      <c r="E240" t="inlineStr">
        <is>
          <t>TINGSRYD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40761-2018</t>
        </is>
      </c>
      <c r="B241" s="1" t="n">
        <v>43343</v>
      </c>
      <c r="C241" s="1" t="n">
        <v>45184</v>
      </c>
      <c r="D241" t="inlineStr">
        <is>
          <t>KRONOBERGS LÄN</t>
        </is>
      </c>
      <c r="E241" t="inlineStr">
        <is>
          <t>TINGSRYD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40651-2018</t>
        </is>
      </c>
      <c r="B242" s="1" t="n">
        <v>43343</v>
      </c>
      <c r="C242" s="1" t="n">
        <v>45184</v>
      </c>
      <c r="D242" t="inlineStr">
        <is>
          <t>KRONOBERGS LÄN</t>
        </is>
      </c>
      <c r="E242" t="inlineStr">
        <is>
          <t>LJUNGBY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40756-2018</t>
        </is>
      </c>
      <c r="B243" s="1" t="n">
        <v>43343</v>
      </c>
      <c r="C243" s="1" t="n">
        <v>45184</v>
      </c>
      <c r="D243" t="inlineStr">
        <is>
          <t>KRONOBERGS LÄN</t>
        </is>
      </c>
      <c r="E243" t="inlineStr">
        <is>
          <t>TINGSRYD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40816-2018</t>
        </is>
      </c>
      <c r="B244" s="1" t="n">
        <v>43343</v>
      </c>
      <c r="C244" s="1" t="n">
        <v>45184</v>
      </c>
      <c r="D244" t="inlineStr">
        <is>
          <t>KRONOBERGS LÄN</t>
        </is>
      </c>
      <c r="E244" t="inlineStr">
        <is>
          <t>ÄLMHULT</t>
        </is>
      </c>
      <c r="G244" t="n">
        <v>10.3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40367-2018</t>
        </is>
      </c>
      <c r="B245" s="1" t="n">
        <v>43343</v>
      </c>
      <c r="C245" s="1" t="n">
        <v>45184</v>
      </c>
      <c r="D245" t="inlineStr">
        <is>
          <t>KRONOBERGS LÄN</t>
        </is>
      </c>
      <c r="E245" t="inlineStr">
        <is>
          <t>UPPVIDINGE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40648-2018</t>
        </is>
      </c>
      <c r="B246" s="1" t="n">
        <v>43343</v>
      </c>
      <c r="C246" s="1" t="n">
        <v>45184</v>
      </c>
      <c r="D246" t="inlineStr">
        <is>
          <t>KRONOBERGS LÄN</t>
        </is>
      </c>
      <c r="E246" t="inlineStr">
        <is>
          <t>ÄLMHULT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40764-2018</t>
        </is>
      </c>
      <c r="B247" s="1" t="n">
        <v>43343</v>
      </c>
      <c r="C247" s="1" t="n">
        <v>45184</v>
      </c>
      <c r="D247" t="inlineStr">
        <is>
          <t>KRONOBERGS LÄN</t>
        </is>
      </c>
      <c r="E247" t="inlineStr">
        <is>
          <t>TINGSRYD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40652-2018</t>
        </is>
      </c>
      <c r="B248" s="1" t="n">
        <v>43343</v>
      </c>
      <c r="C248" s="1" t="n">
        <v>45184</v>
      </c>
      <c r="D248" t="inlineStr">
        <is>
          <t>KRONOBERGS LÄN</t>
        </is>
      </c>
      <c r="E248" t="inlineStr">
        <is>
          <t>LJUNGBY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40757-2018</t>
        </is>
      </c>
      <c r="B249" s="1" t="n">
        <v>43343</v>
      </c>
      <c r="C249" s="1" t="n">
        <v>45184</v>
      </c>
      <c r="D249" t="inlineStr">
        <is>
          <t>KRONOBERGS LÄN</t>
        </is>
      </c>
      <c r="E249" t="inlineStr">
        <is>
          <t>TINGSRYD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40745-2018</t>
        </is>
      </c>
      <c r="B250" s="1" t="n">
        <v>43346</v>
      </c>
      <c r="C250" s="1" t="n">
        <v>45184</v>
      </c>
      <c r="D250" t="inlineStr">
        <is>
          <t>KRONOBERGS LÄN</t>
        </is>
      </c>
      <c r="E250" t="inlineStr">
        <is>
          <t>UPPVIDINGE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41459-2018</t>
        </is>
      </c>
      <c r="B251" s="1" t="n">
        <v>43346</v>
      </c>
      <c r="C251" s="1" t="n">
        <v>45184</v>
      </c>
      <c r="D251" t="inlineStr">
        <is>
          <t>KRONOBERGS LÄN</t>
        </is>
      </c>
      <c r="E251" t="inlineStr">
        <is>
          <t>TINGSRYD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41372-2018</t>
        </is>
      </c>
      <c r="B252" s="1" t="n">
        <v>43346</v>
      </c>
      <c r="C252" s="1" t="n">
        <v>45184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40896-2018</t>
        </is>
      </c>
      <c r="B253" s="1" t="n">
        <v>43347</v>
      </c>
      <c r="C253" s="1" t="n">
        <v>45184</v>
      </c>
      <c r="D253" t="inlineStr">
        <is>
          <t>KRONOBERGS LÄN</t>
        </is>
      </c>
      <c r="E253" t="inlineStr">
        <is>
          <t>ALVESTA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41783-2018</t>
        </is>
      </c>
      <c r="B254" s="1" t="n">
        <v>43348</v>
      </c>
      <c r="C254" s="1" t="n">
        <v>45184</v>
      </c>
      <c r="D254" t="inlineStr">
        <is>
          <t>KRONOBERGS LÄN</t>
        </is>
      </c>
      <c r="E254" t="inlineStr">
        <is>
          <t>LJUNGBY</t>
        </is>
      </c>
      <c r="F254" t="inlineStr">
        <is>
          <t>Kommuner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41116-2018</t>
        </is>
      </c>
      <c r="B255" s="1" t="n">
        <v>43348</v>
      </c>
      <c r="C255" s="1" t="n">
        <v>45184</v>
      </c>
      <c r="D255" t="inlineStr">
        <is>
          <t>KRONOBERGS LÄN</t>
        </is>
      </c>
      <c r="E255" t="inlineStr">
        <is>
          <t>TINGSRYD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42358-2018</t>
        </is>
      </c>
      <c r="B256" s="1" t="n">
        <v>43349</v>
      </c>
      <c r="C256" s="1" t="n">
        <v>45184</v>
      </c>
      <c r="D256" t="inlineStr">
        <is>
          <t>KRONOBERGS LÄN</t>
        </is>
      </c>
      <c r="E256" t="inlineStr">
        <is>
          <t>TINGSRYD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42151-2018</t>
        </is>
      </c>
      <c r="B257" s="1" t="n">
        <v>43349</v>
      </c>
      <c r="C257" s="1" t="n">
        <v>45184</v>
      </c>
      <c r="D257" t="inlineStr">
        <is>
          <t>KRONOBERGS LÄN</t>
        </is>
      </c>
      <c r="E257" t="inlineStr">
        <is>
          <t>VÄXJÖ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41687-2018</t>
        </is>
      </c>
      <c r="B258" s="1" t="n">
        <v>43350</v>
      </c>
      <c r="C258" s="1" t="n">
        <v>45184</v>
      </c>
      <c r="D258" t="inlineStr">
        <is>
          <t>KRONOBERGS LÄN</t>
        </is>
      </c>
      <c r="E258" t="inlineStr">
        <is>
          <t>ALVESTA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42552-2018</t>
        </is>
      </c>
      <c r="B259" s="1" t="n">
        <v>43350</v>
      </c>
      <c r="C259" s="1" t="n">
        <v>45184</v>
      </c>
      <c r="D259" t="inlineStr">
        <is>
          <t>KRONOBERGS LÄN</t>
        </is>
      </c>
      <c r="E259" t="inlineStr">
        <is>
          <t>TINGSRYD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41748-2018</t>
        </is>
      </c>
      <c r="B260" s="1" t="n">
        <v>43350</v>
      </c>
      <c r="C260" s="1" t="n">
        <v>45184</v>
      </c>
      <c r="D260" t="inlineStr">
        <is>
          <t>KRONOBERGS LÄN</t>
        </is>
      </c>
      <c r="E260" t="inlineStr">
        <is>
          <t>ALVESTA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42196-2018</t>
        </is>
      </c>
      <c r="B261" s="1" t="n">
        <v>43353</v>
      </c>
      <c r="C261" s="1" t="n">
        <v>45184</v>
      </c>
      <c r="D261" t="inlineStr">
        <is>
          <t>KRONOBERGS LÄN</t>
        </is>
      </c>
      <c r="E261" t="inlineStr">
        <is>
          <t>TINGSRYD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42476-2018</t>
        </is>
      </c>
      <c r="B262" s="1" t="n">
        <v>43353</v>
      </c>
      <c r="C262" s="1" t="n">
        <v>45184</v>
      </c>
      <c r="D262" t="inlineStr">
        <is>
          <t>KRONOBERGS LÄN</t>
        </is>
      </c>
      <c r="E262" t="inlineStr">
        <is>
          <t>VÄXJÖ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42575-2018</t>
        </is>
      </c>
      <c r="B263" s="1" t="n">
        <v>43354</v>
      </c>
      <c r="C263" s="1" t="n">
        <v>45184</v>
      </c>
      <c r="D263" t="inlineStr">
        <is>
          <t>KRONOBERGS LÄN</t>
        </is>
      </c>
      <c r="E263" t="inlineStr">
        <is>
          <t>VÄXJÖ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42663-2018</t>
        </is>
      </c>
      <c r="B264" s="1" t="n">
        <v>43354</v>
      </c>
      <c r="C264" s="1" t="n">
        <v>45184</v>
      </c>
      <c r="D264" t="inlineStr">
        <is>
          <t>KRONOBERGS LÄN</t>
        </is>
      </c>
      <c r="E264" t="inlineStr">
        <is>
          <t>VÄXJÖ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43620-2018</t>
        </is>
      </c>
      <c r="B265" s="1" t="n">
        <v>43354</v>
      </c>
      <c r="C265" s="1" t="n">
        <v>45184</v>
      </c>
      <c r="D265" t="inlineStr">
        <is>
          <t>KRONOBERGS LÄN</t>
        </is>
      </c>
      <c r="E265" t="inlineStr">
        <is>
          <t>LJUNGBY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44128-2018</t>
        </is>
      </c>
      <c r="B266" s="1" t="n">
        <v>43355</v>
      </c>
      <c r="C266" s="1" t="n">
        <v>45184</v>
      </c>
      <c r="D266" t="inlineStr">
        <is>
          <t>KRONOBERGS LÄN</t>
        </is>
      </c>
      <c r="E266" t="inlineStr">
        <is>
          <t>ALVESTA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44661-2018</t>
        </is>
      </c>
      <c r="B267" s="1" t="n">
        <v>43356</v>
      </c>
      <c r="C267" s="1" t="n">
        <v>45184</v>
      </c>
      <c r="D267" t="inlineStr">
        <is>
          <t>KRONOBERGS LÄN</t>
        </is>
      </c>
      <c r="E267" t="inlineStr">
        <is>
          <t>TINGSRYD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44641-2018</t>
        </is>
      </c>
      <c r="B268" s="1" t="n">
        <v>43356</v>
      </c>
      <c r="C268" s="1" t="n">
        <v>45184</v>
      </c>
      <c r="D268" t="inlineStr">
        <is>
          <t>KRONOBERGS LÄN</t>
        </is>
      </c>
      <c r="E268" t="inlineStr">
        <is>
          <t>ÄLMHULT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43566-2018</t>
        </is>
      </c>
      <c r="B269" s="1" t="n">
        <v>43356</v>
      </c>
      <c r="C269" s="1" t="n">
        <v>45184</v>
      </c>
      <c r="D269" t="inlineStr">
        <is>
          <t>KRONOBERGS LÄN</t>
        </is>
      </c>
      <c r="E269" t="inlineStr">
        <is>
          <t>ALVESTA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44872-2018</t>
        </is>
      </c>
      <c r="B270" s="1" t="n">
        <v>43357</v>
      </c>
      <c r="C270" s="1" t="n">
        <v>45184</v>
      </c>
      <c r="D270" t="inlineStr">
        <is>
          <t>KRONOBERGS LÄN</t>
        </is>
      </c>
      <c r="E270" t="inlineStr">
        <is>
          <t>ÄLMHULT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43861-2018</t>
        </is>
      </c>
      <c r="B271" s="1" t="n">
        <v>43357</v>
      </c>
      <c r="C271" s="1" t="n">
        <v>45184</v>
      </c>
      <c r="D271" t="inlineStr">
        <is>
          <t>KRONOBERGS LÄN</t>
        </is>
      </c>
      <c r="E271" t="inlineStr">
        <is>
          <t>TINGSRYD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44878-2018</t>
        </is>
      </c>
      <c r="B272" s="1" t="n">
        <v>43359</v>
      </c>
      <c r="C272" s="1" t="n">
        <v>45184</v>
      </c>
      <c r="D272" t="inlineStr">
        <is>
          <t>KRONOBERGS LÄN</t>
        </is>
      </c>
      <c r="E272" t="inlineStr">
        <is>
          <t>LJUNGBY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44298-2018</t>
        </is>
      </c>
      <c r="B273" s="1" t="n">
        <v>43360</v>
      </c>
      <c r="C273" s="1" t="n">
        <v>45184</v>
      </c>
      <c r="D273" t="inlineStr">
        <is>
          <t>KRONOBERGS LÄN</t>
        </is>
      </c>
      <c r="E273" t="inlineStr">
        <is>
          <t>VÄXJÖ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45105-2018</t>
        </is>
      </c>
      <c r="B274" s="1" t="n">
        <v>43360</v>
      </c>
      <c r="C274" s="1" t="n">
        <v>45184</v>
      </c>
      <c r="D274" t="inlineStr">
        <is>
          <t>KRONOBERGS LÄN</t>
        </is>
      </c>
      <c r="E274" t="inlineStr">
        <is>
          <t>LJUNGBY</t>
        </is>
      </c>
      <c r="F274" t="inlineStr">
        <is>
          <t>Kyrkan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44928-2018</t>
        </is>
      </c>
      <c r="B275" s="1" t="n">
        <v>43360</v>
      </c>
      <c r="C275" s="1" t="n">
        <v>45184</v>
      </c>
      <c r="D275" t="inlineStr">
        <is>
          <t>KRONOBERGS LÄN</t>
        </is>
      </c>
      <c r="E275" t="inlineStr">
        <is>
          <t>TINGSRYD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44243-2018</t>
        </is>
      </c>
      <c r="B276" s="1" t="n">
        <v>43360</v>
      </c>
      <c r="C276" s="1" t="n">
        <v>45184</v>
      </c>
      <c r="D276" t="inlineStr">
        <is>
          <t>KRONOBERGS LÄN</t>
        </is>
      </c>
      <c r="E276" t="inlineStr">
        <is>
          <t>VÄXJÖ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45241-2018</t>
        </is>
      </c>
      <c r="B277" s="1" t="n">
        <v>43361</v>
      </c>
      <c r="C277" s="1" t="n">
        <v>45184</v>
      </c>
      <c r="D277" t="inlineStr">
        <is>
          <t>KRONOBERGS LÄN</t>
        </is>
      </c>
      <c r="E277" t="inlineStr">
        <is>
          <t>TINGSRYD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44660-2018</t>
        </is>
      </c>
      <c r="B278" s="1" t="n">
        <v>43361</v>
      </c>
      <c r="C278" s="1" t="n">
        <v>45184</v>
      </c>
      <c r="D278" t="inlineStr">
        <is>
          <t>KRONOBERGS LÄN</t>
        </is>
      </c>
      <c r="E278" t="inlineStr">
        <is>
          <t>VÄXJÖ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45276-2018</t>
        </is>
      </c>
      <c r="B279" s="1" t="n">
        <v>43361</v>
      </c>
      <c r="C279" s="1" t="n">
        <v>45184</v>
      </c>
      <c r="D279" t="inlineStr">
        <is>
          <t>KRONOBERGS LÄN</t>
        </is>
      </c>
      <c r="E279" t="inlineStr">
        <is>
          <t>ÄLMHULT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44954-2018</t>
        </is>
      </c>
      <c r="B280" s="1" t="n">
        <v>43362</v>
      </c>
      <c r="C280" s="1" t="n">
        <v>45184</v>
      </c>
      <c r="D280" t="inlineStr">
        <is>
          <t>KRONOBERGS LÄN</t>
        </is>
      </c>
      <c r="E280" t="inlineStr">
        <is>
          <t>LJUNGBY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45185-2018</t>
        </is>
      </c>
      <c r="B281" s="1" t="n">
        <v>43362</v>
      </c>
      <c r="C281" s="1" t="n">
        <v>45184</v>
      </c>
      <c r="D281" t="inlineStr">
        <is>
          <t>KRONOBERGS LÄN</t>
        </is>
      </c>
      <c r="E281" t="inlineStr">
        <is>
          <t>LJUNGBY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44952-2018</t>
        </is>
      </c>
      <c r="B282" s="1" t="n">
        <v>43362</v>
      </c>
      <c r="C282" s="1" t="n">
        <v>45184</v>
      </c>
      <c r="D282" t="inlineStr">
        <is>
          <t>KRONOBERGS LÄN</t>
        </is>
      </c>
      <c r="E282" t="inlineStr">
        <is>
          <t>LJUNGBY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44913-2018</t>
        </is>
      </c>
      <c r="B283" s="1" t="n">
        <v>43362</v>
      </c>
      <c r="C283" s="1" t="n">
        <v>45184</v>
      </c>
      <c r="D283" t="inlineStr">
        <is>
          <t>KRONOBERGS LÄN</t>
        </is>
      </c>
      <c r="E283" t="inlineStr">
        <is>
          <t>VÄXJÖ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44941-2018</t>
        </is>
      </c>
      <c r="B284" s="1" t="n">
        <v>43362</v>
      </c>
      <c r="C284" s="1" t="n">
        <v>45184</v>
      </c>
      <c r="D284" t="inlineStr">
        <is>
          <t>KRONOBERGS LÄN</t>
        </is>
      </c>
      <c r="E284" t="inlineStr">
        <is>
          <t>TINGSRYD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45533-2018</t>
        </is>
      </c>
      <c r="B285" s="1" t="n">
        <v>43362</v>
      </c>
      <c r="C285" s="1" t="n">
        <v>45184</v>
      </c>
      <c r="D285" t="inlineStr">
        <is>
          <t>KRONOBERGS LÄN</t>
        </is>
      </c>
      <c r="E285" t="inlineStr">
        <is>
          <t>UPPVIDINGE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45444-2018</t>
        </is>
      </c>
      <c r="B286" s="1" t="n">
        <v>43363</v>
      </c>
      <c r="C286" s="1" t="n">
        <v>45184</v>
      </c>
      <c r="D286" t="inlineStr">
        <is>
          <t>KRONOBERGS LÄN</t>
        </is>
      </c>
      <c r="E286" t="inlineStr">
        <is>
          <t>VÄXJÖ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46255-2018</t>
        </is>
      </c>
      <c r="B287" s="1" t="n">
        <v>43364</v>
      </c>
      <c r="C287" s="1" t="n">
        <v>45184</v>
      </c>
      <c r="D287" t="inlineStr">
        <is>
          <t>KRONOBERGS LÄN</t>
        </is>
      </c>
      <c r="E287" t="inlineStr">
        <is>
          <t>VÄXJÖ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46258-2018</t>
        </is>
      </c>
      <c r="B288" s="1" t="n">
        <v>43364</v>
      </c>
      <c r="C288" s="1" t="n">
        <v>45184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46061-2018</t>
        </is>
      </c>
      <c r="B289" s="1" t="n">
        <v>43366</v>
      </c>
      <c r="C289" s="1" t="n">
        <v>45184</v>
      </c>
      <c r="D289" t="inlineStr">
        <is>
          <t>KRONOBERGS LÄN</t>
        </is>
      </c>
      <c r="E289" t="inlineStr">
        <is>
          <t>VÄXJÖ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47117-2018</t>
        </is>
      </c>
      <c r="B290" s="1" t="n">
        <v>43367</v>
      </c>
      <c r="C290" s="1" t="n">
        <v>45184</v>
      </c>
      <c r="D290" t="inlineStr">
        <is>
          <t>KRONOBERGS LÄN</t>
        </is>
      </c>
      <c r="E290" t="inlineStr">
        <is>
          <t>VÄXJÖ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46857-2018</t>
        </is>
      </c>
      <c r="B291" s="1" t="n">
        <v>43367</v>
      </c>
      <c r="C291" s="1" t="n">
        <v>45184</v>
      </c>
      <c r="D291" t="inlineStr">
        <is>
          <t>KRONOBERGS LÄN</t>
        </is>
      </c>
      <c r="E291" t="inlineStr">
        <is>
          <t>ALVESTA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46659-2018</t>
        </is>
      </c>
      <c r="B292" s="1" t="n">
        <v>43368</v>
      </c>
      <c r="C292" s="1" t="n">
        <v>45184</v>
      </c>
      <c r="D292" t="inlineStr">
        <is>
          <t>KRONOBERGS LÄN</t>
        </is>
      </c>
      <c r="E292" t="inlineStr">
        <is>
          <t>ÄLMHULT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47257-2018</t>
        </is>
      </c>
      <c r="B293" s="1" t="n">
        <v>43368</v>
      </c>
      <c r="C293" s="1" t="n">
        <v>45184</v>
      </c>
      <c r="D293" t="inlineStr">
        <is>
          <t>KRONOBERGS LÄN</t>
        </is>
      </c>
      <c r="E293" t="inlineStr">
        <is>
          <t>UPPVIDINGE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47337-2018</t>
        </is>
      </c>
      <c r="B294" s="1" t="n">
        <v>43369</v>
      </c>
      <c r="C294" s="1" t="n">
        <v>45184</v>
      </c>
      <c r="D294" t="inlineStr">
        <is>
          <t>KRONOBERGS LÄN</t>
        </is>
      </c>
      <c r="E294" t="inlineStr">
        <is>
          <t>VÄXJÖ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47645-2018</t>
        </is>
      </c>
      <c r="B295" s="1" t="n">
        <v>43369</v>
      </c>
      <c r="C295" s="1" t="n">
        <v>45184</v>
      </c>
      <c r="D295" t="inlineStr">
        <is>
          <t>KRONOBERGS LÄN</t>
        </is>
      </c>
      <c r="E295" t="inlineStr">
        <is>
          <t>ALVESTA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48030-2018</t>
        </is>
      </c>
      <c r="B296" s="1" t="n">
        <v>43369</v>
      </c>
      <c r="C296" s="1" t="n">
        <v>45184</v>
      </c>
      <c r="D296" t="inlineStr">
        <is>
          <t>KRONOBERGS LÄN</t>
        </is>
      </c>
      <c r="E296" t="inlineStr">
        <is>
          <t>ÄLMHULT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47728-2018</t>
        </is>
      </c>
      <c r="B297" s="1" t="n">
        <v>43369</v>
      </c>
      <c r="C297" s="1" t="n">
        <v>45184</v>
      </c>
      <c r="D297" t="inlineStr">
        <is>
          <t>KRONOBERGS LÄN</t>
        </is>
      </c>
      <c r="E297" t="inlineStr">
        <is>
          <t>ÄLMHULT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48165-2018</t>
        </is>
      </c>
      <c r="B298" s="1" t="n">
        <v>43370</v>
      </c>
      <c r="C298" s="1" t="n">
        <v>45184</v>
      </c>
      <c r="D298" t="inlineStr">
        <is>
          <t>KRONOBERGS LÄN</t>
        </is>
      </c>
      <c r="E298" t="inlineStr">
        <is>
          <t>MARKARYD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48056-2018</t>
        </is>
      </c>
      <c r="B299" s="1" t="n">
        <v>43371</v>
      </c>
      <c r="C299" s="1" t="n">
        <v>45184</v>
      </c>
      <c r="D299" t="inlineStr">
        <is>
          <t>KRONOBERGS LÄN</t>
        </is>
      </c>
      <c r="E299" t="inlineStr">
        <is>
          <t>TINGSRYD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48538-2018</t>
        </is>
      </c>
      <c r="B300" s="1" t="n">
        <v>43373</v>
      </c>
      <c r="C300" s="1" t="n">
        <v>45184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48546-2018</t>
        </is>
      </c>
      <c r="B301" s="1" t="n">
        <v>43373</v>
      </c>
      <c r="C301" s="1" t="n">
        <v>45184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49263-2018</t>
        </is>
      </c>
      <c r="B302" s="1" t="n">
        <v>43374</v>
      </c>
      <c r="C302" s="1" t="n">
        <v>45184</v>
      </c>
      <c r="D302" t="inlineStr">
        <is>
          <t>KRONOBERGS LÄN</t>
        </is>
      </c>
      <c r="E302" t="inlineStr">
        <is>
          <t>UPPVIDINGE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48663-2018</t>
        </is>
      </c>
      <c r="B303" s="1" t="n">
        <v>43374</v>
      </c>
      <c r="C303" s="1" t="n">
        <v>45184</v>
      </c>
      <c r="D303" t="inlineStr">
        <is>
          <t>KRONOBERGS LÄN</t>
        </is>
      </c>
      <c r="E303" t="inlineStr">
        <is>
          <t>ÄLMHULT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49689-2018</t>
        </is>
      </c>
      <c r="B304" s="1" t="n">
        <v>43375</v>
      </c>
      <c r="C304" s="1" t="n">
        <v>45184</v>
      </c>
      <c r="D304" t="inlineStr">
        <is>
          <t>KRONOBERGS LÄN</t>
        </is>
      </c>
      <c r="E304" t="inlineStr">
        <is>
          <t>LJUNGBY</t>
        </is>
      </c>
      <c r="G304" t="n">
        <v>9.6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49883-2018</t>
        </is>
      </c>
      <c r="B305" s="1" t="n">
        <v>43375</v>
      </c>
      <c r="C305" s="1" t="n">
        <v>45184</v>
      </c>
      <c r="D305" t="inlineStr">
        <is>
          <t>KRONOBERGS LÄN</t>
        </is>
      </c>
      <c r="E305" t="inlineStr">
        <is>
          <t>ÄLMHULT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49391-2018</t>
        </is>
      </c>
      <c r="B306" s="1" t="n">
        <v>43376</v>
      </c>
      <c r="C306" s="1" t="n">
        <v>45184</v>
      </c>
      <c r="D306" t="inlineStr">
        <is>
          <t>KRONOBERGS LÄN</t>
        </is>
      </c>
      <c r="E306" t="inlineStr">
        <is>
          <t>VÄXJÖ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49402-2018</t>
        </is>
      </c>
      <c r="B307" s="1" t="n">
        <v>43376</v>
      </c>
      <c r="C307" s="1" t="n">
        <v>45184</v>
      </c>
      <c r="D307" t="inlineStr">
        <is>
          <t>KRONOBERGS LÄN</t>
        </is>
      </c>
      <c r="E307" t="inlineStr">
        <is>
          <t>ÄLMHULT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49674-2018</t>
        </is>
      </c>
      <c r="B308" s="1" t="n">
        <v>43377</v>
      </c>
      <c r="C308" s="1" t="n">
        <v>45184</v>
      </c>
      <c r="D308" t="inlineStr">
        <is>
          <t>KRONOBERGS LÄN</t>
        </is>
      </c>
      <c r="E308" t="inlineStr">
        <is>
          <t>UPPVIDINGE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49960-2018</t>
        </is>
      </c>
      <c r="B309" s="1" t="n">
        <v>43377</v>
      </c>
      <c r="C309" s="1" t="n">
        <v>45184</v>
      </c>
      <c r="D309" t="inlineStr">
        <is>
          <t>KRONOBERGS LÄN</t>
        </is>
      </c>
      <c r="E309" t="inlineStr">
        <is>
          <t>LJUNGBY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49678-2018</t>
        </is>
      </c>
      <c r="B310" s="1" t="n">
        <v>43377</v>
      </c>
      <c r="C310" s="1" t="n">
        <v>45184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49962-2018</t>
        </is>
      </c>
      <c r="B311" s="1" t="n">
        <v>43377</v>
      </c>
      <c r="C311" s="1" t="n">
        <v>45184</v>
      </c>
      <c r="D311" t="inlineStr">
        <is>
          <t>KRONOBERGS LÄN</t>
        </is>
      </c>
      <c r="E311" t="inlineStr">
        <is>
          <t>LJUNGBY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51027-2018</t>
        </is>
      </c>
      <c r="B312" s="1" t="n">
        <v>43378</v>
      </c>
      <c r="C312" s="1" t="n">
        <v>45184</v>
      </c>
      <c r="D312" t="inlineStr">
        <is>
          <t>KRONOBERGS LÄN</t>
        </is>
      </c>
      <c r="E312" t="inlineStr">
        <is>
          <t>UPPVIDINGE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50961-2018</t>
        </is>
      </c>
      <c r="B313" s="1" t="n">
        <v>43378</v>
      </c>
      <c r="C313" s="1" t="n">
        <v>45184</v>
      </c>
      <c r="D313" t="inlineStr">
        <is>
          <t>KRONOBERGS LÄN</t>
        </is>
      </c>
      <c r="E313" t="inlineStr">
        <is>
          <t>LJUNGBY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51009-2018</t>
        </is>
      </c>
      <c r="B314" s="1" t="n">
        <v>43378</v>
      </c>
      <c r="C314" s="1" t="n">
        <v>45184</v>
      </c>
      <c r="D314" t="inlineStr">
        <is>
          <t>KRONOBERGS LÄN</t>
        </is>
      </c>
      <c r="E314" t="inlineStr">
        <is>
          <t>UPPVIDINGE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51160-2018</t>
        </is>
      </c>
      <c r="B315" s="1" t="n">
        <v>43378</v>
      </c>
      <c r="C315" s="1" t="n">
        <v>45184</v>
      </c>
      <c r="D315" t="inlineStr">
        <is>
          <t>KRONOBERGS LÄN</t>
        </is>
      </c>
      <c r="E315" t="inlineStr">
        <is>
          <t>MARKARYD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50658-2018</t>
        </is>
      </c>
      <c r="B316" s="1" t="n">
        <v>43381</v>
      </c>
      <c r="C316" s="1" t="n">
        <v>45184</v>
      </c>
      <c r="D316" t="inlineStr">
        <is>
          <t>KRONOBERGS LÄN</t>
        </is>
      </c>
      <c r="E316" t="inlineStr">
        <is>
          <t>VÄXJÖ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51241-2018</t>
        </is>
      </c>
      <c r="B317" s="1" t="n">
        <v>43382</v>
      </c>
      <c r="C317" s="1" t="n">
        <v>45184</v>
      </c>
      <c r="D317" t="inlineStr">
        <is>
          <t>KRONOBERGS LÄN</t>
        </is>
      </c>
      <c r="E317" t="inlineStr">
        <is>
          <t>ALVESTA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51977-2018</t>
        </is>
      </c>
      <c r="B318" s="1" t="n">
        <v>43382</v>
      </c>
      <c r="C318" s="1" t="n">
        <v>45184</v>
      </c>
      <c r="D318" t="inlineStr">
        <is>
          <t>KRONOBERGS LÄN</t>
        </is>
      </c>
      <c r="E318" t="inlineStr">
        <is>
          <t>LJUNGBY</t>
        </is>
      </c>
      <c r="F318" t="inlineStr">
        <is>
          <t>Kommuner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52371-2018</t>
        </is>
      </c>
      <c r="B319" s="1" t="n">
        <v>43383</v>
      </c>
      <c r="C319" s="1" t="n">
        <v>45184</v>
      </c>
      <c r="D319" t="inlineStr">
        <is>
          <t>KRONOBERGS LÄN</t>
        </is>
      </c>
      <c r="E319" t="inlineStr">
        <is>
          <t>VÄXJÖ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52944-2018</t>
        </is>
      </c>
      <c r="B320" s="1" t="n">
        <v>43384</v>
      </c>
      <c r="C320" s="1" t="n">
        <v>45184</v>
      </c>
      <c r="D320" t="inlineStr">
        <is>
          <t>KRONOBERGS LÄN</t>
        </is>
      </c>
      <c r="E320" t="inlineStr">
        <is>
          <t>TINGSRYD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52789-2018</t>
        </is>
      </c>
      <c r="B321" s="1" t="n">
        <v>43384</v>
      </c>
      <c r="C321" s="1" t="n">
        <v>45184</v>
      </c>
      <c r="D321" t="inlineStr">
        <is>
          <t>KRONOBERGS LÄN</t>
        </is>
      </c>
      <c r="E321" t="inlineStr">
        <is>
          <t>VÄXJÖ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51779-2018</t>
        </is>
      </c>
      <c r="B322" s="1" t="n">
        <v>43384</v>
      </c>
      <c r="C322" s="1" t="n">
        <v>45184</v>
      </c>
      <c r="D322" t="inlineStr">
        <is>
          <t>KRONOBERGS LÄN</t>
        </is>
      </c>
      <c r="E322" t="inlineStr">
        <is>
          <t>UPPVIDINGE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52126-2018</t>
        </is>
      </c>
      <c r="B323" s="1" t="n">
        <v>43385</v>
      </c>
      <c r="C323" s="1" t="n">
        <v>45184</v>
      </c>
      <c r="D323" t="inlineStr">
        <is>
          <t>KRONOBERGS LÄN</t>
        </is>
      </c>
      <c r="E323" t="inlineStr">
        <is>
          <t>ÄLMHULT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53731-2018</t>
        </is>
      </c>
      <c r="B324" s="1" t="n">
        <v>43385</v>
      </c>
      <c r="C324" s="1" t="n">
        <v>45184</v>
      </c>
      <c r="D324" t="inlineStr">
        <is>
          <t>KRONOBERGS LÄN</t>
        </is>
      </c>
      <c r="E324" t="inlineStr">
        <is>
          <t>VÄXJÖ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53603-2018</t>
        </is>
      </c>
      <c r="B325" s="1" t="n">
        <v>43385</v>
      </c>
      <c r="C325" s="1" t="n">
        <v>45184</v>
      </c>
      <c r="D325" t="inlineStr">
        <is>
          <t>KRONOBERGS LÄN</t>
        </is>
      </c>
      <c r="E325" t="inlineStr">
        <is>
          <t>LJUNGBY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53527-2018</t>
        </is>
      </c>
      <c r="B326" s="1" t="n">
        <v>43385</v>
      </c>
      <c r="C326" s="1" t="n">
        <v>45184</v>
      </c>
      <c r="D326" t="inlineStr">
        <is>
          <t>KRONOBERGS LÄN</t>
        </is>
      </c>
      <c r="E326" t="inlineStr">
        <is>
          <t>VÄXJÖ</t>
        </is>
      </c>
      <c r="G326" t="n">
        <v>7.3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53550-2018</t>
        </is>
      </c>
      <c r="B327" s="1" t="n">
        <v>43385</v>
      </c>
      <c r="C327" s="1" t="n">
        <v>45184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52761-2018</t>
        </is>
      </c>
      <c r="B328" s="1" t="n">
        <v>43389</v>
      </c>
      <c r="C328" s="1" t="n">
        <v>45184</v>
      </c>
      <c r="D328" t="inlineStr">
        <is>
          <t>KRONOBERGS LÄN</t>
        </is>
      </c>
      <c r="E328" t="inlineStr">
        <is>
          <t>VÄXJÖ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52908-2018</t>
        </is>
      </c>
      <c r="B329" s="1" t="n">
        <v>43389</v>
      </c>
      <c r="C329" s="1" t="n">
        <v>45184</v>
      </c>
      <c r="D329" t="inlineStr">
        <is>
          <t>KRONOBERGS LÄN</t>
        </is>
      </c>
      <c r="E329" t="inlineStr">
        <is>
          <t>LJUNGBY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53185-2018</t>
        </is>
      </c>
      <c r="B330" s="1" t="n">
        <v>43390</v>
      </c>
      <c r="C330" s="1" t="n">
        <v>45184</v>
      </c>
      <c r="D330" t="inlineStr">
        <is>
          <t>KRONOBERGS LÄN</t>
        </is>
      </c>
      <c r="E330" t="inlineStr">
        <is>
          <t>VÄXJÖ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53248-2018</t>
        </is>
      </c>
      <c r="B331" s="1" t="n">
        <v>43390</v>
      </c>
      <c r="C331" s="1" t="n">
        <v>45184</v>
      </c>
      <c r="D331" t="inlineStr">
        <is>
          <t>KRONOBERGS LÄN</t>
        </is>
      </c>
      <c r="E331" t="inlineStr">
        <is>
          <t>LJUNGBY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54486-2018</t>
        </is>
      </c>
      <c r="B332" s="1" t="n">
        <v>43390</v>
      </c>
      <c r="C332" s="1" t="n">
        <v>45184</v>
      </c>
      <c r="D332" t="inlineStr">
        <is>
          <t>KRONOBERGS LÄN</t>
        </is>
      </c>
      <c r="E332" t="inlineStr">
        <is>
          <t>ALVESTA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53258-2018</t>
        </is>
      </c>
      <c r="B333" s="1" t="n">
        <v>43390</v>
      </c>
      <c r="C333" s="1" t="n">
        <v>45184</v>
      </c>
      <c r="D333" t="inlineStr">
        <is>
          <t>KRONOBERGS LÄN</t>
        </is>
      </c>
      <c r="E333" t="inlineStr">
        <is>
          <t>VÄXJÖ</t>
        </is>
      </c>
      <c r="F333" t="inlineStr">
        <is>
          <t>Kommuner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54537-2018</t>
        </is>
      </c>
      <c r="B334" s="1" t="n">
        <v>43390</v>
      </c>
      <c r="C334" s="1" t="n">
        <v>45184</v>
      </c>
      <c r="D334" t="inlineStr">
        <is>
          <t>KRONOBERGS LÄN</t>
        </is>
      </c>
      <c r="E334" t="inlineStr">
        <is>
          <t>UPPVIDINGE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53250-2018</t>
        </is>
      </c>
      <c r="B335" s="1" t="n">
        <v>43390</v>
      </c>
      <c r="C335" s="1" t="n">
        <v>45184</v>
      </c>
      <c r="D335" t="inlineStr">
        <is>
          <t>KRONOBERGS LÄN</t>
        </is>
      </c>
      <c r="E335" t="inlineStr">
        <is>
          <t>LJUNGBY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53709-2018</t>
        </is>
      </c>
      <c r="B336" s="1" t="n">
        <v>43391</v>
      </c>
      <c r="C336" s="1" t="n">
        <v>45184</v>
      </c>
      <c r="D336" t="inlineStr">
        <is>
          <t>KRONOBERGS LÄN</t>
        </is>
      </c>
      <c r="E336" t="inlineStr">
        <is>
          <t>LJUNGBY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55025-2018</t>
        </is>
      </c>
      <c r="B337" s="1" t="n">
        <v>43391</v>
      </c>
      <c r="C337" s="1" t="n">
        <v>45184</v>
      </c>
      <c r="D337" t="inlineStr">
        <is>
          <t>KRONOBERGS LÄN</t>
        </is>
      </c>
      <c r="E337" t="inlineStr">
        <is>
          <t>LJUNGBY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55259-2018</t>
        </is>
      </c>
      <c r="B338" s="1" t="n">
        <v>43391</v>
      </c>
      <c r="C338" s="1" t="n">
        <v>45184</v>
      </c>
      <c r="D338" t="inlineStr">
        <is>
          <t>KRONOBERGS LÄN</t>
        </is>
      </c>
      <c r="E338" t="inlineStr">
        <is>
          <t>UPPVIDINGE</t>
        </is>
      </c>
      <c r="F338" t="inlineStr">
        <is>
          <t>Kyrkan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54093-2018</t>
        </is>
      </c>
      <c r="B339" s="1" t="n">
        <v>43392</v>
      </c>
      <c r="C339" s="1" t="n">
        <v>45184</v>
      </c>
      <c r="D339" t="inlineStr">
        <is>
          <t>KRONOBERGS LÄN</t>
        </is>
      </c>
      <c r="E339" t="inlineStr">
        <is>
          <t>VÄXJÖ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55970-2018</t>
        </is>
      </c>
      <c r="B340" s="1" t="n">
        <v>43392</v>
      </c>
      <c r="C340" s="1" t="n">
        <v>45184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54091-2018</t>
        </is>
      </c>
      <c r="B341" s="1" t="n">
        <v>43392</v>
      </c>
      <c r="C341" s="1" t="n">
        <v>45184</v>
      </c>
      <c r="D341" t="inlineStr">
        <is>
          <t>KRONOBERGS LÄN</t>
        </is>
      </c>
      <c r="E341" t="inlineStr">
        <is>
          <t>VÄXJÖ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55884-2018</t>
        </is>
      </c>
      <c r="B342" s="1" t="n">
        <v>43392</v>
      </c>
      <c r="C342" s="1" t="n">
        <v>45184</v>
      </c>
      <c r="D342" t="inlineStr">
        <is>
          <t>KRONOBERGS LÄN</t>
        </is>
      </c>
      <c r="E342" t="inlineStr">
        <is>
          <t>TINGSRYD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57023-2018</t>
        </is>
      </c>
      <c r="B343" s="1" t="n">
        <v>43395</v>
      </c>
      <c r="C343" s="1" t="n">
        <v>45184</v>
      </c>
      <c r="D343" t="inlineStr">
        <is>
          <t>KRONOBERGS LÄN</t>
        </is>
      </c>
      <c r="E343" t="inlineStr">
        <is>
          <t>VÄXJÖ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56228-2018</t>
        </is>
      </c>
      <c r="B344" s="1" t="n">
        <v>43395</v>
      </c>
      <c r="C344" s="1" t="n">
        <v>45184</v>
      </c>
      <c r="D344" t="inlineStr">
        <is>
          <t>KRONOBERGS LÄN</t>
        </is>
      </c>
      <c r="E344" t="inlineStr">
        <is>
          <t>ALVESTA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55294-2018</t>
        </is>
      </c>
      <c r="B345" s="1" t="n">
        <v>43396</v>
      </c>
      <c r="C345" s="1" t="n">
        <v>45184</v>
      </c>
      <c r="D345" t="inlineStr">
        <is>
          <t>KRONOBERGS LÄN</t>
        </is>
      </c>
      <c r="E345" t="inlineStr">
        <is>
          <t>ÄLMHULT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55338-2018</t>
        </is>
      </c>
      <c r="B346" s="1" t="n">
        <v>43396</v>
      </c>
      <c r="C346" s="1" t="n">
        <v>45184</v>
      </c>
      <c r="D346" t="inlineStr">
        <is>
          <t>KRONOBERGS LÄN</t>
        </is>
      </c>
      <c r="E346" t="inlineStr">
        <is>
          <t>VÄXJÖ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55276-2018</t>
        </is>
      </c>
      <c r="B347" s="1" t="n">
        <v>43396</v>
      </c>
      <c r="C347" s="1" t="n">
        <v>45184</v>
      </c>
      <c r="D347" t="inlineStr">
        <is>
          <t>KRONOBERGS LÄN</t>
        </is>
      </c>
      <c r="E347" t="inlineStr">
        <is>
          <t>UPPVIDINGE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57181-2018</t>
        </is>
      </c>
      <c r="B348" s="1" t="n">
        <v>43396</v>
      </c>
      <c r="C348" s="1" t="n">
        <v>45184</v>
      </c>
      <c r="D348" t="inlineStr">
        <is>
          <t>KRONOBERGS LÄN</t>
        </is>
      </c>
      <c r="E348" t="inlineStr">
        <is>
          <t>LJUNGBY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55371-2018</t>
        </is>
      </c>
      <c r="B349" s="1" t="n">
        <v>43397</v>
      </c>
      <c r="C349" s="1" t="n">
        <v>45184</v>
      </c>
      <c r="D349" t="inlineStr">
        <is>
          <t>KRONOBERGS LÄN</t>
        </is>
      </c>
      <c r="E349" t="inlineStr">
        <is>
          <t>TINGSRYD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55370-2018</t>
        </is>
      </c>
      <c r="B350" s="1" t="n">
        <v>43397</v>
      </c>
      <c r="C350" s="1" t="n">
        <v>45184</v>
      </c>
      <c r="D350" t="inlineStr">
        <is>
          <t>KRONOBERGS LÄN</t>
        </is>
      </c>
      <c r="E350" t="inlineStr">
        <is>
          <t>TINGSRYD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57901-2018</t>
        </is>
      </c>
      <c r="B351" s="1" t="n">
        <v>43397</v>
      </c>
      <c r="C351" s="1" t="n">
        <v>45184</v>
      </c>
      <c r="D351" t="inlineStr">
        <is>
          <t>KRONOBERGS LÄN</t>
        </is>
      </c>
      <c r="E351" t="inlineStr">
        <is>
          <t>LJUNGBY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56122-2018</t>
        </is>
      </c>
      <c r="B352" s="1" t="n">
        <v>43398</v>
      </c>
      <c r="C352" s="1" t="n">
        <v>45184</v>
      </c>
      <c r="D352" t="inlineStr">
        <is>
          <t>KRONOBERGS LÄN</t>
        </is>
      </c>
      <c r="E352" t="inlineStr">
        <is>
          <t>LJUNGBY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58419-2018</t>
        </is>
      </c>
      <c r="B353" s="1" t="n">
        <v>43398</v>
      </c>
      <c r="C353" s="1" t="n">
        <v>45184</v>
      </c>
      <c r="D353" t="inlineStr">
        <is>
          <t>KRONOBERGS LÄN</t>
        </is>
      </c>
      <c r="E353" t="inlineStr">
        <is>
          <t>VÄXJÖ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55910-2018</t>
        </is>
      </c>
      <c r="B354" s="1" t="n">
        <v>43398</v>
      </c>
      <c r="C354" s="1" t="n">
        <v>45184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55906-2018</t>
        </is>
      </c>
      <c r="B355" s="1" t="n">
        <v>43398</v>
      </c>
      <c r="C355" s="1" t="n">
        <v>45184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55907-2018</t>
        </is>
      </c>
      <c r="B356" s="1" t="n">
        <v>43398</v>
      </c>
      <c r="C356" s="1" t="n">
        <v>45184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56289-2018</t>
        </is>
      </c>
      <c r="B357" s="1" t="n">
        <v>43399</v>
      </c>
      <c r="C357" s="1" t="n">
        <v>45184</v>
      </c>
      <c r="D357" t="inlineStr">
        <is>
          <t>KRONOBERGS LÄN</t>
        </is>
      </c>
      <c r="E357" t="inlineStr">
        <is>
          <t>ALVESTA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56453-2018</t>
        </is>
      </c>
      <c r="B358" s="1" t="n">
        <v>43399</v>
      </c>
      <c r="C358" s="1" t="n">
        <v>45184</v>
      </c>
      <c r="D358" t="inlineStr">
        <is>
          <t>KRONOBERGS LÄN</t>
        </is>
      </c>
      <c r="E358" t="inlineStr">
        <is>
          <t>ÄLMHULT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58669-2018</t>
        </is>
      </c>
      <c r="B359" s="1" t="n">
        <v>43399</v>
      </c>
      <c r="C359" s="1" t="n">
        <v>45184</v>
      </c>
      <c r="D359" t="inlineStr">
        <is>
          <t>KRONOBERGS LÄN</t>
        </is>
      </c>
      <c r="E359" t="inlineStr">
        <is>
          <t>ALVESTA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58740-2018</t>
        </is>
      </c>
      <c r="B360" s="1" t="n">
        <v>43399</v>
      </c>
      <c r="C360" s="1" t="n">
        <v>45184</v>
      </c>
      <c r="D360" t="inlineStr">
        <is>
          <t>KRONOBERGS LÄN</t>
        </is>
      </c>
      <c r="E360" t="inlineStr">
        <is>
          <t>LJUNGBY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56435-2018</t>
        </is>
      </c>
      <c r="B361" s="1" t="n">
        <v>43399</v>
      </c>
      <c r="C361" s="1" t="n">
        <v>45184</v>
      </c>
      <c r="D361" t="inlineStr">
        <is>
          <t>KRONOBERGS LÄN</t>
        </is>
      </c>
      <c r="E361" t="inlineStr">
        <is>
          <t>TINGSRYD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58738-2018</t>
        </is>
      </c>
      <c r="B362" s="1" t="n">
        <v>43399</v>
      </c>
      <c r="C362" s="1" t="n">
        <v>45184</v>
      </c>
      <c r="D362" t="inlineStr">
        <is>
          <t>KRONOBERGS LÄN</t>
        </is>
      </c>
      <c r="E362" t="inlineStr">
        <is>
          <t>LJUNGBY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56564-2018</t>
        </is>
      </c>
      <c r="B363" s="1" t="n">
        <v>43402</v>
      </c>
      <c r="C363" s="1" t="n">
        <v>45184</v>
      </c>
      <c r="D363" t="inlineStr">
        <is>
          <t>KRONOBERGS LÄN</t>
        </is>
      </c>
      <c r="E363" t="inlineStr">
        <is>
          <t>LJUNGBY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58756-2018</t>
        </is>
      </c>
      <c r="B364" s="1" t="n">
        <v>43402</v>
      </c>
      <c r="C364" s="1" t="n">
        <v>45184</v>
      </c>
      <c r="D364" t="inlineStr">
        <is>
          <t>KRONOBERGS LÄN</t>
        </is>
      </c>
      <c r="E364" t="inlineStr">
        <is>
          <t>ALVESTA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56565-2018</t>
        </is>
      </c>
      <c r="B365" s="1" t="n">
        <v>43402</v>
      </c>
      <c r="C365" s="1" t="n">
        <v>45184</v>
      </c>
      <c r="D365" t="inlineStr">
        <is>
          <t>KRONOBERGS LÄN</t>
        </is>
      </c>
      <c r="E365" t="inlineStr">
        <is>
          <t>LJUNGBY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56788-2018</t>
        </is>
      </c>
      <c r="B366" s="1" t="n">
        <v>43402</v>
      </c>
      <c r="C366" s="1" t="n">
        <v>45184</v>
      </c>
      <c r="D366" t="inlineStr">
        <is>
          <t>KRONOBERGS LÄN</t>
        </is>
      </c>
      <c r="E366" t="inlineStr">
        <is>
          <t>LJUNGBY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56554-2018</t>
        </is>
      </c>
      <c r="B367" s="1" t="n">
        <v>43402</v>
      </c>
      <c r="C367" s="1" t="n">
        <v>45184</v>
      </c>
      <c r="D367" t="inlineStr">
        <is>
          <t>KRONOBERGS LÄN</t>
        </is>
      </c>
      <c r="E367" t="inlineStr">
        <is>
          <t>LJUNGBY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56553-2018</t>
        </is>
      </c>
      <c r="B368" s="1" t="n">
        <v>43402</v>
      </c>
      <c r="C368" s="1" t="n">
        <v>45184</v>
      </c>
      <c r="D368" t="inlineStr">
        <is>
          <t>KRONOBERGS LÄN</t>
        </is>
      </c>
      <c r="E368" t="inlineStr">
        <is>
          <t>LJUNGBY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56566-2018</t>
        </is>
      </c>
      <c r="B369" s="1" t="n">
        <v>43402</v>
      </c>
      <c r="C369" s="1" t="n">
        <v>45184</v>
      </c>
      <c r="D369" t="inlineStr">
        <is>
          <t>KRONOBERGS LÄN</t>
        </is>
      </c>
      <c r="E369" t="inlineStr">
        <is>
          <t>LJUNGBY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56644-2018</t>
        </is>
      </c>
      <c r="B370" s="1" t="n">
        <v>43402</v>
      </c>
      <c r="C370" s="1" t="n">
        <v>45184</v>
      </c>
      <c r="D370" t="inlineStr">
        <is>
          <t>KRONOBERGS LÄN</t>
        </is>
      </c>
      <c r="E370" t="inlineStr">
        <is>
          <t>LJUNGBY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59071-2018</t>
        </is>
      </c>
      <c r="B371" s="1" t="n">
        <v>43403</v>
      </c>
      <c r="C371" s="1" t="n">
        <v>45184</v>
      </c>
      <c r="D371" t="inlineStr">
        <is>
          <t>KRONOBERGS LÄN</t>
        </is>
      </c>
      <c r="E371" t="inlineStr">
        <is>
          <t>ALVESTA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57092-2018</t>
        </is>
      </c>
      <c r="B372" s="1" t="n">
        <v>43403</v>
      </c>
      <c r="C372" s="1" t="n">
        <v>45184</v>
      </c>
      <c r="D372" t="inlineStr">
        <is>
          <t>KRONOBERGS LÄN</t>
        </is>
      </c>
      <c r="E372" t="inlineStr">
        <is>
          <t>LJUNGBY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59055-2018</t>
        </is>
      </c>
      <c r="B373" s="1" t="n">
        <v>43403</v>
      </c>
      <c r="C373" s="1" t="n">
        <v>45184</v>
      </c>
      <c r="D373" t="inlineStr">
        <is>
          <t>KRONOBERGS LÄN</t>
        </is>
      </c>
      <c r="E373" t="inlineStr">
        <is>
          <t>ALVESTA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59063-2018</t>
        </is>
      </c>
      <c r="B374" s="1" t="n">
        <v>43403</v>
      </c>
      <c r="C374" s="1" t="n">
        <v>45184</v>
      </c>
      <c r="D374" t="inlineStr">
        <is>
          <t>KRONOBERGS LÄN</t>
        </is>
      </c>
      <c r="E374" t="inlineStr">
        <is>
          <t>ALVESTA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59258-2018</t>
        </is>
      </c>
      <c r="B375" s="1" t="n">
        <v>43404</v>
      </c>
      <c r="C375" s="1" t="n">
        <v>45184</v>
      </c>
      <c r="D375" t="inlineStr">
        <is>
          <t>KRONOBERGS LÄN</t>
        </is>
      </c>
      <c r="E375" t="inlineStr">
        <is>
          <t>LJUNGBY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57570-2018</t>
        </is>
      </c>
      <c r="B376" s="1" t="n">
        <v>43404</v>
      </c>
      <c r="C376" s="1" t="n">
        <v>45184</v>
      </c>
      <c r="D376" t="inlineStr">
        <is>
          <t>KRONOBERGS LÄN</t>
        </is>
      </c>
      <c r="E376" t="inlineStr">
        <is>
          <t>LJUNGBY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57388-2018</t>
        </is>
      </c>
      <c r="B377" s="1" t="n">
        <v>43404</v>
      </c>
      <c r="C377" s="1" t="n">
        <v>45184</v>
      </c>
      <c r="D377" t="inlineStr">
        <is>
          <t>KRONOBERGS LÄN</t>
        </is>
      </c>
      <c r="E377" t="inlineStr">
        <is>
          <t>LJUNGBY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57557-2018</t>
        </is>
      </c>
      <c r="B378" s="1" t="n">
        <v>43404</v>
      </c>
      <c r="C378" s="1" t="n">
        <v>45184</v>
      </c>
      <c r="D378" t="inlineStr">
        <is>
          <t>KRONOBERGS LÄN</t>
        </is>
      </c>
      <c r="E378" t="inlineStr">
        <is>
          <t>VÄXJÖ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57546-2018</t>
        </is>
      </c>
      <c r="B379" s="1" t="n">
        <v>43404</v>
      </c>
      <c r="C379" s="1" t="n">
        <v>45184</v>
      </c>
      <c r="D379" t="inlineStr">
        <is>
          <t>KRONOBERGS LÄN</t>
        </is>
      </c>
      <c r="E379" t="inlineStr">
        <is>
          <t>TINGSRYD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57802-2018</t>
        </is>
      </c>
      <c r="B380" s="1" t="n">
        <v>43405</v>
      </c>
      <c r="C380" s="1" t="n">
        <v>45184</v>
      </c>
      <c r="D380" t="inlineStr">
        <is>
          <t>KRONOBERGS LÄN</t>
        </is>
      </c>
      <c r="E380" t="inlineStr">
        <is>
          <t>TINGSRYD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58156-2018</t>
        </is>
      </c>
      <c r="B381" s="1" t="n">
        <v>43406</v>
      </c>
      <c r="C381" s="1" t="n">
        <v>45184</v>
      </c>
      <c r="D381" t="inlineStr">
        <is>
          <t>KRONOBERGS LÄN</t>
        </is>
      </c>
      <c r="E381" t="inlineStr">
        <is>
          <t>UPPVIDINGE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60555-2018</t>
        </is>
      </c>
      <c r="B382" s="1" t="n">
        <v>43408</v>
      </c>
      <c r="C382" s="1" t="n">
        <v>45184</v>
      </c>
      <c r="D382" t="inlineStr">
        <is>
          <t>KRONOBERGS LÄN</t>
        </is>
      </c>
      <c r="E382" t="inlineStr">
        <is>
          <t>LJUNGBY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60570-2018</t>
        </is>
      </c>
      <c r="B383" s="1" t="n">
        <v>43408</v>
      </c>
      <c r="C383" s="1" t="n">
        <v>45184</v>
      </c>
      <c r="D383" t="inlineStr">
        <is>
          <t>KRONOBERGS LÄN</t>
        </is>
      </c>
      <c r="E383" t="inlineStr">
        <is>
          <t>ALVESTA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60562-2018</t>
        </is>
      </c>
      <c r="B384" s="1" t="n">
        <v>43408</v>
      </c>
      <c r="C384" s="1" t="n">
        <v>45184</v>
      </c>
      <c r="D384" t="inlineStr">
        <is>
          <t>KRONOBERGS LÄN</t>
        </is>
      </c>
      <c r="E384" t="inlineStr">
        <is>
          <t>LJUNGBY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60558-2018</t>
        </is>
      </c>
      <c r="B385" s="1" t="n">
        <v>43408</v>
      </c>
      <c r="C385" s="1" t="n">
        <v>45184</v>
      </c>
      <c r="D385" t="inlineStr">
        <is>
          <t>KRONOBERGS LÄN</t>
        </is>
      </c>
      <c r="E385" t="inlineStr">
        <is>
          <t>LJUNGBY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60566-2018</t>
        </is>
      </c>
      <c r="B386" s="1" t="n">
        <v>43408</v>
      </c>
      <c r="C386" s="1" t="n">
        <v>45184</v>
      </c>
      <c r="D386" t="inlineStr">
        <is>
          <t>KRONOBERGS LÄN</t>
        </is>
      </c>
      <c r="E386" t="inlineStr">
        <is>
          <t>ALVESTA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58453-2018</t>
        </is>
      </c>
      <c r="B387" s="1" t="n">
        <v>43409</v>
      </c>
      <c r="C387" s="1" t="n">
        <v>45184</v>
      </c>
      <c r="D387" t="inlineStr">
        <is>
          <t>KRONOBERGS LÄN</t>
        </is>
      </c>
      <c r="E387" t="inlineStr">
        <is>
          <t>ALVESTA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60713-2018</t>
        </is>
      </c>
      <c r="B388" s="1" t="n">
        <v>43409</v>
      </c>
      <c r="C388" s="1" t="n">
        <v>45184</v>
      </c>
      <c r="D388" t="inlineStr">
        <is>
          <t>KRONOBERGS LÄN</t>
        </is>
      </c>
      <c r="E388" t="inlineStr">
        <is>
          <t>VÄXJÖ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58319-2018</t>
        </is>
      </c>
      <c r="B389" s="1" t="n">
        <v>43409</v>
      </c>
      <c r="C389" s="1" t="n">
        <v>45184</v>
      </c>
      <c r="D389" t="inlineStr">
        <is>
          <t>KRONOBERGS LÄN</t>
        </is>
      </c>
      <c r="E389" t="inlineStr">
        <is>
          <t>LJUNGBY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58469-2018</t>
        </is>
      </c>
      <c r="B390" s="1" t="n">
        <v>43409</v>
      </c>
      <c r="C390" s="1" t="n">
        <v>45184</v>
      </c>
      <c r="D390" t="inlineStr">
        <is>
          <t>KRONOBERGS LÄN</t>
        </is>
      </c>
      <c r="E390" t="inlineStr">
        <is>
          <t>VÄXJÖ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58233-2018</t>
        </is>
      </c>
      <c r="B391" s="1" t="n">
        <v>43409</v>
      </c>
      <c r="C391" s="1" t="n">
        <v>45184</v>
      </c>
      <c r="D391" t="inlineStr">
        <is>
          <t>KRONOBERGS LÄN</t>
        </is>
      </c>
      <c r="E391" t="inlineStr">
        <is>
          <t>TINGSRYD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58448-2018</t>
        </is>
      </c>
      <c r="B392" s="1" t="n">
        <v>43409</v>
      </c>
      <c r="C392" s="1" t="n">
        <v>45184</v>
      </c>
      <c r="D392" t="inlineStr">
        <is>
          <t>KRONOBERGS LÄN</t>
        </is>
      </c>
      <c r="E392" t="inlineStr">
        <is>
          <t>VÄXJÖ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58618-2018</t>
        </is>
      </c>
      <c r="B393" s="1" t="n">
        <v>43410</v>
      </c>
      <c r="C393" s="1" t="n">
        <v>45184</v>
      </c>
      <c r="D393" t="inlineStr">
        <is>
          <t>KRONOBERGS LÄN</t>
        </is>
      </c>
      <c r="E393" t="inlineStr">
        <is>
          <t>VÄXJÖ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58634-2018</t>
        </is>
      </c>
      <c r="B394" s="1" t="n">
        <v>43410</v>
      </c>
      <c r="C394" s="1" t="n">
        <v>45184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58663-2018</t>
        </is>
      </c>
      <c r="B395" s="1" t="n">
        <v>43410</v>
      </c>
      <c r="C395" s="1" t="n">
        <v>45184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58657-2018</t>
        </is>
      </c>
      <c r="B396" s="1" t="n">
        <v>43410</v>
      </c>
      <c r="C396" s="1" t="n">
        <v>45184</v>
      </c>
      <c r="D396" t="inlineStr">
        <is>
          <t>KRONOBERGS LÄN</t>
        </is>
      </c>
      <c r="E396" t="inlineStr">
        <is>
          <t>LJUNGBY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58833-2018</t>
        </is>
      </c>
      <c r="B397" s="1" t="n">
        <v>43410</v>
      </c>
      <c r="C397" s="1" t="n">
        <v>45184</v>
      </c>
      <c r="D397" t="inlineStr">
        <is>
          <t>KRONOBERGS LÄN</t>
        </is>
      </c>
      <c r="E397" t="inlineStr">
        <is>
          <t>TINGSRYD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58887-2018</t>
        </is>
      </c>
      <c r="B398" s="1" t="n">
        <v>43410</v>
      </c>
      <c r="C398" s="1" t="n">
        <v>45184</v>
      </c>
      <c r="D398" t="inlineStr">
        <is>
          <t>KRONOBERGS LÄN</t>
        </is>
      </c>
      <c r="E398" t="inlineStr">
        <is>
          <t>LESSEBO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60785-2018</t>
        </is>
      </c>
      <c r="B399" s="1" t="n">
        <v>43410</v>
      </c>
      <c r="C399" s="1" t="n">
        <v>45184</v>
      </c>
      <c r="D399" t="inlineStr">
        <is>
          <t>KRONOBERGS LÄN</t>
        </is>
      </c>
      <c r="E399" t="inlineStr">
        <is>
          <t>VÄXJÖ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60843-2018</t>
        </is>
      </c>
      <c r="B400" s="1" t="n">
        <v>43410</v>
      </c>
      <c r="C400" s="1" t="n">
        <v>45184</v>
      </c>
      <c r="D400" t="inlineStr">
        <is>
          <t>KRONOBERGS LÄN</t>
        </is>
      </c>
      <c r="E400" t="inlineStr">
        <is>
          <t>MARKARYD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60857-2018</t>
        </is>
      </c>
      <c r="B401" s="1" t="n">
        <v>43410</v>
      </c>
      <c r="C401" s="1" t="n">
        <v>45184</v>
      </c>
      <c r="D401" t="inlineStr">
        <is>
          <t>KRONOBERGS LÄN</t>
        </is>
      </c>
      <c r="E401" t="inlineStr">
        <is>
          <t>VÄXJÖ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64969-2018</t>
        </is>
      </c>
      <c r="B402" s="1" t="n">
        <v>43410</v>
      </c>
      <c r="C402" s="1" t="n">
        <v>45184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58619-2018</t>
        </is>
      </c>
      <c r="B403" s="1" t="n">
        <v>43410</v>
      </c>
      <c r="C403" s="1" t="n">
        <v>45184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58670-2018</t>
        </is>
      </c>
      <c r="B404" s="1" t="n">
        <v>43410</v>
      </c>
      <c r="C404" s="1" t="n">
        <v>45184</v>
      </c>
      <c r="D404" t="inlineStr">
        <is>
          <t>KRONOBERGS LÄN</t>
        </is>
      </c>
      <c r="E404" t="inlineStr">
        <is>
          <t>LJUNGBY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60803-2018</t>
        </is>
      </c>
      <c r="B405" s="1" t="n">
        <v>43410</v>
      </c>
      <c r="C405" s="1" t="n">
        <v>45184</v>
      </c>
      <c r="D405" t="inlineStr">
        <is>
          <t>KRONOBERGS LÄN</t>
        </is>
      </c>
      <c r="E405" t="inlineStr">
        <is>
          <t>LJUNGBY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58633-2018</t>
        </is>
      </c>
      <c r="B406" s="1" t="n">
        <v>43410</v>
      </c>
      <c r="C406" s="1" t="n">
        <v>45184</v>
      </c>
      <c r="D406" t="inlineStr">
        <is>
          <t>KRONOBERGS LÄN</t>
        </is>
      </c>
      <c r="E406" t="inlineStr">
        <is>
          <t>VÄXJÖ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58890-2018</t>
        </is>
      </c>
      <c r="B407" s="1" t="n">
        <v>43410</v>
      </c>
      <c r="C407" s="1" t="n">
        <v>45184</v>
      </c>
      <c r="D407" t="inlineStr">
        <is>
          <t>KRONOBERGS LÄN</t>
        </is>
      </c>
      <c r="E407" t="inlineStr">
        <is>
          <t>LESSEBO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58918-2018</t>
        </is>
      </c>
      <c r="B408" s="1" t="n">
        <v>43410</v>
      </c>
      <c r="C408" s="1" t="n">
        <v>45184</v>
      </c>
      <c r="D408" t="inlineStr">
        <is>
          <t>KRONOBERGS LÄN</t>
        </is>
      </c>
      <c r="E408" t="inlineStr">
        <is>
          <t>MARKARYD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60846-2018</t>
        </is>
      </c>
      <c r="B409" s="1" t="n">
        <v>43410</v>
      </c>
      <c r="C409" s="1" t="n">
        <v>45184</v>
      </c>
      <c r="D409" t="inlineStr">
        <is>
          <t>KRONOBERGS LÄN</t>
        </is>
      </c>
      <c r="E409" t="inlineStr">
        <is>
          <t>LJUNGBY</t>
        </is>
      </c>
      <c r="G409" t="n">
        <v>7.4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59137-2018</t>
        </is>
      </c>
      <c r="B410" s="1" t="n">
        <v>43411</v>
      </c>
      <c r="C410" s="1" t="n">
        <v>45184</v>
      </c>
      <c r="D410" t="inlineStr">
        <is>
          <t>KRONOBERGS LÄN</t>
        </is>
      </c>
      <c r="E410" t="inlineStr">
        <is>
          <t>TINGSRYD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59776-2018</t>
        </is>
      </c>
      <c r="B411" s="1" t="n">
        <v>43411</v>
      </c>
      <c r="C411" s="1" t="n">
        <v>45184</v>
      </c>
      <c r="D411" t="inlineStr">
        <is>
          <t>KRONOBERGS LÄN</t>
        </is>
      </c>
      <c r="E411" t="inlineStr">
        <is>
          <t>TINGSRYD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59807-2018</t>
        </is>
      </c>
      <c r="B412" s="1" t="n">
        <v>43411</v>
      </c>
      <c r="C412" s="1" t="n">
        <v>45184</v>
      </c>
      <c r="D412" t="inlineStr">
        <is>
          <t>KRONOBERGS LÄN</t>
        </is>
      </c>
      <c r="E412" t="inlineStr">
        <is>
          <t>TINGSRYD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58958-2018</t>
        </is>
      </c>
      <c r="B413" s="1" t="n">
        <v>43411</v>
      </c>
      <c r="C413" s="1" t="n">
        <v>45184</v>
      </c>
      <c r="D413" t="inlineStr">
        <is>
          <t>KRONOBERGS LÄN</t>
        </is>
      </c>
      <c r="E413" t="inlineStr">
        <is>
          <t>LJUNGBY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59725-2018</t>
        </is>
      </c>
      <c r="B414" s="1" t="n">
        <v>43411</v>
      </c>
      <c r="C414" s="1" t="n">
        <v>45184</v>
      </c>
      <c r="D414" t="inlineStr">
        <is>
          <t>KRONOBERGS LÄN</t>
        </is>
      </c>
      <c r="E414" t="inlineStr">
        <is>
          <t>TINGSRYD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59767-2018</t>
        </is>
      </c>
      <c r="B415" s="1" t="n">
        <v>43411</v>
      </c>
      <c r="C415" s="1" t="n">
        <v>45184</v>
      </c>
      <c r="D415" t="inlineStr">
        <is>
          <t>KRONOBERGS LÄN</t>
        </is>
      </c>
      <c r="E415" t="inlineStr">
        <is>
          <t>TINGSRYD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59804-2018</t>
        </is>
      </c>
      <c r="B416" s="1" t="n">
        <v>43411</v>
      </c>
      <c r="C416" s="1" t="n">
        <v>45184</v>
      </c>
      <c r="D416" t="inlineStr">
        <is>
          <t>KRONOBERGS LÄN</t>
        </is>
      </c>
      <c r="E416" t="inlineStr">
        <is>
          <t>TINGSRYD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59093-2018</t>
        </is>
      </c>
      <c r="B417" s="1" t="n">
        <v>43411</v>
      </c>
      <c r="C417" s="1" t="n">
        <v>45184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59142-2018</t>
        </is>
      </c>
      <c r="B418" s="1" t="n">
        <v>43411</v>
      </c>
      <c r="C418" s="1" t="n">
        <v>45184</v>
      </c>
      <c r="D418" t="inlineStr">
        <is>
          <t>KRONOBERGS LÄN</t>
        </is>
      </c>
      <c r="E418" t="inlineStr">
        <is>
          <t>ALVESTA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59739-2018</t>
        </is>
      </c>
      <c r="B419" s="1" t="n">
        <v>43411</v>
      </c>
      <c r="C419" s="1" t="n">
        <v>45184</v>
      </c>
      <c r="D419" t="inlineStr">
        <is>
          <t>KRONOBERGS LÄN</t>
        </is>
      </c>
      <c r="E419" t="inlineStr">
        <is>
          <t>VÄXJÖ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59750-2018</t>
        </is>
      </c>
      <c r="B420" s="1" t="n">
        <v>43411</v>
      </c>
      <c r="C420" s="1" t="n">
        <v>45184</v>
      </c>
      <c r="D420" t="inlineStr">
        <is>
          <t>KRONOBERGS LÄN</t>
        </is>
      </c>
      <c r="E420" t="inlineStr">
        <is>
          <t>VÄXJÖ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59780-2018</t>
        </is>
      </c>
      <c r="B421" s="1" t="n">
        <v>43411</v>
      </c>
      <c r="C421" s="1" t="n">
        <v>45184</v>
      </c>
      <c r="D421" t="inlineStr">
        <is>
          <t>KRONOBERGS LÄN</t>
        </is>
      </c>
      <c r="E421" t="inlineStr">
        <is>
          <t>LESSEBO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61153-2018</t>
        </is>
      </c>
      <c r="B422" s="1" t="n">
        <v>43411</v>
      </c>
      <c r="C422" s="1" t="n">
        <v>45184</v>
      </c>
      <c r="D422" t="inlineStr">
        <is>
          <t>KRONOBERGS LÄN</t>
        </is>
      </c>
      <c r="E422" t="inlineStr">
        <is>
          <t>ÄLMHULT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60248-2018</t>
        </is>
      </c>
      <c r="B423" s="1" t="n">
        <v>43412</v>
      </c>
      <c r="C423" s="1" t="n">
        <v>45184</v>
      </c>
      <c r="D423" t="inlineStr">
        <is>
          <t>KRONOBERGS LÄN</t>
        </is>
      </c>
      <c r="E423" t="inlineStr">
        <is>
          <t>LJUNGBY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60136-2018</t>
        </is>
      </c>
      <c r="B424" s="1" t="n">
        <v>43412</v>
      </c>
      <c r="C424" s="1" t="n">
        <v>45184</v>
      </c>
      <c r="D424" t="inlineStr">
        <is>
          <t>KRONOBERGS LÄN</t>
        </is>
      </c>
      <c r="E424" t="inlineStr">
        <is>
          <t>VÄXJÖ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60240-2018</t>
        </is>
      </c>
      <c r="B425" s="1" t="n">
        <v>43412</v>
      </c>
      <c r="C425" s="1" t="n">
        <v>45184</v>
      </c>
      <c r="D425" t="inlineStr">
        <is>
          <t>KRONOBERGS LÄN</t>
        </is>
      </c>
      <c r="E425" t="inlineStr">
        <is>
          <t>VÄXJÖ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61360-2018</t>
        </is>
      </c>
      <c r="B426" s="1" t="n">
        <v>43412</v>
      </c>
      <c r="C426" s="1" t="n">
        <v>45184</v>
      </c>
      <c r="D426" t="inlineStr">
        <is>
          <t>KRONOBERGS LÄN</t>
        </is>
      </c>
      <c r="E426" t="inlineStr">
        <is>
          <t>LJUNGBY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60140-2018</t>
        </is>
      </c>
      <c r="B427" s="1" t="n">
        <v>43412</v>
      </c>
      <c r="C427" s="1" t="n">
        <v>45184</v>
      </c>
      <c r="D427" t="inlineStr">
        <is>
          <t>KRONOBERGS LÄN</t>
        </is>
      </c>
      <c r="E427" t="inlineStr">
        <is>
          <t>VÄXJÖ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61549-2018</t>
        </is>
      </c>
      <c r="B428" s="1" t="n">
        <v>43413</v>
      </c>
      <c r="C428" s="1" t="n">
        <v>45184</v>
      </c>
      <c r="D428" t="inlineStr">
        <is>
          <t>KRONOBERGS LÄN</t>
        </is>
      </c>
      <c r="E428" t="inlineStr">
        <is>
          <t>VÄXJÖ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62727-2018</t>
        </is>
      </c>
      <c r="B429" s="1" t="n">
        <v>43413</v>
      </c>
      <c r="C429" s="1" t="n">
        <v>45184</v>
      </c>
      <c r="D429" t="inlineStr">
        <is>
          <t>KRONOBERGS LÄN</t>
        </is>
      </c>
      <c r="E429" t="inlineStr">
        <is>
          <t>VÄXJÖ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62757-2018</t>
        </is>
      </c>
      <c r="B430" s="1" t="n">
        <v>43413</v>
      </c>
      <c r="C430" s="1" t="n">
        <v>45184</v>
      </c>
      <c r="D430" t="inlineStr">
        <is>
          <t>KRONOBERGS LÄN</t>
        </is>
      </c>
      <c r="E430" t="inlineStr">
        <is>
          <t>MARKARYD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62759-2018</t>
        </is>
      </c>
      <c r="B431" s="1" t="n">
        <v>43413</v>
      </c>
      <c r="C431" s="1" t="n">
        <v>45184</v>
      </c>
      <c r="D431" t="inlineStr">
        <is>
          <t>KRONOBERGS LÄN</t>
        </is>
      </c>
      <c r="E431" t="inlineStr">
        <is>
          <t>MARKARYD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62668-2018</t>
        </is>
      </c>
      <c r="B432" s="1" t="n">
        <v>43413</v>
      </c>
      <c r="C432" s="1" t="n">
        <v>45184</v>
      </c>
      <c r="D432" t="inlineStr">
        <is>
          <t>KRONOBERGS LÄN</t>
        </is>
      </c>
      <c r="E432" t="inlineStr">
        <is>
          <t>MARKARYD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62491-2018</t>
        </is>
      </c>
      <c r="B433" s="1" t="n">
        <v>43414</v>
      </c>
      <c r="C433" s="1" t="n">
        <v>45184</v>
      </c>
      <c r="D433" t="inlineStr">
        <is>
          <t>KRONOBERGS LÄN</t>
        </is>
      </c>
      <c r="E433" t="inlineStr">
        <is>
          <t>LJUNGBY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62073-2018</t>
        </is>
      </c>
      <c r="B434" s="1" t="n">
        <v>43416</v>
      </c>
      <c r="C434" s="1" t="n">
        <v>45184</v>
      </c>
      <c r="D434" t="inlineStr">
        <is>
          <t>KRONOBERGS LÄN</t>
        </is>
      </c>
      <c r="E434" t="inlineStr">
        <is>
          <t>ALVESTA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62083-2018</t>
        </is>
      </c>
      <c r="B435" s="1" t="n">
        <v>43416</v>
      </c>
      <c r="C435" s="1" t="n">
        <v>45184</v>
      </c>
      <c r="D435" t="inlineStr">
        <is>
          <t>KRONOBERGS LÄN</t>
        </is>
      </c>
      <c r="E435" t="inlineStr">
        <is>
          <t>LESSEBO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63312-2018</t>
        </is>
      </c>
      <c r="B436" s="1" t="n">
        <v>43416</v>
      </c>
      <c r="C436" s="1" t="n">
        <v>45184</v>
      </c>
      <c r="D436" t="inlineStr">
        <is>
          <t>KRONOBERGS LÄN</t>
        </is>
      </c>
      <c r="E436" t="inlineStr">
        <is>
          <t>LESSEBO</t>
        </is>
      </c>
      <c r="F436" t="inlineStr">
        <is>
          <t>Kyrkan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62429-2018</t>
        </is>
      </c>
      <c r="B437" s="1" t="n">
        <v>43416</v>
      </c>
      <c r="C437" s="1" t="n">
        <v>45184</v>
      </c>
      <c r="D437" t="inlineStr">
        <is>
          <t>KRONOBERGS LÄN</t>
        </is>
      </c>
      <c r="E437" t="inlineStr">
        <is>
          <t>VÄXJÖ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63479-2018</t>
        </is>
      </c>
      <c r="B438" s="1" t="n">
        <v>43416</v>
      </c>
      <c r="C438" s="1" t="n">
        <v>45184</v>
      </c>
      <c r="D438" t="inlineStr">
        <is>
          <t>KRONOBERGS LÄN</t>
        </is>
      </c>
      <c r="E438" t="inlineStr">
        <is>
          <t>LJUNGBY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62081-2018</t>
        </is>
      </c>
      <c r="B439" s="1" t="n">
        <v>43416</v>
      </c>
      <c r="C439" s="1" t="n">
        <v>45184</v>
      </c>
      <c r="D439" t="inlineStr">
        <is>
          <t>KRONOBERGS LÄN</t>
        </is>
      </c>
      <c r="E439" t="inlineStr">
        <is>
          <t>LESSEBO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62343-2018</t>
        </is>
      </c>
      <c r="B440" s="1" t="n">
        <v>43416</v>
      </c>
      <c r="C440" s="1" t="n">
        <v>45184</v>
      </c>
      <c r="D440" t="inlineStr">
        <is>
          <t>KRONOBERGS LÄN</t>
        </is>
      </c>
      <c r="E440" t="inlineStr">
        <is>
          <t>TINGSRYD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62388-2018</t>
        </is>
      </c>
      <c r="B441" s="1" t="n">
        <v>43416</v>
      </c>
      <c r="C441" s="1" t="n">
        <v>45184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63309-2018</t>
        </is>
      </c>
      <c r="B442" s="1" t="n">
        <v>43416</v>
      </c>
      <c r="C442" s="1" t="n">
        <v>45184</v>
      </c>
      <c r="D442" t="inlineStr">
        <is>
          <t>KRONOBERGS LÄN</t>
        </is>
      </c>
      <c r="E442" t="inlineStr">
        <is>
          <t>LESSEBO</t>
        </is>
      </c>
      <c r="F442" t="inlineStr">
        <is>
          <t>Kyrkan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63540-2018</t>
        </is>
      </c>
      <c r="B443" s="1" t="n">
        <v>43416</v>
      </c>
      <c r="C443" s="1" t="n">
        <v>45184</v>
      </c>
      <c r="D443" t="inlineStr">
        <is>
          <t>KRONOBERGS LÄN</t>
        </is>
      </c>
      <c r="E443" t="inlineStr">
        <is>
          <t>ALVESTA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63306-2018</t>
        </is>
      </c>
      <c r="B444" s="1" t="n">
        <v>43416</v>
      </c>
      <c r="C444" s="1" t="n">
        <v>45184</v>
      </c>
      <c r="D444" t="inlineStr">
        <is>
          <t>KRONOBERGS LÄN</t>
        </is>
      </c>
      <c r="E444" t="inlineStr">
        <is>
          <t>LESSEBO</t>
        </is>
      </c>
      <c r="F444" t="inlineStr">
        <is>
          <t>Kyrkan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62790-2018</t>
        </is>
      </c>
      <c r="B445" s="1" t="n">
        <v>43417</v>
      </c>
      <c r="C445" s="1" t="n">
        <v>45184</v>
      </c>
      <c r="D445" t="inlineStr">
        <is>
          <t>KRONOBERGS LÄN</t>
        </is>
      </c>
      <c r="E445" t="inlineStr">
        <is>
          <t>LESSEBO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62786-2018</t>
        </is>
      </c>
      <c r="B446" s="1" t="n">
        <v>43417</v>
      </c>
      <c r="C446" s="1" t="n">
        <v>45184</v>
      </c>
      <c r="D446" t="inlineStr">
        <is>
          <t>KRONOBERGS LÄN</t>
        </is>
      </c>
      <c r="E446" t="inlineStr">
        <is>
          <t>LESSEBO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61762-2018</t>
        </is>
      </c>
      <c r="B447" s="1" t="n">
        <v>43417</v>
      </c>
      <c r="C447" s="1" t="n">
        <v>45184</v>
      </c>
      <c r="D447" t="inlineStr">
        <is>
          <t>KRONOBERGS LÄN</t>
        </is>
      </c>
      <c r="E447" t="inlineStr">
        <is>
          <t>VÄXJÖ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61958-2018</t>
        </is>
      </c>
      <c r="B448" s="1" t="n">
        <v>43417</v>
      </c>
      <c r="C448" s="1" t="n">
        <v>45184</v>
      </c>
      <c r="D448" t="inlineStr">
        <is>
          <t>KRONOBERGS LÄN</t>
        </is>
      </c>
      <c r="E448" t="inlineStr">
        <is>
          <t>TINGSRYD</t>
        </is>
      </c>
      <c r="G448" t="n">
        <v>9.1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59336-2018</t>
        </is>
      </c>
      <c r="B449" s="1" t="n">
        <v>43418</v>
      </c>
      <c r="C449" s="1" t="n">
        <v>45184</v>
      </c>
      <c r="D449" t="inlineStr">
        <is>
          <t>KRONOBERGS LÄN</t>
        </is>
      </c>
      <c r="E449" t="inlineStr">
        <is>
          <t>ALVESTA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59353-2018</t>
        </is>
      </c>
      <c r="B450" s="1" t="n">
        <v>43418</v>
      </c>
      <c r="C450" s="1" t="n">
        <v>45184</v>
      </c>
      <c r="D450" t="inlineStr">
        <is>
          <t>KRONOBERGS LÄN</t>
        </is>
      </c>
      <c r="E450" t="inlineStr">
        <is>
          <t>VÄXJÖ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59356-2018</t>
        </is>
      </c>
      <c r="B451" s="1" t="n">
        <v>43418</v>
      </c>
      <c r="C451" s="1" t="n">
        <v>45184</v>
      </c>
      <c r="D451" t="inlineStr">
        <is>
          <t>KRONOBERGS LÄN</t>
        </is>
      </c>
      <c r="E451" t="inlineStr">
        <is>
          <t>VÄXJÖ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59385-2018</t>
        </is>
      </c>
      <c r="B452" s="1" t="n">
        <v>43418</v>
      </c>
      <c r="C452" s="1" t="n">
        <v>45184</v>
      </c>
      <c r="D452" t="inlineStr">
        <is>
          <t>KRONOBERGS LÄN</t>
        </is>
      </c>
      <c r="E452" t="inlineStr">
        <is>
          <t>TINGSRYD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63028-2018</t>
        </is>
      </c>
      <c r="B453" s="1" t="n">
        <v>43418</v>
      </c>
      <c r="C453" s="1" t="n">
        <v>45184</v>
      </c>
      <c r="D453" t="inlineStr">
        <is>
          <t>KRONOBERGS LÄN</t>
        </is>
      </c>
      <c r="E453" t="inlineStr">
        <is>
          <t>MARKARYD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63058-2018</t>
        </is>
      </c>
      <c r="B454" s="1" t="n">
        <v>43418</v>
      </c>
      <c r="C454" s="1" t="n">
        <v>45184</v>
      </c>
      <c r="D454" t="inlineStr">
        <is>
          <t>KRONOBERGS LÄN</t>
        </is>
      </c>
      <c r="E454" t="inlineStr">
        <is>
          <t>MARKARYD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63114-2018</t>
        </is>
      </c>
      <c r="B455" s="1" t="n">
        <v>43418</v>
      </c>
      <c r="C455" s="1" t="n">
        <v>45184</v>
      </c>
      <c r="D455" t="inlineStr">
        <is>
          <t>KRONOBERGS LÄN</t>
        </is>
      </c>
      <c r="E455" t="inlineStr">
        <is>
          <t>VÄXJÖ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63115-2018</t>
        </is>
      </c>
      <c r="B456" s="1" t="n">
        <v>43418</v>
      </c>
      <c r="C456" s="1" t="n">
        <v>45184</v>
      </c>
      <c r="D456" t="inlineStr">
        <is>
          <t>KRONOBERGS LÄN</t>
        </is>
      </c>
      <c r="E456" t="inlineStr">
        <is>
          <t>VÄXJÖ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63127-2018</t>
        </is>
      </c>
      <c r="B457" s="1" t="n">
        <v>43418</v>
      </c>
      <c r="C457" s="1" t="n">
        <v>45184</v>
      </c>
      <c r="D457" t="inlineStr">
        <is>
          <t>KRONOBERGS LÄN</t>
        </is>
      </c>
      <c r="E457" t="inlineStr">
        <is>
          <t>LJUNGBY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63184-2018</t>
        </is>
      </c>
      <c r="B458" s="1" t="n">
        <v>43418</v>
      </c>
      <c r="C458" s="1" t="n">
        <v>45184</v>
      </c>
      <c r="D458" t="inlineStr">
        <is>
          <t>KRONOBERGS LÄN</t>
        </is>
      </c>
      <c r="E458" t="inlineStr">
        <is>
          <t>TINGSRYD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59590-2018</t>
        </is>
      </c>
      <c r="B459" s="1" t="n">
        <v>43419</v>
      </c>
      <c r="C459" s="1" t="n">
        <v>45184</v>
      </c>
      <c r="D459" t="inlineStr">
        <is>
          <t>KRONOBERGS LÄN</t>
        </is>
      </c>
      <c r="E459" t="inlineStr">
        <is>
          <t>ÄLMHULT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59867-2018</t>
        </is>
      </c>
      <c r="B460" s="1" t="n">
        <v>43419</v>
      </c>
      <c r="C460" s="1" t="n">
        <v>45184</v>
      </c>
      <c r="D460" t="inlineStr">
        <is>
          <t>KRONOBERGS LÄN</t>
        </is>
      </c>
      <c r="E460" t="inlineStr">
        <is>
          <t>LJUNGBY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64335-2018</t>
        </is>
      </c>
      <c r="B461" s="1" t="n">
        <v>43419</v>
      </c>
      <c r="C461" s="1" t="n">
        <v>45184</v>
      </c>
      <c r="D461" t="inlineStr">
        <is>
          <t>KRONOBERGS LÄN</t>
        </is>
      </c>
      <c r="E461" t="inlineStr">
        <is>
          <t>UPPVIDINGE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59469-2018</t>
        </is>
      </c>
      <c r="B462" s="1" t="n">
        <v>43419</v>
      </c>
      <c r="C462" s="1" t="n">
        <v>45184</v>
      </c>
      <c r="D462" t="inlineStr">
        <is>
          <t>KRONOBERGS LÄN</t>
        </is>
      </c>
      <c r="E462" t="inlineStr">
        <is>
          <t>LJUNGBY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59850-2018</t>
        </is>
      </c>
      <c r="B463" s="1" t="n">
        <v>43419</v>
      </c>
      <c r="C463" s="1" t="n">
        <v>45184</v>
      </c>
      <c r="D463" t="inlineStr">
        <is>
          <t>KRONOBERGS LÄN</t>
        </is>
      </c>
      <c r="E463" t="inlineStr">
        <is>
          <t>LJUNGBY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64480-2018</t>
        </is>
      </c>
      <c r="B464" s="1" t="n">
        <v>43419</v>
      </c>
      <c r="C464" s="1" t="n">
        <v>45184</v>
      </c>
      <c r="D464" t="inlineStr">
        <is>
          <t>KRONOBERGS LÄN</t>
        </is>
      </c>
      <c r="E464" t="inlineStr">
        <is>
          <t>ALVESTA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59586-2018</t>
        </is>
      </c>
      <c r="B465" s="1" t="n">
        <v>43419</v>
      </c>
      <c r="C465" s="1" t="n">
        <v>45184</v>
      </c>
      <c r="D465" t="inlineStr">
        <is>
          <t>KRONOBERGS LÄN</t>
        </is>
      </c>
      <c r="E465" t="inlineStr">
        <is>
          <t>ÄLMHULT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59605-2018</t>
        </is>
      </c>
      <c r="B466" s="1" t="n">
        <v>43419</v>
      </c>
      <c r="C466" s="1" t="n">
        <v>45184</v>
      </c>
      <c r="D466" t="inlineStr">
        <is>
          <t>KRONOBERGS LÄN</t>
        </is>
      </c>
      <c r="E466" t="inlineStr">
        <is>
          <t>LJUNGBY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59614-2018</t>
        </is>
      </c>
      <c r="B467" s="1" t="n">
        <v>43419</v>
      </c>
      <c r="C467" s="1" t="n">
        <v>45184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59879-2018</t>
        </is>
      </c>
      <c r="B468" s="1" t="n">
        <v>43419</v>
      </c>
      <c r="C468" s="1" t="n">
        <v>45184</v>
      </c>
      <c r="D468" t="inlineStr">
        <is>
          <t>KRONOBERGS LÄN</t>
        </is>
      </c>
      <c r="E468" t="inlineStr">
        <is>
          <t>LJUNGBY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59884-2018</t>
        </is>
      </c>
      <c r="B469" s="1" t="n">
        <v>43419</v>
      </c>
      <c r="C469" s="1" t="n">
        <v>45184</v>
      </c>
      <c r="D469" t="inlineStr">
        <is>
          <t>KRONOBERGS LÄN</t>
        </is>
      </c>
      <c r="E469" t="inlineStr">
        <is>
          <t>ÄLMHULT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64332-2018</t>
        </is>
      </c>
      <c r="B470" s="1" t="n">
        <v>43419</v>
      </c>
      <c r="C470" s="1" t="n">
        <v>45184</v>
      </c>
      <c r="D470" t="inlineStr">
        <is>
          <t>KRONOBERGS LÄN</t>
        </is>
      </c>
      <c r="E470" t="inlineStr">
        <is>
          <t>UPPVIDINGE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60648-2018</t>
        </is>
      </c>
      <c r="B471" s="1" t="n">
        <v>43420</v>
      </c>
      <c r="C471" s="1" t="n">
        <v>45184</v>
      </c>
      <c r="D471" t="inlineStr">
        <is>
          <t>KRONOBERGS LÄN</t>
        </is>
      </c>
      <c r="E471" t="inlineStr">
        <is>
          <t>ALVESTA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64489-2018</t>
        </is>
      </c>
      <c r="B472" s="1" t="n">
        <v>43420</v>
      </c>
      <c r="C472" s="1" t="n">
        <v>45184</v>
      </c>
      <c r="D472" t="inlineStr">
        <is>
          <t>KRONOBERGS LÄN</t>
        </is>
      </c>
      <c r="E472" t="inlineStr">
        <is>
          <t>TINGSRYD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64598-2018</t>
        </is>
      </c>
      <c r="B473" s="1" t="n">
        <v>43420</v>
      </c>
      <c r="C473" s="1" t="n">
        <v>45184</v>
      </c>
      <c r="D473" t="inlineStr">
        <is>
          <t>KRONOBERGS LÄN</t>
        </is>
      </c>
      <c r="E473" t="inlineStr">
        <is>
          <t>TINGSRYD</t>
        </is>
      </c>
      <c r="G473" t="n">
        <v>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60380-2018</t>
        </is>
      </c>
      <c r="B474" s="1" t="n">
        <v>43420</v>
      </c>
      <c r="C474" s="1" t="n">
        <v>45184</v>
      </c>
      <c r="D474" t="inlineStr">
        <is>
          <t>KRONOBERGS LÄN</t>
        </is>
      </c>
      <c r="E474" t="inlineStr">
        <is>
          <t>UPPVIDINGE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64502-2018</t>
        </is>
      </c>
      <c r="B475" s="1" t="n">
        <v>43420</v>
      </c>
      <c r="C475" s="1" t="n">
        <v>45184</v>
      </c>
      <c r="D475" t="inlineStr">
        <is>
          <t>KRONOBERGS LÄN</t>
        </is>
      </c>
      <c r="E475" t="inlineStr">
        <is>
          <t>TINGSRYD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60762-2018</t>
        </is>
      </c>
      <c r="B476" s="1" t="n">
        <v>43421</v>
      </c>
      <c r="C476" s="1" t="n">
        <v>45184</v>
      </c>
      <c r="D476" t="inlineStr">
        <is>
          <t>KRONOBERGS LÄN</t>
        </is>
      </c>
      <c r="E476" t="inlineStr">
        <is>
          <t>VÄXJÖ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60763-2018</t>
        </is>
      </c>
      <c r="B477" s="1" t="n">
        <v>43421</v>
      </c>
      <c r="C477" s="1" t="n">
        <v>45184</v>
      </c>
      <c r="D477" t="inlineStr">
        <is>
          <t>KRONOBERGS LÄN</t>
        </is>
      </c>
      <c r="E477" t="inlineStr">
        <is>
          <t>VÄXJÖ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61219-2018</t>
        </is>
      </c>
      <c r="B478" s="1" t="n">
        <v>43423</v>
      </c>
      <c r="C478" s="1" t="n">
        <v>45184</v>
      </c>
      <c r="D478" t="inlineStr">
        <is>
          <t>KRONOBERGS LÄN</t>
        </is>
      </c>
      <c r="E478" t="inlineStr">
        <is>
          <t>ÄLMHULT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61023-2018</t>
        </is>
      </c>
      <c r="B479" s="1" t="n">
        <v>43423</v>
      </c>
      <c r="C479" s="1" t="n">
        <v>45184</v>
      </c>
      <c r="D479" t="inlineStr">
        <is>
          <t>KRONOBERGS LÄN</t>
        </is>
      </c>
      <c r="E479" t="inlineStr">
        <is>
          <t>TINGSRYD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65180-2018</t>
        </is>
      </c>
      <c r="B480" s="1" t="n">
        <v>43423</v>
      </c>
      <c r="C480" s="1" t="n">
        <v>45184</v>
      </c>
      <c r="D480" t="inlineStr">
        <is>
          <t>KRONOBERGS LÄN</t>
        </is>
      </c>
      <c r="E480" t="inlineStr">
        <is>
          <t>VÄXJÖ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61081-2018</t>
        </is>
      </c>
      <c r="B481" s="1" t="n">
        <v>43423</v>
      </c>
      <c r="C481" s="1" t="n">
        <v>45184</v>
      </c>
      <c r="D481" t="inlineStr">
        <is>
          <t>KRONOBERGS LÄN</t>
        </is>
      </c>
      <c r="E481" t="inlineStr">
        <is>
          <t>VÄXJÖ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65431-2018</t>
        </is>
      </c>
      <c r="B482" s="1" t="n">
        <v>43423</v>
      </c>
      <c r="C482" s="1" t="n">
        <v>45184</v>
      </c>
      <c r="D482" t="inlineStr">
        <is>
          <t>KRONOBERGS LÄN</t>
        </is>
      </c>
      <c r="E482" t="inlineStr">
        <is>
          <t>ALVESTA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61603-2018</t>
        </is>
      </c>
      <c r="B483" s="1" t="n">
        <v>43424</v>
      </c>
      <c r="C483" s="1" t="n">
        <v>45184</v>
      </c>
      <c r="D483" t="inlineStr">
        <is>
          <t>KRONOBERGS LÄN</t>
        </is>
      </c>
      <c r="E483" t="inlineStr">
        <is>
          <t>VÄXJÖ</t>
        </is>
      </c>
      <c r="F483" t="inlineStr">
        <is>
          <t>Kyrkan</t>
        </is>
      </c>
      <c r="G483" t="n">
        <v>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65149-2018</t>
        </is>
      </c>
      <c r="B484" s="1" t="n">
        <v>43424</v>
      </c>
      <c r="C484" s="1" t="n">
        <v>45184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61449-2018</t>
        </is>
      </c>
      <c r="B485" s="1" t="n">
        <v>43424</v>
      </c>
      <c r="C485" s="1" t="n">
        <v>45184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61569-2018</t>
        </is>
      </c>
      <c r="B486" s="1" t="n">
        <v>43424</v>
      </c>
      <c r="C486" s="1" t="n">
        <v>45184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61585-2018</t>
        </is>
      </c>
      <c r="B487" s="1" t="n">
        <v>43424</v>
      </c>
      <c r="C487" s="1" t="n">
        <v>45184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61470-2018</t>
        </is>
      </c>
      <c r="B488" s="1" t="n">
        <v>43424</v>
      </c>
      <c r="C488" s="1" t="n">
        <v>45184</v>
      </c>
      <c r="D488" t="inlineStr">
        <is>
          <t>KRONOBERGS LÄN</t>
        </is>
      </c>
      <c r="E488" t="inlineStr">
        <is>
          <t>VÄXJÖ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61612-2018</t>
        </is>
      </c>
      <c r="B489" s="1" t="n">
        <v>43424</v>
      </c>
      <c r="C489" s="1" t="n">
        <v>45184</v>
      </c>
      <c r="D489" t="inlineStr">
        <is>
          <t>KRONOBERGS LÄN</t>
        </is>
      </c>
      <c r="E489" t="inlineStr">
        <is>
          <t>ÄLMHULT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62162-2018</t>
        </is>
      </c>
      <c r="B490" s="1" t="n">
        <v>43425</v>
      </c>
      <c r="C490" s="1" t="n">
        <v>45184</v>
      </c>
      <c r="D490" t="inlineStr">
        <is>
          <t>KRONOBERGS LÄN</t>
        </is>
      </c>
      <c r="E490" t="inlineStr">
        <is>
          <t>LJUNGBY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62208-2018</t>
        </is>
      </c>
      <c r="B491" s="1" t="n">
        <v>43425</v>
      </c>
      <c r="C491" s="1" t="n">
        <v>45184</v>
      </c>
      <c r="D491" t="inlineStr">
        <is>
          <t>KRONOBERGS LÄN</t>
        </is>
      </c>
      <c r="E491" t="inlineStr">
        <is>
          <t>MARKARYD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61787-2018</t>
        </is>
      </c>
      <c r="B492" s="1" t="n">
        <v>43425</v>
      </c>
      <c r="C492" s="1" t="n">
        <v>45184</v>
      </c>
      <c r="D492" t="inlineStr">
        <is>
          <t>KRONOBERGS LÄN</t>
        </is>
      </c>
      <c r="E492" t="inlineStr">
        <is>
          <t>UPPVIDINGE</t>
        </is>
      </c>
      <c r="G492" t="n">
        <v>8.300000000000001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62251-2018</t>
        </is>
      </c>
      <c r="B493" s="1" t="n">
        <v>43425</v>
      </c>
      <c r="C493" s="1" t="n">
        <v>45184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62197-2018</t>
        </is>
      </c>
      <c r="B494" s="1" t="n">
        <v>43425</v>
      </c>
      <c r="C494" s="1" t="n">
        <v>45184</v>
      </c>
      <c r="D494" t="inlineStr">
        <is>
          <t>KRONOBERGS LÄN</t>
        </is>
      </c>
      <c r="E494" t="inlineStr">
        <is>
          <t>MARKARYD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62205-2018</t>
        </is>
      </c>
      <c r="B495" s="1" t="n">
        <v>43425</v>
      </c>
      <c r="C495" s="1" t="n">
        <v>45184</v>
      </c>
      <c r="D495" t="inlineStr">
        <is>
          <t>KRONOBERGS LÄN</t>
        </is>
      </c>
      <c r="E495" t="inlineStr">
        <is>
          <t>MARKARYD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62246-2018</t>
        </is>
      </c>
      <c r="B496" s="1" t="n">
        <v>43425</v>
      </c>
      <c r="C496" s="1" t="n">
        <v>45184</v>
      </c>
      <c r="D496" t="inlineStr">
        <is>
          <t>KRONOBERGS LÄN</t>
        </is>
      </c>
      <c r="E496" t="inlineStr">
        <is>
          <t>ÄLMHULT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65971-2018</t>
        </is>
      </c>
      <c r="B497" s="1" t="n">
        <v>43426</v>
      </c>
      <c r="C497" s="1" t="n">
        <v>45184</v>
      </c>
      <c r="D497" t="inlineStr">
        <is>
          <t>KRONOBERGS LÄN</t>
        </is>
      </c>
      <c r="E497" t="inlineStr">
        <is>
          <t>VÄXJÖ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65718-2018</t>
        </is>
      </c>
      <c r="B498" s="1" t="n">
        <v>43426</v>
      </c>
      <c r="C498" s="1" t="n">
        <v>45184</v>
      </c>
      <c r="D498" t="inlineStr">
        <is>
          <t>KRONOBERGS LÄN</t>
        </is>
      </c>
      <c r="E498" t="inlineStr">
        <is>
          <t>UPPVIDINGE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62545-2018</t>
        </is>
      </c>
      <c r="B499" s="1" t="n">
        <v>43426</v>
      </c>
      <c r="C499" s="1" t="n">
        <v>45184</v>
      </c>
      <c r="D499" t="inlineStr">
        <is>
          <t>KRONOBERGS LÄN</t>
        </is>
      </c>
      <c r="E499" t="inlineStr">
        <is>
          <t>LJUNGBY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63209-2018</t>
        </is>
      </c>
      <c r="B500" s="1" t="n">
        <v>43426</v>
      </c>
      <c r="C500" s="1" t="n">
        <v>45184</v>
      </c>
      <c r="D500" t="inlineStr">
        <is>
          <t>KRONOBERGS LÄN</t>
        </is>
      </c>
      <c r="E500" t="inlineStr">
        <is>
          <t>UPPVIDINGE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62537-2018</t>
        </is>
      </c>
      <c r="B501" s="1" t="n">
        <v>43426</v>
      </c>
      <c r="C501" s="1" t="n">
        <v>45184</v>
      </c>
      <c r="D501" t="inlineStr">
        <is>
          <t>KRONOBERGS LÄN</t>
        </is>
      </c>
      <c r="E501" t="inlineStr">
        <is>
          <t>LJUNGBY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62553-2018</t>
        </is>
      </c>
      <c r="B502" s="1" t="n">
        <v>43426</v>
      </c>
      <c r="C502" s="1" t="n">
        <v>45184</v>
      </c>
      <c r="D502" t="inlineStr">
        <is>
          <t>KRONOBERGS LÄN</t>
        </is>
      </c>
      <c r="E502" t="inlineStr">
        <is>
          <t>VÄXJÖ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62930-2018</t>
        </is>
      </c>
      <c r="B503" s="1" t="n">
        <v>43426</v>
      </c>
      <c r="C503" s="1" t="n">
        <v>45184</v>
      </c>
      <c r="D503" t="inlineStr">
        <is>
          <t>KRONOBERGS LÄN</t>
        </is>
      </c>
      <c r="E503" t="inlineStr">
        <is>
          <t>VÄXJÖ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63213-2018</t>
        </is>
      </c>
      <c r="B504" s="1" t="n">
        <v>43426</v>
      </c>
      <c r="C504" s="1" t="n">
        <v>45184</v>
      </c>
      <c r="D504" t="inlineStr">
        <is>
          <t>KRONOBERGS LÄN</t>
        </is>
      </c>
      <c r="E504" t="inlineStr">
        <is>
          <t>UPPVIDINGE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62547-2018</t>
        </is>
      </c>
      <c r="B505" s="1" t="n">
        <v>43426</v>
      </c>
      <c r="C505" s="1" t="n">
        <v>45184</v>
      </c>
      <c r="D505" t="inlineStr">
        <is>
          <t>KRONOBERGS LÄN</t>
        </is>
      </c>
      <c r="E505" t="inlineStr">
        <is>
          <t>VÄXJÖ</t>
        </is>
      </c>
      <c r="G505" t="n">
        <v>6.8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62626-2018</t>
        </is>
      </c>
      <c r="B506" s="1" t="n">
        <v>43426</v>
      </c>
      <c r="C506" s="1" t="n">
        <v>45184</v>
      </c>
      <c r="D506" t="inlineStr">
        <is>
          <t>KRONOBERGS LÄN</t>
        </is>
      </c>
      <c r="E506" t="inlineStr">
        <is>
          <t>VÄXJÖ</t>
        </is>
      </c>
      <c r="G506" t="n">
        <v>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62928-2018</t>
        </is>
      </c>
      <c r="B507" s="1" t="n">
        <v>43426</v>
      </c>
      <c r="C507" s="1" t="n">
        <v>45184</v>
      </c>
      <c r="D507" t="inlineStr">
        <is>
          <t>KRONOBERGS LÄN</t>
        </is>
      </c>
      <c r="E507" t="inlineStr">
        <is>
          <t>VÄXJÖ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63395-2018</t>
        </is>
      </c>
      <c r="B508" s="1" t="n">
        <v>43427</v>
      </c>
      <c r="C508" s="1" t="n">
        <v>45184</v>
      </c>
      <c r="D508" t="inlineStr">
        <is>
          <t>KRONOBERGS LÄN</t>
        </is>
      </c>
      <c r="E508" t="inlineStr">
        <is>
          <t>TINGSRYD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63412-2018</t>
        </is>
      </c>
      <c r="B509" s="1" t="n">
        <v>43427</v>
      </c>
      <c r="C509" s="1" t="n">
        <v>45184</v>
      </c>
      <c r="D509" t="inlineStr">
        <is>
          <t>KRONOBERGS LÄN</t>
        </is>
      </c>
      <c r="E509" t="inlineStr">
        <is>
          <t>TINGSRYD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66134-2018</t>
        </is>
      </c>
      <c r="B510" s="1" t="n">
        <v>43427</v>
      </c>
      <c r="C510" s="1" t="n">
        <v>45184</v>
      </c>
      <c r="D510" t="inlineStr">
        <is>
          <t>KRONOBERGS LÄN</t>
        </is>
      </c>
      <c r="E510" t="inlineStr">
        <is>
          <t>ALVESTA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63342-2018</t>
        </is>
      </c>
      <c r="B511" s="1" t="n">
        <v>43427</v>
      </c>
      <c r="C511" s="1" t="n">
        <v>45184</v>
      </c>
      <c r="D511" t="inlineStr">
        <is>
          <t>KRONOBERGS LÄN</t>
        </is>
      </c>
      <c r="E511" t="inlineStr">
        <is>
          <t>VÄXJÖ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63340-2018</t>
        </is>
      </c>
      <c r="B512" s="1" t="n">
        <v>43427</v>
      </c>
      <c r="C512" s="1" t="n">
        <v>45184</v>
      </c>
      <c r="D512" t="inlineStr">
        <is>
          <t>KRONOBERGS LÄN</t>
        </is>
      </c>
      <c r="E512" t="inlineStr">
        <is>
          <t>LJUNGBY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63789-2018</t>
        </is>
      </c>
      <c r="B513" s="1" t="n">
        <v>43429</v>
      </c>
      <c r="C513" s="1" t="n">
        <v>45184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63798-2018</t>
        </is>
      </c>
      <c r="B514" s="1" t="n">
        <v>43429</v>
      </c>
      <c r="C514" s="1" t="n">
        <v>45184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63804-2018</t>
        </is>
      </c>
      <c r="B515" s="1" t="n">
        <v>43429</v>
      </c>
      <c r="C515" s="1" t="n">
        <v>45184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63791-2018</t>
        </is>
      </c>
      <c r="B516" s="1" t="n">
        <v>43429</v>
      </c>
      <c r="C516" s="1" t="n">
        <v>45184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63808-2018</t>
        </is>
      </c>
      <c r="B517" s="1" t="n">
        <v>43429</v>
      </c>
      <c r="C517" s="1" t="n">
        <v>45184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63793-2018</t>
        </is>
      </c>
      <c r="B518" s="1" t="n">
        <v>43429</v>
      </c>
      <c r="C518" s="1" t="n">
        <v>45184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63802-2018</t>
        </is>
      </c>
      <c r="B519" s="1" t="n">
        <v>43429</v>
      </c>
      <c r="C519" s="1" t="n">
        <v>45184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63785-2018</t>
        </is>
      </c>
      <c r="B520" s="1" t="n">
        <v>43429</v>
      </c>
      <c r="C520" s="1" t="n">
        <v>45184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63797-2018</t>
        </is>
      </c>
      <c r="B521" s="1" t="n">
        <v>43429</v>
      </c>
      <c r="C521" s="1" t="n">
        <v>45184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63803-2018</t>
        </is>
      </c>
      <c r="B522" s="1" t="n">
        <v>43429</v>
      </c>
      <c r="C522" s="1" t="n">
        <v>45184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63964-2018</t>
        </is>
      </c>
      <c r="B523" s="1" t="n">
        <v>43430</v>
      </c>
      <c r="C523" s="1" t="n">
        <v>45184</v>
      </c>
      <c r="D523" t="inlineStr">
        <is>
          <t>KRONOBERGS LÄN</t>
        </is>
      </c>
      <c r="E523" t="inlineStr">
        <is>
          <t>VÄXJÖ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64076-2018</t>
        </is>
      </c>
      <c r="B524" s="1" t="n">
        <v>43430</v>
      </c>
      <c r="C524" s="1" t="n">
        <v>45184</v>
      </c>
      <c r="D524" t="inlineStr">
        <is>
          <t>KRONOBERGS LÄN</t>
        </is>
      </c>
      <c r="E524" t="inlineStr">
        <is>
          <t>VÄXJÖ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64391-2018</t>
        </is>
      </c>
      <c r="B525" s="1" t="n">
        <v>43430</v>
      </c>
      <c r="C525" s="1" t="n">
        <v>45184</v>
      </c>
      <c r="D525" t="inlineStr">
        <is>
          <t>KRONOBERGS LÄN</t>
        </is>
      </c>
      <c r="E525" t="inlineStr">
        <is>
          <t>ÄLMHULT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64022-2018</t>
        </is>
      </c>
      <c r="B526" s="1" t="n">
        <v>43430</v>
      </c>
      <c r="C526" s="1" t="n">
        <v>45184</v>
      </c>
      <c r="D526" t="inlineStr">
        <is>
          <t>KRONOBERGS LÄN</t>
        </is>
      </c>
      <c r="E526" t="inlineStr">
        <is>
          <t>UPPVIDINGE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64036-2018</t>
        </is>
      </c>
      <c r="B527" s="1" t="n">
        <v>43430</v>
      </c>
      <c r="C527" s="1" t="n">
        <v>45184</v>
      </c>
      <c r="D527" t="inlineStr">
        <is>
          <t>KRONOBERGS LÄN</t>
        </is>
      </c>
      <c r="E527" t="inlineStr">
        <is>
          <t>UPPVIDINGE</t>
        </is>
      </c>
      <c r="G527" t="n">
        <v>12.5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64108-2018</t>
        </is>
      </c>
      <c r="B528" s="1" t="n">
        <v>43430</v>
      </c>
      <c r="C528" s="1" t="n">
        <v>45184</v>
      </c>
      <c r="D528" t="inlineStr">
        <is>
          <t>KRONOBERGS LÄN</t>
        </is>
      </c>
      <c r="E528" t="inlineStr">
        <is>
          <t>LJUNGBY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64122-2018</t>
        </is>
      </c>
      <c r="B529" s="1" t="n">
        <v>43430</v>
      </c>
      <c r="C529" s="1" t="n">
        <v>45184</v>
      </c>
      <c r="D529" t="inlineStr">
        <is>
          <t>KRONOBERGS LÄN</t>
        </is>
      </c>
      <c r="E529" t="inlineStr">
        <is>
          <t>LJUNGBY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64171-2018</t>
        </is>
      </c>
      <c r="B530" s="1" t="n">
        <v>43430</v>
      </c>
      <c r="C530" s="1" t="n">
        <v>45184</v>
      </c>
      <c r="D530" t="inlineStr">
        <is>
          <t>KRONOBERGS LÄN</t>
        </is>
      </c>
      <c r="E530" t="inlineStr">
        <is>
          <t>MARKARYD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64394-2018</t>
        </is>
      </c>
      <c r="B531" s="1" t="n">
        <v>43430</v>
      </c>
      <c r="C531" s="1" t="n">
        <v>45184</v>
      </c>
      <c r="D531" t="inlineStr">
        <is>
          <t>KRONOBERGS LÄN</t>
        </is>
      </c>
      <c r="E531" t="inlineStr">
        <is>
          <t>ÄLMHULT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66469-2018</t>
        </is>
      </c>
      <c r="B532" s="1" t="n">
        <v>43430</v>
      </c>
      <c r="C532" s="1" t="n">
        <v>45184</v>
      </c>
      <c r="D532" t="inlineStr">
        <is>
          <t>KRONOBERGS LÄN</t>
        </is>
      </c>
      <c r="E532" t="inlineStr">
        <is>
          <t>ÄLMHULT</t>
        </is>
      </c>
      <c r="G532" t="n">
        <v>6.1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63844-2018</t>
        </is>
      </c>
      <c r="B533" s="1" t="n">
        <v>43430</v>
      </c>
      <c r="C533" s="1" t="n">
        <v>45184</v>
      </c>
      <c r="D533" t="inlineStr">
        <is>
          <t>KRONOBERGS LÄN</t>
        </is>
      </c>
      <c r="E533" t="inlineStr">
        <is>
          <t>VÄXJÖ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64341-2018</t>
        </is>
      </c>
      <c r="B534" s="1" t="n">
        <v>43430</v>
      </c>
      <c r="C534" s="1" t="n">
        <v>45184</v>
      </c>
      <c r="D534" t="inlineStr">
        <is>
          <t>KRONOBERGS LÄN</t>
        </is>
      </c>
      <c r="E534" t="inlineStr">
        <is>
          <t>MARKARYD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63836-2018</t>
        </is>
      </c>
      <c r="B535" s="1" t="n">
        <v>43430</v>
      </c>
      <c r="C535" s="1" t="n">
        <v>45184</v>
      </c>
      <c r="D535" t="inlineStr">
        <is>
          <t>KRONOBERGS LÄN</t>
        </is>
      </c>
      <c r="E535" t="inlineStr">
        <is>
          <t>UPPVIDINGE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64118-2018</t>
        </is>
      </c>
      <c r="B536" s="1" t="n">
        <v>43430</v>
      </c>
      <c r="C536" s="1" t="n">
        <v>45184</v>
      </c>
      <c r="D536" t="inlineStr">
        <is>
          <t>KRONOBERGS LÄN</t>
        </is>
      </c>
      <c r="E536" t="inlineStr">
        <is>
          <t>LJUNGBY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66881-2018</t>
        </is>
      </c>
      <c r="B537" s="1" t="n">
        <v>43430</v>
      </c>
      <c r="C537" s="1" t="n">
        <v>45184</v>
      </c>
      <c r="D537" t="inlineStr">
        <is>
          <t>KRONOBERGS LÄN</t>
        </is>
      </c>
      <c r="E537" t="inlineStr">
        <is>
          <t>UPPVIDINGE</t>
        </is>
      </c>
      <c r="G537" t="n">
        <v>8.699999999999999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64731-2018</t>
        </is>
      </c>
      <c r="B538" s="1" t="n">
        <v>43431</v>
      </c>
      <c r="C538" s="1" t="n">
        <v>45184</v>
      </c>
      <c r="D538" t="inlineStr">
        <is>
          <t>KRONOBERGS LÄN</t>
        </is>
      </c>
      <c r="E538" t="inlineStr">
        <is>
          <t>TINGSRYD</t>
        </is>
      </c>
      <c r="F538" t="inlineStr">
        <is>
          <t>Kommuner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64746-2018</t>
        </is>
      </c>
      <c r="B539" s="1" t="n">
        <v>43431</v>
      </c>
      <c r="C539" s="1" t="n">
        <v>45184</v>
      </c>
      <c r="D539" t="inlineStr">
        <is>
          <t>KRONOBERGS LÄN</t>
        </is>
      </c>
      <c r="E539" t="inlineStr">
        <is>
          <t>LJUNGBY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64592-2018</t>
        </is>
      </c>
      <c r="B540" s="1" t="n">
        <v>43431</v>
      </c>
      <c r="C540" s="1" t="n">
        <v>45184</v>
      </c>
      <c r="D540" t="inlineStr">
        <is>
          <t>KRONOBERGS LÄN</t>
        </is>
      </c>
      <c r="E540" t="inlineStr">
        <is>
          <t>VÄXJÖ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64631-2018</t>
        </is>
      </c>
      <c r="B541" s="1" t="n">
        <v>43431</v>
      </c>
      <c r="C541" s="1" t="n">
        <v>45184</v>
      </c>
      <c r="D541" t="inlineStr">
        <is>
          <t>KRONOBERGS LÄN</t>
        </is>
      </c>
      <c r="E541" t="inlineStr">
        <is>
          <t>VÄXJÖ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64709-2018</t>
        </is>
      </c>
      <c r="B542" s="1" t="n">
        <v>43431</v>
      </c>
      <c r="C542" s="1" t="n">
        <v>45184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64740-2018</t>
        </is>
      </c>
      <c r="B543" s="1" t="n">
        <v>43431</v>
      </c>
      <c r="C543" s="1" t="n">
        <v>45184</v>
      </c>
      <c r="D543" t="inlineStr">
        <is>
          <t>KRONOBERGS LÄN</t>
        </is>
      </c>
      <c r="E543" t="inlineStr">
        <is>
          <t>LJUNGBY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64775-2018</t>
        </is>
      </c>
      <c r="B544" s="1" t="n">
        <v>43431</v>
      </c>
      <c r="C544" s="1" t="n">
        <v>45184</v>
      </c>
      <c r="D544" t="inlineStr">
        <is>
          <t>KRONOBERGS LÄN</t>
        </is>
      </c>
      <c r="E544" t="inlineStr">
        <is>
          <t>MARKARYD</t>
        </is>
      </c>
      <c r="G544" t="n">
        <v>4.9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64807-2018</t>
        </is>
      </c>
      <c r="B545" s="1" t="n">
        <v>43431</v>
      </c>
      <c r="C545" s="1" t="n">
        <v>45184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67046-2018</t>
        </is>
      </c>
      <c r="B546" s="1" t="n">
        <v>43431</v>
      </c>
      <c r="C546" s="1" t="n">
        <v>45184</v>
      </c>
      <c r="D546" t="inlineStr">
        <is>
          <t>KRONOBERGS LÄN</t>
        </is>
      </c>
      <c r="E546" t="inlineStr">
        <is>
          <t>ALVESTA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67107-2018</t>
        </is>
      </c>
      <c r="B547" s="1" t="n">
        <v>43431</v>
      </c>
      <c r="C547" s="1" t="n">
        <v>45184</v>
      </c>
      <c r="D547" t="inlineStr">
        <is>
          <t>KRONOBERGS LÄN</t>
        </is>
      </c>
      <c r="E547" t="inlineStr">
        <is>
          <t>LJUNGBY</t>
        </is>
      </c>
      <c r="F547" t="inlineStr">
        <is>
          <t>Kyrkan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64745-2018</t>
        </is>
      </c>
      <c r="B548" s="1" t="n">
        <v>43431</v>
      </c>
      <c r="C548" s="1" t="n">
        <v>45184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64707-2018</t>
        </is>
      </c>
      <c r="B549" s="1" t="n">
        <v>43431</v>
      </c>
      <c r="C549" s="1" t="n">
        <v>45184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64714-2018</t>
        </is>
      </c>
      <c r="B550" s="1" t="n">
        <v>43431</v>
      </c>
      <c r="C550" s="1" t="n">
        <v>45184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64749-2018</t>
        </is>
      </c>
      <c r="B551" s="1" t="n">
        <v>43431</v>
      </c>
      <c r="C551" s="1" t="n">
        <v>45184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64772-2018</t>
        </is>
      </c>
      <c r="B552" s="1" t="n">
        <v>43431</v>
      </c>
      <c r="C552" s="1" t="n">
        <v>45184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64781-2018</t>
        </is>
      </c>
      <c r="B553" s="1" t="n">
        <v>43431</v>
      </c>
      <c r="C553" s="1" t="n">
        <v>45184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64911-2018</t>
        </is>
      </c>
      <c r="B554" s="1" t="n">
        <v>43431</v>
      </c>
      <c r="C554" s="1" t="n">
        <v>45184</v>
      </c>
      <c r="D554" t="inlineStr">
        <is>
          <t>KRONOBERGS LÄN</t>
        </is>
      </c>
      <c r="E554" t="inlineStr">
        <is>
          <t>LJUNGBY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65186-2018</t>
        </is>
      </c>
      <c r="B555" s="1" t="n">
        <v>43432</v>
      </c>
      <c r="C555" s="1" t="n">
        <v>45184</v>
      </c>
      <c r="D555" t="inlineStr">
        <is>
          <t>KRONOBERGS LÄN</t>
        </is>
      </c>
      <c r="E555" t="inlineStr">
        <is>
          <t>LJUNGBY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65164-2018</t>
        </is>
      </c>
      <c r="B556" s="1" t="n">
        <v>43432</v>
      </c>
      <c r="C556" s="1" t="n">
        <v>45184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65298-2018</t>
        </is>
      </c>
      <c r="B557" s="1" t="n">
        <v>43432</v>
      </c>
      <c r="C557" s="1" t="n">
        <v>45184</v>
      </c>
      <c r="D557" t="inlineStr">
        <is>
          <t>KRONOBERGS LÄN</t>
        </is>
      </c>
      <c r="E557" t="inlineStr">
        <is>
          <t>ÄLMHULT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65503-2018</t>
        </is>
      </c>
      <c r="B558" s="1" t="n">
        <v>43433</v>
      </c>
      <c r="C558" s="1" t="n">
        <v>45184</v>
      </c>
      <c r="D558" t="inlineStr">
        <is>
          <t>KRONOBERGS LÄN</t>
        </is>
      </c>
      <c r="E558" t="inlineStr">
        <is>
          <t>TINGSRYD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65679-2018</t>
        </is>
      </c>
      <c r="B559" s="1" t="n">
        <v>43433</v>
      </c>
      <c r="C559" s="1" t="n">
        <v>45184</v>
      </c>
      <c r="D559" t="inlineStr">
        <is>
          <t>KRONOBERGS LÄN</t>
        </is>
      </c>
      <c r="E559" t="inlineStr">
        <is>
          <t>LESSEBO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65799-2018</t>
        </is>
      </c>
      <c r="B560" s="1" t="n">
        <v>43433</v>
      </c>
      <c r="C560" s="1" t="n">
        <v>45184</v>
      </c>
      <c r="D560" t="inlineStr">
        <is>
          <t>KRONOBERGS LÄN</t>
        </is>
      </c>
      <c r="E560" t="inlineStr">
        <is>
          <t>UPPVIDINGE</t>
        </is>
      </c>
      <c r="F560" t="inlineStr">
        <is>
          <t>Sveaskog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65200-2018</t>
        </is>
      </c>
      <c r="B561" s="1" t="n">
        <v>43433</v>
      </c>
      <c r="C561" s="1" t="n">
        <v>45184</v>
      </c>
      <c r="D561" t="inlineStr">
        <is>
          <t>KRONOBERGS LÄN</t>
        </is>
      </c>
      <c r="E561" t="inlineStr">
        <is>
          <t>ALVESTA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65470-2018</t>
        </is>
      </c>
      <c r="B562" s="1" t="n">
        <v>43433</v>
      </c>
      <c r="C562" s="1" t="n">
        <v>45184</v>
      </c>
      <c r="D562" t="inlineStr">
        <is>
          <t>KRONOBERGS LÄN</t>
        </is>
      </c>
      <c r="E562" t="inlineStr">
        <is>
          <t>TINGSRYD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65564-2018</t>
        </is>
      </c>
      <c r="B563" s="1" t="n">
        <v>43433</v>
      </c>
      <c r="C563" s="1" t="n">
        <v>45184</v>
      </c>
      <c r="D563" t="inlineStr">
        <is>
          <t>KRONOBERGS LÄN</t>
        </is>
      </c>
      <c r="E563" t="inlineStr">
        <is>
          <t>VÄXJÖ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65802-2018</t>
        </is>
      </c>
      <c r="B564" s="1" t="n">
        <v>43433</v>
      </c>
      <c r="C564" s="1" t="n">
        <v>45184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65376-2018</t>
        </is>
      </c>
      <c r="B565" s="1" t="n">
        <v>43433</v>
      </c>
      <c r="C565" s="1" t="n">
        <v>45184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65439-2018</t>
        </is>
      </c>
      <c r="B566" s="1" t="n">
        <v>43433</v>
      </c>
      <c r="C566" s="1" t="n">
        <v>45184</v>
      </c>
      <c r="D566" t="inlineStr">
        <is>
          <t>KRONOBERGS LÄN</t>
        </is>
      </c>
      <c r="E566" t="inlineStr">
        <is>
          <t>LJUNGBY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65711-2018</t>
        </is>
      </c>
      <c r="B567" s="1" t="n">
        <v>43433</v>
      </c>
      <c r="C567" s="1" t="n">
        <v>45184</v>
      </c>
      <c r="D567" t="inlineStr">
        <is>
          <t>KRONOBERGS LÄN</t>
        </is>
      </c>
      <c r="E567" t="inlineStr">
        <is>
          <t>VÄXJÖ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65798-2018</t>
        </is>
      </c>
      <c r="B568" s="1" t="n">
        <v>43433</v>
      </c>
      <c r="C568" s="1" t="n">
        <v>45184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65804-2018</t>
        </is>
      </c>
      <c r="B569" s="1" t="n">
        <v>43433</v>
      </c>
      <c r="C569" s="1" t="n">
        <v>45184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65597-2018</t>
        </is>
      </c>
      <c r="B570" s="1" t="n">
        <v>43433</v>
      </c>
      <c r="C570" s="1" t="n">
        <v>45184</v>
      </c>
      <c r="D570" t="inlineStr">
        <is>
          <t>KRONOBERGS LÄN</t>
        </is>
      </c>
      <c r="E570" t="inlineStr">
        <is>
          <t>VÄXJÖ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65680-2018</t>
        </is>
      </c>
      <c r="B571" s="1" t="n">
        <v>43433</v>
      </c>
      <c r="C571" s="1" t="n">
        <v>45184</v>
      </c>
      <c r="D571" t="inlineStr">
        <is>
          <t>KRONOBERGS LÄN</t>
        </is>
      </c>
      <c r="E571" t="inlineStr">
        <is>
          <t>UPPVIDINGE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65694-2018</t>
        </is>
      </c>
      <c r="B572" s="1" t="n">
        <v>43433</v>
      </c>
      <c r="C572" s="1" t="n">
        <v>45184</v>
      </c>
      <c r="D572" t="inlineStr">
        <is>
          <t>KRONOBERGS LÄN</t>
        </is>
      </c>
      <c r="E572" t="inlineStr">
        <is>
          <t>LESSEBO</t>
        </is>
      </c>
      <c r="G572" t="n">
        <v>0.1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65800-2018</t>
        </is>
      </c>
      <c r="B573" s="1" t="n">
        <v>43433</v>
      </c>
      <c r="C573" s="1" t="n">
        <v>45184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65924-2018</t>
        </is>
      </c>
      <c r="B574" s="1" t="n">
        <v>43434</v>
      </c>
      <c r="C574" s="1" t="n">
        <v>45184</v>
      </c>
      <c r="D574" t="inlineStr">
        <is>
          <t>KRONOBERGS LÄN</t>
        </is>
      </c>
      <c r="E574" t="inlineStr">
        <is>
          <t>TINGSRYD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65954-2018</t>
        </is>
      </c>
      <c r="B575" s="1" t="n">
        <v>43434</v>
      </c>
      <c r="C575" s="1" t="n">
        <v>45184</v>
      </c>
      <c r="D575" t="inlineStr">
        <is>
          <t>KRONOBERGS LÄN</t>
        </is>
      </c>
      <c r="E575" t="inlineStr">
        <is>
          <t>VÄXJÖ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66074-2018</t>
        </is>
      </c>
      <c r="B576" s="1" t="n">
        <v>43434</v>
      </c>
      <c r="C576" s="1" t="n">
        <v>45184</v>
      </c>
      <c r="D576" t="inlineStr">
        <is>
          <t>KRONOBERGS LÄN</t>
        </is>
      </c>
      <c r="E576" t="inlineStr">
        <is>
          <t>TINGSRYD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66208-2018</t>
        </is>
      </c>
      <c r="B577" s="1" t="n">
        <v>43434</v>
      </c>
      <c r="C577" s="1" t="n">
        <v>45184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68110-2018</t>
        </is>
      </c>
      <c r="B578" s="1" t="n">
        <v>43434</v>
      </c>
      <c r="C578" s="1" t="n">
        <v>45184</v>
      </c>
      <c r="D578" t="inlineStr">
        <is>
          <t>KRONOBERGS LÄN</t>
        </is>
      </c>
      <c r="E578" t="inlineStr">
        <is>
          <t>ALVESTA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66030-2018</t>
        </is>
      </c>
      <c r="B579" s="1" t="n">
        <v>43434</v>
      </c>
      <c r="C579" s="1" t="n">
        <v>45184</v>
      </c>
      <c r="D579" t="inlineStr">
        <is>
          <t>KRONOBERGS LÄN</t>
        </is>
      </c>
      <c r="E579" t="inlineStr">
        <is>
          <t>TINGSRYD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66297-2018</t>
        </is>
      </c>
      <c r="B580" s="1" t="n">
        <v>43434</v>
      </c>
      <c r="C580" s="1" t="n">
        <v>45184</v>
      </c>
      <c r="D580" t="inlineStr">
        <is>
          <t>KRONOBERGS LÄN</t>
        </is>
      </c>
      <c r="E580" t="inlineStr">
        <is>
          <t>TINGSRYD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66210-2018</t>
        </is>
      </c>
      <c r="B581" s="1" t="n">
        <v>43434</v>
      </c>
      <c r="C581" s="1" t="n">
        <v>45184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66073-2018</t>
        </is>
      </c>
      <c r="B582" s="1" t="n">
        <v>43434</v>
      </c>
      <c r="C582" s="1" t="n">
        <v>45184</v>
      </c>
      <c r="D582" t="inlineStr">
        <is>
          <t>KRONOBERGS LÄN</t>
        </is>
      </c>
      <c r="E582" t="inlineStr">
        <is>
          <t>VÄXJÖ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66141-2018</t>
        </is>
      </c>
      <c r="B583" s="1" t="n">
        <v>43434</v>
      </c>
      <c r="C583" s="1" t="n">
        <v>45184</v>
      </c>
      <c r="D583" t="inlineStr">
        <is>
          <t>KRONOBERGS LÄN</t>
        </is>
      </c>
      <c r="E583" t="inlineStr">
        <is>
          <t>VÄXJÖ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66204-2018</t>
        </is>
      </c>
      <c r="B584" s="1" t="n">
        <v>43434</v>
      </c>
      <c r="C584" s="1" t="n">
        <v>45184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66212-2018</t>
        </is>
      </c>
      <c r="B585" s="1" t="n">
        <v>43434</v>
      </c>
      <c r="C585" s="1" t="n">
        <v>45184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66661-2018</t>
        </is>
      </c>
      <c r="B586" s="1" t="n">
        <v>43437</v>
      </c>
      <c r="C586" s="1" t="n">
        <v>45184</v>
      </c>
      <c r="D586" t="inlineStr">
        <is>
          <t>KRONOBERGS LÄN</t>
        </is>
      </c>
      <c r="E586" t="inlineStr">
        <is>
          <t>LESSEBO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66488-2018</t>
        </is>
      </c>
      <c r="B587" s="1" t="n">
        <v>43437</v>
      </c>
      <c r="C587" s="1" t="n">
        <v>45184</v>
      </c>
      <c r="D587" t="inlineStr">
        <is>
          <t>KRONOBERGS LÄN</t>
        </is>
      </c>
      <c r="E587" t="inlineStr">
        <is>
          <t>LJUNGBY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66484-2018</t>
        </is>
      </c>
      <c r="B588" s="1" t="n">
        <v>43437</v>
      </c>
      <c r="C588" s="1" t="n">
        <v>45184</v>
      </c>
      <c r="D588" t="inlineStr">
        <is>
          <t>KRONOBERGS LÄN</t>
        </is>
      </c>
      <c r="E588" t="inlineStr">
        <is>
          <t>LJUNGBY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66629-2018</t>
        </is>
      </c>
      <c r="B589" s="1" t="n">
        <v>43437</v>
      </c>
      <c r="C589" s="1" t="n">
        <v>45184</v>
      </c>
      <c r="D589" t="inlineStr">
        <is>
          <t>KRONOBERGS LÄN</t>
        </is>
      </c>
      <c r="E589" t="inlineStr">
        <is>
          <t>MARKARYD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66768-2018</t>
        </is>
      </c>
      <c r="B590" s="1" t="n">
        <v>43437</v>
      </c>
      <c r="C590" s="1" t="n">
        <v>45184</v>
      </c>
      <c r="D590" t="inlineStr">
        <is>
          <t>KRONOBERGS LÄN</t>
        </is>
      </c>
      <c r="E590" t="inlineStr">
        <is>
          <t>UPPVIDINGE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66487-2018</t>
        </is>
      </c>
      <c r="B591" s="1" t="n">
        <v>43437</v>
      </c>
      <c r="C591" s="1" t="n">
        <v>45184</v>
      </c>
      <c r="D591" t="inlineStr">
        <is>
          <t>KRONOBERGS LÄN</t>
        </is>
      </c>
      <c r="E591" t="inlineStr">
        <is>
          <t>LJUNGBY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66836-2018</t>
        </is>
      </c>
      <c r="B592" s="1" t="n">
        <v>43438</v>
      </c>
      <c r="C592" s="1" t="n">
        <v>45184</v>
      </c>
      <c r="D592" t="inlineStr">
        <is>
          <t>KRONOBERGS LÄN</t>
        </is>
      </c>
      <c r="E592" t="inlineStr">
        <is>
          <t>LJUNGBY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68450-2018</t>
        </is>
      </c>
      <c r="B593" s="1" t="n">
        <v>43438</v>
      </c>
      <c r="C593" s="1" t="n">
        <v>45184</v>
      </c>
      <c r="D593" t="inlineStr">
        <is>
          <t>KRONOBERGS LÄN</t>
        </is>
      </c>
      <c r="E593" t="inlineStr">
        <is>
          <t>MARKARYD</t>
        </is>
      </c>
      <c r="G593" t="n">
        <v>8.699999999999999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66757-2018</t>
        </is>
      </c>
      <c r="B594" s="1" t="n">
        <v>43438</v>
      </c>
      <c r="C594" s="1" t="n">
        <v>45184</v>
      </c>
      <c r="D594" t="inlineStr">
        <is>
          <t>KRONOBERGS LÄN</t>
        </is>
      </c>
      <c r="E594" t="inlineStr">
        <is>
          <t>LJUNGBY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66974-2018</t>
        </is>
      </c>
      <c r="B595" s="1" t="n">
        <v>43438</v>
      </c>
      <c r="C595" s="1" t="n">
        <v>45184</v>
      </c>
      <c r="D595" t="inlineStr">
        <is>
          <t>KRONOBERGS LÄN</t>
        </is>
      </c>
      <c r="E595" t="inlineStr">
        <is>
          <t>MARKARYD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66992-2018</t>
        </is>
      </c>
      <c r="B596" s="1" t="n">
        <v>43438</v>
      </c>
      <c r="C596" s="1" t="n">
        <v>45184</v>
      </c>
      <c r="D596" t="inlineStr">
        <is>
          <t>KRONOBERGS LÄN</t>
        </is>
      </c>
      <c r="E596" t="inlineStr">
        <is>
          <t>TINGSRYD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67018-2018</t>
        </is>
      </c>
      <c r="B597" s="1" t="n">
        <v>43438</v>
      </c>
      <c r="C597" s="1" t="n">
        <v>45184</v>
      </c>
      <c r="D597" t="inlineStr">
        <is>
          <t>KRONOBERGS LÄN</t>
        </is>
      </c>
      <c r="E597" t="inlineStr">
        <is>
          <t>LJUNGBY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68404-2018</t>
        </is>
      </c>
      <c r="B598" s="1" t="n">
        <v>43438</v>
      </c>
      <c r="C598" s="1" t="n">
        <v>45184</v>
      </c>
      <c r="D598" t="inlineStr">
        <is>
          <t>KRONOBERGS LÄN</t>
        </is>
      </c>
      <c r="E598" t="inlineStr">
        <is>
          <t>TINGSRYD</t>
        </is>
      </c>
      <c r="G598" t="n">
        <v>9.6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68447-2018</t>
        </is>
      </c>
      <c r="B599" s="1" t="n">
        <v>43438</v>
      </c>
      <c r="C599" s="1" t="n">
        <v>45184</v>
      </c>
      <c r="D599" t="inlineStr">
        <is>
          <t>KRONOBERGS LÄN</t>
        </is>
      </c>
      <c r="E599" t="inlineStr">
        <is>
          <t>MARKARYD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66988-2018</t>
        </is>
      </c>
      <c r="B600" s="1" t="n">
        <v>43438</v>
      </c>
      <c r="C600" s="1" t="n">
        <v>45184</v>
      </c>
      <c r="D600" t="inlineStr">
        <is>
          <t>KRONOBERGS LÄN</t>
        </is>
      </c>
      <c r="E600" t="inlineStr">
        <is>
          <t>TINGSRYD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67013-2018</t>
        </is>
      </c>
      <c r="B601" s="1" t="n">
        <v>43438</v>
      </c>
      <c r="C601" s="1" t="n">
        <v>45184</v>
      </c>
      <c r="D601" t="inlineStr">
        <is>
          <t>KRONOBERGS LÄN</t>
        </is>
      </c>
      <c r="E601" t="inlineStr">
        <is>
          <t>LESSEBO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68402-2018</t>
        </is>
      </c>
      <c r="B602" s="1" t="n">
        <v>43438</v>
      </c>
      <c r="C602" s="1" t="n">
        <v>45184</v>
      </c>
      <c r="D602" t="inlineStr">
        <is>
          <t>KRONOBERGS LÄN</t>
        </is>
      </c>
      <c r="E602" t="inlineStr">
        <is>
          <t>TINGSRYD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67078-2018</t>
        </is>
      </c>
      <c r="B603" s="1" t="n">
        <v>43438</v>
      </c>
      <c r="C603" s="1" t="n">
        <v>45184</v>
      </c>
      <c r="D603" t="inlineStr">
        <is>
          <t>KRONOBERGS LÄN</t>
        </is>
      </c>
      <c r="E603" t="inlineStr">
        <is>
          <t>LJUNGBY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68415-2018</t>
        </is>
      </c>
      <c r="B604" s="1" t="n">
        <v>43438</v>
      </c>
      <c r="C604" s="1" t="n">
        <v>45184</v>
      </c>
      <c r="D604" t="inlineStr">
        <is>
          <t>KRONOBERGS LÄN</t>
        </is>
      </c>
      <c r="E604" t="inlineStr">
        <is>
          <t>TINGSRYD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67323-2018</t>
        </is>
      </c>
      <c r="B605" s="1" t="n">
        <v>43439</v>
      </c>
      <c r="C605" s="1" t="n">
        <v>45184</v>
      </c>
      <c r="D605" t="inlineStr">
        <is>
          <t>KRONOBERGS LÄN</t>
        </is>
      </c>
      <c r="E605" t="inlineStr">
        <is>
          <t>ALVESTA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67414-2018</t>
        </is>
      </c>
      <c r="B606" s="1" t="n">
        <v>43439</v>
      </c>
      <c r="C606" s="1" t="n">
        <v>45184</v>
      </c>
      <c r="D606" t="inlineStr">
        <is>
          <t>KRONOBERGS LÄN</t>
        </is>
      </c>
      <c r="E606" t="inlineStr">
        <is>
          <t>LESSEBO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67364-2018</t>
        </is>
      </c>
      <c r="B607" s="1" t="n">
        <v>43439</v>
      </c>
      <c r="C607" s="1" t="n">
        <v>45184</v>
      </c>
      <c r="D607" t="inlineStr">
        <is>
          <t>KRONOBERGS LÄN</t>
        </is>
      </c>
      <c r="E607" t="inlineStr">
        <is>
          <t>LESSEBO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67409-2018</t>
        </is>
      </c>
      <c r="B608" s="1" t="n">
        <v>43439</v>
      </c>
      <c r="C608" s="1" t="n">
        <v>45184</v>
      </c>
      <c r="D608" t="inlineStr">
        <is>
          <t>KRONOBERGS LÄN</t>
        </is>
      </c>
      <c r="E608" t="inlineStr">
        <is>
          <t>LESSEBO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67360-2018</t>
        </is>
      </c>
      <c r="B609" s="1" t="n">
        <v>43439</v>
      </c>
      <c r="C609" s="1" t="n">
        <v>45184</v>
      </c>
      <c r="D609" t="inlineStr">
        <is>
          <t>KRONOBERGS LÄN</t>
        </is>
      </c>
      <c r="E609" t="inlineStr">
        <is>
          <t>MARKARYD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67402-2018</t>
        </is>
      </c>
      <c r="B610" s="1" t="n">
        <v>43439</v>
      </c>
      <c r="C610" s="1" t="n">
        <v>45184</v>
      </c>
      <c r="D610" t="inlineStr">
        <is>
          <t>KRONOBERGS LÄN</t>
        </is>
      </c>
      <c r="E610" t="inlineStr">
        <is>
          <t>LESSEBO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67424-2018</t>
        </is>
      </c>
      <c r="B611" s="1" t="n">
        <v>43439</v>
      </c>
      <c r="C611" s="1" t="n">
        <v>45184</v>
      </c>
      <c r="D611" t="inlineStr">
        <is>
          <t>KRONOBERGS LÄN</t>
        </is>
      </c>
      <c r="E611" t="inlineStr">
        <is>
          <t>LJUNGBY</t>
        </is>
      </c>
      <c r="G611" t="n">
        <v>8.800000000000001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67883-2018</t>
        </is>
      </c>
      <c r="B612" s="1" t="n">
        <v>43440</v>
      </c>
      <c r="C612" s="1" t="n">
        <v>45184</v>
      </c>
      <c r="D612" t="inlineStr">
        <is>
          <t>KRONOBERGS LÄN</t>
        </is>
      </c>
      <c r="E612" t="inlineStr">
        <is>
          <t>TINGSRYD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68962-2018</t>
        </is>
      </c>
      <c r="B613" s="1" t="n">
        <v>43440</v>
      </c>
      <c r="C613" s="1" t="n">
        <v>45184</v>
      </c>
      <c r="D613" t="inlineStr">
        <is>
          <t>KRONOBERGS LÄN</t>
        </is>
      </c>
      <c r="E613" t="inlineStr">
        <is>
          <t>ALVESTA</t>
        </is>
      </c>
      <c r="G613" t="n">
        <v>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68982-2018</t>
        </is>
      </c>
      <c r="B614" s="1" t="n">
        <v>43440</v>
      </c>
      <c r="C614" s="1" t="n">
        <v>45184</v>
      </c>
      <c r="D614" t="inlineStr">
        <is>
          <t>KRONOBERGS LÄN</t>
        </is>
      </c>
      <c r="E614" t="inlineStr">
        <is>
          <t>ALVESTA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67702-2018</t>
        </is>
      </c>
      <c r="B615" s="1" t="n">
        <v>43440</v>
      </c>
      <c r="C615" s="1" t="n">
        <v>45184</v>
      </c>
      <c r="D615" t="inlineStr">
        <is>
          <t>KRONOBERGS LÄN</t>
        </is>
      </c>
      <c r="E615" t="inlineStr">
        <is>
          <t>VÄXJÖ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67749-2018</t>
        </is>
      </c>
      <c r="B616" s="1" t="n">
        <v>43440</v>
      </c>
      <c r="C616" s="1" t="n">
        <v>45184</v>
      </c>
      <c r="D616" t="inlineStr">
        <is>
          <t>KRONOBERGS LÄN</t>
        </is>
      </c>
      <c r="E616" t="inlineStr">
        <is>
          <t>TINGSRYD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68960-2018</t>
        </is>
      </c>
      <c r="B617" s="1" t="n">
        <v>43440</v>
      </c>
      <c r="C617" s="1" t="n">
        <v>45184</v>
      </c>
      <c r="D617" t="inlineStr">
        <is>
          <t>KRONOBERGS LÄN</t>
        </is>
      </c>
      <c r="E617" t="inlineStr">
        <is>
          <t>ALVESTA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68233-2018</t>
        </is>
      </c>
      <c r="B618" s="1" t="n">
        <v>43441</v>
      </c>
      <c r="C618" s="1" t="n">
        <v>45184</v>
      </c>
      <c r="D618" t="inlineStr">
        <is>
          <t>KRONOBERGS LÄN</t>
        </is>
      </c>
      <c r="E618" t="inlineStr">
        <is>
          <t>LESSEBO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68343-2018</t>
        </is>
      </c>
      <c r="B619" s="1" t="n">
        <v>43441</v>
      </c>
      <c r="C619" s="1" t="n">
        <v>45184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68351-2018</t>
        </is>
      </c>
      <c r="B620" s="1" t="n">
        <v>43441</v>
      </c>
      <c r="C620" s="1" t="n">
        <v>45184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68226-2018</t>
        </is>
      </c>
      <c r="B621" s="1" t="n">
        <v>43441</v>
      </c>
      <c r="C621" s="1" t="n">
        <v>45184</v>
      </c>
      <c r="D621" t="inlineStr">
        <is>
          <t>KRONOBERGS LÄN</t>
        </is>
      </c>
      <c r="E621" t="inlineStr">
        <is>
          <t>LESSEBO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68340-2018</t>
        </is>
      </c>
      <c r="B622" s="1" t="n">
        <v>43441</v>
      </c>
      <c r="C622" s="1" t="n">
        <v>45184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8.199999999999999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68344-2018</t>
        </is>
      </c>
      <c r="B623" s="1" t="n">
        <v>43441</v>
      </c>
      <c r="C623" s="1" t="n">
        <v>45184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68135-2018</t>
        </is>
      </c>
      <c r="B624" s="1" t="n">
        <v>43441</v>
      </c>
      <c r="C624" s="1" t="n">
        <v>45184</v>
      </c>
      <c r="D624" t="inlineStr">
        <is>
          <t>KRONOBERGS LÄN</t>
        </is>
      </c>
      <c r="E624" t="inlineStr">
        <is>
          <t>VÄXJÖ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68302-2018</t>
        </is>
      </c>
      <c r="B625" s="1" t="n">
        <v>43441</v>
      </c>
      <c r="C625" s="1" t="n">
        <v>45184</v>
      </c>
      <c r="D625" t="inlineStr">
        <is>
          <t>KRONOBERGS LÄN</t>
        </is>
      </c>
      <c r="E625" t="inlineStr">
        <is>
          <t>ALVESTA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68341-2018</t>
        </is>
      </c>
      <c r="B626" s="1" t="n">
        <v>43441</v>
      </c>
      <c r="C626" s="1" t="n">
        <v>45184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68348-2018</t>
        </is>
      </c>
      <c r="B627" s="1" t="n">
        <v>43441</v>
      </c>
      <c r="C627" s="1" t="n">
        <v>45184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68221-2018</t>
        </is>
      </c>
      <c r="B628" s="1" t="n">
        <v>43441</v>
      </c>
      <c r="C628" s="1" t="n">
        <v>45184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68254-2018</t>
        </is>
      </c>
      <c r="B629" s="1" t="n">
        <v>43441</v>
      </c>
      <c r="C629" s="1" t="n">
        <v>45184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68292-2018</t>
        </is>
      </c>
      <c r="B630" s="1" t="n">
        <v>43441</v>
      </c>
      <c r="C630" s="1" t="n">
        <v>45184</v>
      </c>
      <c r="D630" t="inlineStr">
        <is>
          <t>KRONOBERGS LÄN</t>
        </is>
      </c>
      <c r="E630" t="inlineStr">
        <is>
          <t>TINGSRYD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68304-2018</t>
        </is>
      </c>
      <c r="B631" s="1" t="n">
        <v>43441</v>
      </c>
      <c r="C631" s="1" t="n">
        <v>45184</v>
      </c>
      <c r="D631" t="inlineStr">
        <is>
          <t>KRONOBERGS LÄN</t>
        </is>
      </c>
      <c r="E631" t="inlineStr">
        <is>
          <t>ALVESTA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68342-2018</t>
        </is>
      </c>
      <c r="B632" s="1" t="n">
        <v>43441</v>
      </c>
      <c r="C632" s="1" t="n">
        <v>45184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68350-2018</t>
        </is>
      </c>
      <c r="B633" s="1" t="n">
        <v>43441</v>
      </c>
      <c r="C633" s="1" t="n">
        <v>45184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0.2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68500-2018</t>
        </is>
      </c>
      <c r="B634" s="1" t="n">
        <v>43443</v>
      </c>
      <c r="C634" s="1" t="n">
        <v>45184</v>
      </c>
      <c r="D634" t="inlineStr">
        <is>
          <t>KRONOBERGS LÄN</t>
        </is>
      </c>
      <c r="E634" t="inlineStr">
        <is>
          <t>UPPVIDINGE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68602-2018</t>
        </is>
      </c>
      <c r="B635" s="1" t="n">
        <v>43444</v>
      </c>
      <c r="C635" s="1" t="n">
        <v>45184</v>
      </c>
      <c r="D635" t="inlineStr">
        <is>
          <t>KRONOBERGS LÄN</t>
        </is>
      </c>
      <c r="E635" t="inlineStr">
        <is>
          <t>VÄXJÖ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68617-2018</t>
        </is>
      </c>
      <c r="B636" s="1" t="n">
        <v>43444</v>
      </c>
      <c r="C636" s="1" t="n">
        <v>45184</v>
      </c>
      <c r="D636" t="inlineStr">
        <is>
          <t>KRONOBERGS LÄN</t>
        </is>
      </c>
      <c r="E636" t="inlineStr">
        <is>
          <t>VÄXJÖ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68813-2018</t>
        </is>
      </c>
      <c r="B637" s="1" t="n">
        <v>43444</v>
      </c>
      <c r="C637" s="1" t="n">
        <v>45184</v>
      </c>
      <c r="D637" t="inlineStr">
        <is>
          <t>KRONOBERGS LÄN</t>
        </is>
      </c>
      <c r="E637" t="inlineStr">
        <is>
          <t>TINGSRYD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68610-2018</t>
        </is>
      </c>
      <c r="B638" s="1" t="n">
        <v>43444</v>
      </c>
      <c r="C638" s="1" t="n">
        <v>45184</v>
      </c>
      <c r="D638" t="inlineStr">
        <is>
          <t>KRONOBERGS LÄN</t>
        </is>
      </c>
      <c r="E638" t="inlineStr">
        <is>
          <t>LJUNGBY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69909-2018</t>
        </is>
      </c>
      <c r="B639" s="1" t="n">
        <v>43444</v>
      </c>
      <c r="C639" s="1" t="n">
        <v>45184</v>
      </c>
      <c r="D639" t="inlineStr">
        <is>
          <t>KRONOBERGS LÄN</t>
        </is>
      </c>
      <c r="E639" t="inlineStr">
        <is>
          <t>ALVESTA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68708-2018</t>
        </is>
      </c>
      <c r="B640" s="1" t="n">
        <v>43444</v>
      </c>
      <c r="C640" s="1" t="n">
        <v>45184</v>
      </c>
      <c r="D640" t="inlineStr">
        <is>
          <t>KRONOBERGS LÄN</t>
        </is>
      </c>
      <c r="E640" t="inlineStr">
        <is>
          <t>VÄXJÖ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69746-2018</t>
        </is>
      </c>
      <c r="B641" s="1" t="n">
        <v>43444</v>
      </c>
      <c r="C641" s="1" t="n">
        <v>45184</v>
      </c>
      <c r="D641" t="inlineStr">
        <is>
          <t>KRONOBERGS LÄN</t>
        </is>
      </c>
      <c r="E641" t="inlineStr">
        <is>
          <t>VÄXJÖ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68875-2018</t>
        </is>
      </c>
      <c r="B642" s="1" t="n">
        <v>43445</v>
      </c>
      <c r="C642" s="1" t="n">
        <v>45184</v>
      </c>
      <c r="D642" t="inlineStr">
        <is>
          <t>KRONOBERGS LÄN</t>
        </is>
      </c>
      <c r="E642" t="inlineStr">
        <is>
          <t>MARKARYD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70293-2018</t>
        </is>
      </c>
      <c r="B643" s="1" t="n">
        <v>43445</v>
      </c>
      <c r="C643" s="1" t="n">
        <v>45184</v>
      </c>
      <c r="D643" t="inlineStr">
        <is>
          <t>KRONOBERGS LÄN</t>
        </is>
      </c>
      <c r="E643" t="inlineStr">
        <is>
          <t>UPPVIDINGE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  <c r="U643">
        <f>HYPERLINK("https://klasma.github.io/Logging_UPPVIDINGE/knärot/A 70293-2018.png")</f>
        <v/>
      </c>
      <c r="V643">
        <f>HYPERLINK("https://klasma.github.io/Logging_UPPVIDINGE/klagomål/A 70293-2018.docx")</f>
        <v/>
      </c>
      <c r="W643">
        <f>HYPERLINK("https://klasma.github.io/Logging_UPPVIDINGE/klagomålsmail/A 70293-2018.docx")</f>
        <v/>
      </c>
      <c r="X643">
        <f>HYPERLINK("https://klasma.github.io/Logging_UPPVIDINGE/tillsyn/A 70293-2018.docx")</f>
        <v/>
      </c>
      <c r="Y643">
        <f>HYPERLINK("https://klasma.github.io/Logging_UPPVIDINGE/tillsynsmail/A 70293-2018.docx")</f>
        <v/>
      </c>
    </row>
    <row r="644" ht="15" customHeight="1">
      <c r="A644" t="inlineStr">
        <is>
          <t>A 68876-2018</t>
        </is>
      </c>
      <c r="B644" s="1" t="n">
        <v>43445</v>
      </c>
      <c r="C644" s="1" t="n">
        <v>45184</v>
      </c>
      <c r="D644" t="inlineStr">
        <is>
          <t>KRONOBERGS LÄN</t>
        </is>
      </c>
      <c r="E644" t="inlineStr">
        <is>
          <t>MARKARYD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70294-2018</t>
        </is>
      </c>
      <c r="B645" s="1" t="n">
        <v>43445</v>
      </c>
      <c r="C645" s="1" t="n">
        <v>45184</v>
      </c>
      <c r="D645" t="inlineStr">
        <is>
          <t>KRONOBERGS LÄN</t>
        </is>
      </c>
      <c r="E645" t="inlineStr">
        <is>
          <t>UPPVIDINGE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70137-2018</t>
        </is>
      </c>
      <c r="B646" s="1" t="n">
        <v>43445</v>
      </c>
      <c r="C646" s="1" t="n">
        <v>45184</v>
      </c>
      <c r="D646" t="inlineStr">
        <is>
          <t>KRONOBERGS LÄN</t>
        </is>
      </c>
      <c r="E646" t="inlineStr">
        <is>
          <t>LJUNGBY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69216-2018</t>
        </is>
      </c>
      <c r="B647" s="1" t="n">
        <v>43445</v>
      </c>
      <c r="C647" s="1" t="n">
        <v>45184</v>
      </c>
      <c r="D647" t="inlineStr">
        <is>
          <t>KRONOBERGS LÄN</t>
        </is>
      </c>
      <c r="E647" t="inlineStr">
        <is>
          <t>TINGSRYD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69244-2018</t>
        </is>
      </c>
      <c r="B648" s="1" t="n">
        <v>43446</v>
      </c>
      <c r="C648" s="1" t="n">
        <v>45184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69391-2018</t>
        </is>
      </c>
      <c r="B649" s="1" t="n">
        <v>43446</v>
      </c>
      <c r="C649" s="1" t="n">
        <v>45184</v>
      </c>
      <c r="D649" t="inlineStr">
        <is>
          <t>KRONOBERGS LÄN</t>
        </is>
      </c>
      <c r="E649" t="inlineStr">
        <is>
          <t>LJUNGBY</t>
        </is>
      </c>
      <c r="F649" t="inlineStr">
        <is>
          <t>Kyrkan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69560-2018</t>
        </is>
      </c>
      <c r="B650" s="1" t="n">
        <v>43446</v>
      </c>
      <c r="C650" s="1" t="n">
        <v>45184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69579-2018</t>
        </is>
      </c>
      <c r="B651" s="1" t="n">
        <v>43446</v>
      </c>
      <c r="C651" s="1" t="n">
        <v>45184</v>
      </c>
      <c r="D651" t="inlineStr">
        <is>
          <t>KRONOBERGS LÄN</t>
        </is>
      </c>
      <c r="E651" t="inlineStr">
        <is>
          <t>TINGSRYD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69356-2018</t>
        </is>
      </c>
      <c r="B652" s="1" t="n">
        <v>43446</v>
      </c>
      <c r="C652" s="1" t="n">
        <v>45184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69379-2018</t>
        </is>
      </c>
      <c r="B653" s="1" t="n">
        <v>43446</v>
      </c>
      <c r="C653" s="1" t="n">
        <v>45184</v>
      </c>
      <c r="D653" t="inlineStr">
        <is>
          <t>KRONOBERGS LÄN</t>
        </is>
      </c>
      <c r="E653" t="inlineStr">
        <is>
          <t>ÄLMHULT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69562-2018</t>
        </is>
      </c>
      <c r="B654" s="1" t="n">
        <v>43446</v>
      </c>
      <c r="C654" s="1" t="n">
        <v>45184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69261-2018</t>
        </is>
      </c>
      <c r="B655" s="1" t="n">
        <v>43446</v>
      </c>
      <c r="C655" s="1" t="n">
        <v>45184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11.5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69361-2018</t>
        </is>
      </c>
      <c r="B656" s="1" t="n">
        <v>43446</v>
      </c>
      <c r="C656" s="1" t="n">
        <v>45184</v>
      </c>
      <c r="D656" t="inlineStr">
        <is>
          <t>KRONOBERGS LÄN</t>
        </is>
      </c>
      <c r="E656" t="inlineStr">
        <is>
          <t>LJUNGBY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69373-2018</t>
        </is>
      </c>
      <c r="B657" s="1" t="n">
        <v>43446</v>
      </c>
      <c r="C657" s="1" t="n">
        <v>45184</v>
      </c>
      <c r="D657" t="inlineStr">
        <is>
          <t>KRONOBERGS LÄN</t>
        </is>
      </c>
      <c r="E657" t="inlineStr">
        <is>
          <t>LJUNGBY</t>
        </is>
      </c>
      <c r="F657" t="inlineStr">
        <is>
          <t>Kyrkan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69564-2018</t>
        </is>
      </c>
      <c r="B658" s="1" t="n">
        <v>43446</v>
      </c>
      <c r="C658" s="1" t="n">
        <v>45184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69258-2018</t>
        </is>
      </c>
      <c r="B659" s="1" t="n">
        <v>43446</v>
      </c>
      <c r="C659" s="1" t="n">
        <v>45184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69269-2018</t>
        </is>
      </c>
      <c r="B660" s="1" t="n">
        <v>43446</v>
      </c>
      <c r="C660" s="1" t="n">
        <v>45184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69309-2018</t>
        </is>
      </c>
      <c r="B661" s="1" t="n">
        <v>43446</v>
      </c>
      <c r="C661" s="1" t="n">
        <v>45184</v>
      </c>
      <c r="D661" t="inlineStr">
        <is>
          <t>KRONOBERGS LÄN</t>
        </is>
      </c>
      <c r="E661" t="inlineStr">
        <is>
          <t>VÄXJÖ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69363-2018</t>
        </is>
      </c>
      <c r="B662" s="1" t="n">
        <v>43446</v>
      </c>
      <c r="C662" s="1" t="n">
        <v>45184</v>
      </c>
      <c r="D662" t="inlineStr">
        <is>
          <t>KRONOBERGS LÄN</t>
        </is>
      </c>
      <c r="E662" t="inlineStr">
        <is>
          <t>LJUNGBY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69393-2018</t>
        </is>
      </c>
      <c r="B663" s="1" t="n">
        <v>43446</v>
      </c>
      <c r="C663" s="1" t="n">
        <v>45184</v>
      </c>
      <c r="D663" t="inlineStr">
        <is>
          <t>KRONOBERGS LÄN</t>
        </is>
      </c>
      <c r="E663" t="inlineStr">
        <is>
          <t>LJUNGBY</t>
        </is>
      </c>
      <c r="F663" t="inlineStr">
        <is>
          <t>Kyrkan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69432-2018</t>
        </is>
      </c>
      <c r="B664" s="1" t="n">
        <v>43446</v>
      </c>
      <c r="C664" s="1" t="n">
        <v>45184</v>
      </c>
      <c r="D664" t="inlineStr">
        <is>
          <t>KRONOBERGS LÄN</t>
        </is>
      </c>
      <c r="E664" t="inlineStr">
        <is>
          <t>TINGSRYD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69580-2018</t>
        </is>
      </c>
      <c r="B665" s="1" t="n">
        <v>43446</v>
      </c>
      <c r="C665" s="1" t="n">
        <v>45184</v>
      </c>
      <c r="D665" t="inlineStr">
        <is>
          <t>KRONOBERGS LÄN</t>
        </is>
      </c>
      <c r="E665" t="inlineStr">
        <is>
          <t>TINGSRYD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69915-2018</t>
        </is>
      </c>
      <c r="B666" s="1" t="n">
        <v>43447</v>
      </c>
      <c r="C666" s="1" t="n">
        <v>45184</v>
      </c>
      <c r="D666" t="inlineStr">
        <is>
          <t>KRONOBERGS LÄN</t>
        </is>
      </c>
      <c r="E666" t="inlineStr">
        <is>
          <t>ÄLMHULT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69952-2018</t>
        </is>
      </c>
      <c r="B667" s="1" t="n">
        <v>43447</v>
      </c>
      <c r="C667" s="1" t="n">
        <v>45184</v>
      </c>
      <c r="D667" t="inlineStr">
        <is>
          <t>KRONOBERGS LÄN</t>
        </is>
      </c>
      <c r="E667" t="inlineStr">
        <is>
          <t>VÄXJÖ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70481-2018</t>
        </is>
      </c>
      <c r="B668" s="1" t="n">
        <v>43447</v>
      </c>
      <c r="C668" s="1" t="n">
        <v>45184</v>
      </c>
      <c r="D668" t="inlineStr">
        <is>
          <t>KRONOBERGS LÄN</t>
        </is>
      </c>
      <c r="E668" t="inlineStr">
        <is>
          <t>ALVESTA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70556-2018</t>
        </is>
      </c>
      <c r="B669" s="1" t="n">
        <v>43447</v>
      </c>
      <c r="C669" s="1" t="n">
        <v>45184</v>
      </c>
      <c r="D669" t="inlineStr">
        <is>
          <t>KRONOBERGS LÄN</t>
        </is>
      </c>
      <c r="E669" t="inlineStr">
        <is>
          <t>UPPVIDINGE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69638-2018</t>
        </is>
      </c>
      <c r="B670" s="1" t="n">
        <v>43447</v>
      </c>
      <c r="C670" s="1" t="n">
        <v>45184</v>
      </c>
      <c r="D670" t="inlineStr">
        <is>
          <t>KRONOBERGS LÄN</t>
        </is>
      </c>
      <c r="E670" t="inlineStr">
        <is>
          <t>TINGSRYD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70559-2018</t>
        </is>
      </c>
      <c r="B671" s="1" t="n">
        <v>43447</v>
      </c>
      <c r="C671" s="1" t="n">
        <v>45184</v>
      </c>
      <c r="D671" t="inlineStr">
        <is>
          <t>KRONOBERGS LÄN</t>
        </is>
      </c>
      <c r="E671" t="inlineStr">
        <is>
          <t>VÄXJÖ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70675-2018</t>
        </is>
      </c>
      <c r="B672" s="1" t="n">
        <v>43447</v>
      </c>
      <c r="C672" s="1" t="n">
        <v>45184</v>
      </c>
      <c r="D672" t="inlineStr">
        <is>
          <t>KRONOBERGS LÄN</t>
        </is>
      </c>
      <c r="E672" t="inlineStr">
        <is>
          <t>ALVESTA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70150-2018</t>
        </is>
      </c>
      <c r="B673" s="1" t="n">
        <v>43448</v>
      </c>
      <c r="C673" s="1" t="n">
        <v>45184</v>
      </c>
      <c r="D673" t="inlineStr">
        <is>
          <t>KRONOBERGS LÄN</t>
        </is>
      </c>
      <c r="E673" t="inlineStr">
        <is>
          <t>VÄXJÖ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70166-2018</t>
        </is>
      </c>
      <c r="B674" s="1" t="n">
        <v>43448</v>
      </c>
      <c r="C674" s="1" t="n">
        <v>45184</v>
      </c>
      <c r="D674" t="inlineStr">
        <is>
          <t>KRONOBERGS LÄN</t>
        </is>
      </c>
      <c r="E674" t="inlineStr">
        <is>
          <t>MARKARYD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70854-2018</t>
        </is>
      </c>
      <c r="B675" s="1" t="n">
        <v>43448</v>
      </c>
      <c r="C675" s="1" t="n">
        <v>45184</v>
      </c>
      <c r="D675" t="inlineStr">
        <is>
          <t>KRONOBERGS LÄN</t>
        </is>
      </c>
      <c r="E675" t="inlineStr">
        <is>
          <t>UPPVIDINGE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70896-2018</t>
        </is>
      </c>
      <c r="B676" s="1" t="n">
        <v>43448</v>
      </c>
      <c r="C676" s="1" t="n">
        <v>45184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70106-2018</t>
        </is>
      </c>
      <c r="B677" s="1" t="n">
        <v>43448</v>
      </c>
      <c r="C677" s="1" t="n">
        <v>45184</v>
      </c>
      <c r="D677" t="inlineStr">
        <is>
          <t>KRONOBERGS LÄN</t>
        </is>
      </c>
      <c r="E677" t="inlineStr">
        <is>
          <t>ALVESTA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70189-2018</t>
        </is>
      </c>
      <c r="B678" s="1" t="n">
        <v>43448</v>
      </c>
      <c r="C678" s="1" t="n">
        <v>45184</v>
      </c>
      <c r="D678" t="inlineStr">
        <is>
          <t>KRONOBERGS LÄN</t>
        </is>
      </c>
      <c r="E678" t="inlineStr">
        <is>
          <t>MARKARYD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70633-2018</t>
        </is>
      </c>
      <c r="B679" s="1" t="n">
        <v>43448</v>
      </c>
      <c r="C679" s="1" t="n">
        <v>45184</v>
      </c>
      <c r="D679" t="inlineStr">
        <is>
          <t>KRONOBERGS LÄN</t>
        </is>
      </c>
      <c r="E679" t="inlineStr">
        <is>
          <t>TINGSRYD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70605-2018</t>
        </is>
      </c>
      <c r="B680" s="1" t="n">
        <v>43448</v>
      </c>
      <c r="C680" s="1" t="n">
        <v>45184</v>
      </c>
      <c r="D680" t="inlineStr">
        <is>
          <t>KRONOBERGS LÄN</t>
        </is>
      </c>
      <c r="E680" t="inlineStr">
        <is>
          <t>TINGSRYD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70123-2018</t>
        </is>
      </c>
      <c r="B681" s="1" t="n">
        <v>43448</v>
      </c>
      <c r="C681" s="1" t="n">
        <v>45184</v>
      </c>
      <c r="D681" t="inlineStr">
        <is>
          <t>KRONOBERGS LÄN</t>
        </is>
      </c>
      <c r="E681" t="inlineStr">
        <is>
          <t>MARKARYD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71310-2018</t>
        </is>
      </c>
      <c r="B682" s="1" t="n">
        <v>43448</v>
      </c>
      <c r="C682" s="1" t="n">
        <v>45184</v>
      </c>
      <c r="D682" t="inlineStr">
        <is>
          <t>KRONOBERGS LÄN</t>
        </is>
      </c>
      <c r="E682" t="inlineStr">
        <is>
          <t>LESSEBO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70455-2018</t>
        </is>
      </c>
      <c r="B683" s="1" t="n">
        <v>43451</v>
      </c>
      <c r="C683" s="1" t="n">
        <v>45184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70652-2018</t>
        </is>
      </c>
      <c r="B684" s="1" t="n">
        <v>43451</v>
      </c>
      <c r="C684" s="1" t="n">
        <v>45184</v>
      </c>
      <c r="D684" t="inlineStr">
        <is>
          <t>KRONOBERGS LÄN</t>
        </is>
      </c>
      <c r="E684" t="inlineStr">
        <is>
          <t>ALVESTA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70746-2018</t>
        </is>
      </c>
      <c r="B685" s="1" t="n">
        <v>43451</v>
      </c>
      <c r="C685" s="1" t="n">
        <v>45184</v>
      </c>
      <c r="D685" t="inlineStr">
        <is>
          <t>KRONOBERGS LÄN</t>
        </is>
      </c>
      <c r="E685" t="inlineStr">
        <is>
          <t>VÄXJÖ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70630-2018</t>
        </is>
      </c>
      <c r="B686" s="1" t="n">
        <v>43451</v>
      </c>
      <c r="C686" s="1" t="n">
        <v>45184</v>
      </c>
      <c r="D686" t="inlineStr">
        <is>
          <t>KRONOBERGS LÄN</t>
        </is>
      </c>
      <c r="E686" t="inlineStr">
        <is>
          <t>TINGSRYD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71295-2018</t>
        </is>
      </c>
      <c r="B687" s="1" t="n">
        <v>43451</v>
      </c>
      <c r="C687" s="1" t="n">
        <v>45184</v>
      </c>
      <c r="D687" t="inlineStr">
        <is>
          <t>KRONOBERGS LÄN</t>
        </is>
      </c>
      <c r="E687" t="inlineStr">
        <is>
          <t>ÄLMHULT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70545-2018</t>
        </is>
      </c>
      <c r="B688" s="1" t="n">
        <v>43451</v>
      </c>
      <c r="C688" s="1" t="n">
        <v>45184</v>
      </c>
      <c r="D688" t="inlineStr">
        <is>
          <t>KRONOBERGS LÄN</t>
        </is>
      </c>
      <c r="E688" t="inlineStr">
        <is>
          <t>TINGSRYD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70745-2018</t>
        </is>
      </c>
      <c r="B689" s="1" t="n">
        <v>43451</v>
      </c>
      <c r="C689" s="1" t="n">
        <v>45184</v>
      </c>
      <c r="D689" t="inlineStr">
        <is>
          <t>KRONOBERGS LÄN</t>
        </is>
      </c>
      <c r="E689" t="inlineStr">
        <is>
          <t>VÄXJÖ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70879-2018</t>
        </is>
      </c>
      <c r="B690" s="1" t="n">
        <v>43452</v>
      </c>
      <c r="C690" s="1" t="n">
        <v>45184</v>
      </c>
      <c r="D690" t="inlineStr">
        <is>
          <t>KRONOBERGS LÄN</t>
        </is>
      </c>
      <c r="E690" t="inlineStr">
        <is>
          <t>UPPVIDINGE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71480-2018</t>
        </is>
      </c>
      <c r="B691" s="1" t="n">
        <v>43452</v>
      </c>
      <c r="C691" s="1" t="n">
        <v>45184</v>
      </c>
      <c r="D691" t="inlineStr">
        <is>
          <t>KRONOBERGS LÄN</t>
        </is>
      </c>
      <c r="E691" t="inlineStr">
        <is>
          <t>ALVESTA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71707-2018</t>
        </is>
      </c>
      <c r="B692" s="1" t="n">
        <v>43452</v>
      </c>
      <c r="C692" s="1" t="n">
        <v>45184</v>
      </c>
      <c r="D692" t="inlineStr">
        <is>
          <t>KRONOBERGS LÄN</t>
        </is>
      </c>
      <c r="E692" t="inlineStr">
        <is>
          <t>VÄXJÖ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71253-2018</t>
        </is>
      </c>
      <c r="B693" s="1" t="n">
        <v>43453</v>
      </c>
      <c r="C693" s="1" t="n">
        <v>45184</v>
      </c>
      <c r="D693" t="inlineStr">
        <is>
          <t>KRONOBERGS LÄN</t>
        </is>
      </c>
      <c r="E693" t="inlineStr">
        <is>
          <t>ÄLMHULT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71286-2018</t>
        </is>
      </c>
      <c r="B694" s="1" t="n">
        <v>43453</v>
      </c>
      <c r="C694" s="1" t="n">
        <v>45184</v>
      </c>
      <c r="D694" t="inlineStr">
        <is>
          <t>KRONOBERGS LÄN</t>
        </is>
      </c>
      <c r="E694" t="inlineStr">
        <is>
          <t>TINGSRYD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71494-2018</t>
        </is>
      </c>
      <c r="B695" s="1" t="n">
        <v>43453</v>
      </c>
      <c r="C695" s="1" t="n">
        <v>45184</v>
      </c>
      <c r="D695" t="inlineStr">
        <is>
          <t>KRONOBERGS LÄN</t>
        </is>
      </c>
      <c r="E695" t="inlineStr">
        <is>
          <t>UPPVIDINGE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72077-2018</t>
        </is>
      </c>
      <c r="B696" s="1" t="n">
        <v>43453</v>
      </c>
      <c r="C696" s="1" t="n">
        <v>45184</v>
      </c>
      <c r="D696" t="inlineStr">
        <is>
          <t>KRONOBERGS LÄN</t>
        </is>
      </c>
      <c r="E696" t="inlineStr">
        <is>
          <t>ÄLMHULT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71275-2018</t>
        </is>
      </c>
      <c r="B697" s="1" t="n">
        <v>43453</v>
      </c>
      <c r="C697" s="1" t="n">
        <v>45184</v>
      </c>
      <c r="D697" t="inlineStr">
        <is>
          <t>KRONOBERGS LÄN</t>
        </is>
      </c>
      <c r="E697" t="inlineStr">
        <is>
          <t>TINGSRYD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71320-2018</t>
        </is>
      </c>
      <c r="B698" s="1" t="n">
        <v>43453</v>
      </c>
      <c r="C698" s="1" t="n">
        <v>45184</v>
      </c>
      <c r="D698" t="inlineStr">
        <is>
          <t>KRONOBERGS LÄN</t>
        </is>
      </c>
      <c r="E698" t="inlineStr">
        <is>
          <t>LJUNGBY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72034-2018</t>
        </is>
      </c>
      <c r="B699" s="1" t="n">
        <v>43453</v>
      </c>
      <c r="C699" s="1" t="n">
        <v>45184</v>
      </c>
      <c r="D699" t="inlineStr">
        <is>
          <t>KRONOBERGS LÄN</t>
        </is>
      </c>
      <c r="E699" t="inlineStr">
        <is>
          <t>ÄLMHULT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71280-2018</t>
        </is>
      </c>
      <c r="B700" s="1" t="n">
        <v>43453</v>
      </c>
      <c r="C700" s="1" t="n">
        <v>45184</v>
      </c>
      <c r="D700" t="inlineStr">
        <is>
          <t>KRONOBERGS LÄN</t>
        </is>
      </c>
      <c r="E700" t="inlineStr">
        <is>
          <t>ÄLMHULT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71395-2018</t>
        </is>
      </c>
      <c r="B701" s="1" t="n">
        <v>43453</v>
      </c>
      <c r="C701" s="1" t="n">
        <v>45184</v>
      </c>
      <c r="D701" t="inlineStr">
        <is>
          <t>KRONOBERGS LÄN</t>
        </is>
      </c>
      <c r="E701" t="inlineStr">
        <is>
          <t>VÄXJÖ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71404-2018</t>
        </is>
      </c>
      <c r="B702" s="1" t="n">
        <v>43453</v>
      </c>
      <c r="C702" s="1" t="n">
        <v>45184</v>
      </c>
      <c r="D702" t="inlineStr">
        <is>
          <t>KRONOBERGS LÄN</t>
        </is>
      </c>
      <c r="E702" t="inlineStr">
        <is>
          <t>TINGSRYD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72063-2018</t>
        </is>
      </c>
      <c r="B703" s="1" t="n">
        <v>43453</v>
      </c>
      <c r="C703" s="1" t="n">
        <v>45184</v>
      </c>
      <c r="D703" t="inlineStr">
        <is>
          <t>KRONOBERGS LÄN</t>
        </is>
      </c>
      <c r="E703" t="inlineStr">
        <is>
          <t>ÄLMHULT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71565-2018</t>
        </is>
      </c>
      <c r="B704" s="1" t="n">
        <v>43454</v>
      </c>
      <c r="C704" s="1" t="n">
        <v>45184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71594-2018</t>
        </is>
      </c>
      <c r="B705" s="1" t="n">
        <v>43454</v>
      </c>
      <c r="C705" s="1" t="n">
        <v>45184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71691-2018</t>
        </is>
      </c>
      <c r="B706" s="1" t="n">
        <v>43454</v>
      </c>
      <c r="C706" s="1" t="n">
        <v>45184</v>
      </c>
      <c r="D706" t="inlineStr">
        <is>
          <t>KRONOBERGS LÄN</t>
        </is>
      </c>
      <c r="E706" t="inlineStr">
        <is>
          <t>TINGSRYD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71759-2018</t>
        </is>
      </c>
      <c r="B707" s="1" t="n">
        <v>43454</v>
      </c>
      <c r="C707" s="1" t="n">
        <v>45184</v>
      </c>
      <c r="D707" t="inlineStr">
        <is>
          <t>KRONOBERGS LÄN</t>
        </is>
      </c>
      <c r="E707" t="inlineStr">
        <is>
          <t>VÄXJÖ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71523-2018</t>
        </is>
      </c>
      <c r="B708" s="1" t="n">
        <v>43454</v>
      </c>
      <c r="C708" s="1" t="n">
        <v>45184</v>
      </c>
      <c r="D708" t="inlineStr">
        <is>
          <t>KRONOBERGS LÄN</t>
        </is>
      </c>
      <c r="E708" t="inlineStr">
        <is>
          <t>MARKARYD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166-2019</t>
        </is>
      </c>
      <c r="B709" s="1" t="n">
        <v>43454</v>
      </c>
      <c r="C709" s="1" t="n">
        <v>45184</v>
      </c>
      <c r="D709" t="inlineStr">
        <is>
          <t>KRONOBERGS LÄN</t>
        </is>
      </c>
      <c r="E709" t="inlineStr">
        <is>
          <t>VÄXJÖ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71558-2018</t>
        </is>
      </c>
      <c r="B710" s="1" t="n">
        <v>43454</v>
      </c>
      <c r="C710" s="1" t="n">
        <v>45184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71576-2018</t>
        </is>
      </c>
      <c r="B711" s="1" t="n">
        <v>43454</v>
      </c>
      <c r="C711" s="1" t="n">
        <v>45184</v>
      </c>
      <c r="D711" t="inlineStr">
        <is>
          <t>KRONOBERGS LÄN</t>
        </is>
      </c>
      <c r="E711" t="inlineStr">
        <is>
          <t>VÄXJÖ</t>
        </is>
      </c>
      <c r="F711" t="inlineStr">
        <is>
          <t>Sveaskog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71655-2018</t>
        </is>
      </c>
      <c r="B712" s="1" t="n">
        <v>43454</v>
      </c>
      <c r="C712" s="1" t="n">
        <v>45184</v>
      </c>
      <c r="D712" t="inlineStr">
        <is>
          <t>KRONOBERGS LÄN</t>
        </is>
      </c>
      <c r="E712" t="inlineStr">
        <is>
          <t>TINGSRYD</t>
        </is>
      </c>
      <c r="G712" t="n">
        <v>3.5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71703-2018</t>
        </is>
      </c>
      <c r="B713" s="1" t="n">
        <v>43454</v>
      </c>
      <c r="C713" s="1" t="n">
        <v>45184</v>
      </c>
      <c r="D713" t="inlineStr">
        <is>
          <t>KRONOBERGS LÄN</t>
        </is>
      </c>
      <c r="E713" t="inlineStr">
        <is>
          <t>ÄLMHULT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71769-2018</t>
        </is>
      </c>
      <c r="B714" s="1" t="n">
        <v>43454</v>
      </c>
      <c r="C714" s="1" t="n">
        <v>45184</v>
      </c>
      <c r="D714" t="inlineStr">
        <is>
          <t>KRONOBERGS LÄN</t>
        </is>
      </c>
      <c r="E714" t="inlineStr">
        <is>
          <t>VÄXJÖ</t>
        </is>
      </c>
      <c r="F714" t="inlineStr">
        <is>
          <t>Kyrkan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160-2019</t>
        </is>
      </c>
      <c r="B715" s="1" t="n">
        <v>43454</v>
      </c>
      <c r="C715" s="1" t="n">
        <v>45184</v>
      </c>
      <c r="D715" t="inlineStr">
        <is>
          <t>KRONOBERGS LÄN</t>
        </is>
      </c>
      <c r="E715" t="inlineStr">
        <is>
          <t>VÄXJÖ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71603-2018</t>
        </is>
      </c>
      <c r="B716" s="1" t="n">
        <v>43454</v>
      </c>
      <c r="C716" s="1" t="n">
        <v>45184</v>
      </c>
      <c r="D716" t="inlineStr">
        <is>
          <t>KRONOBERGS LÄN</t>
        </is>
      </c>
      <c r="E716" t="inlineStr">
        <is>
          <t>ÄLMHULT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71775-2018</t>
        </is>
      </c>
      <c r="B717" s="1" t="n">
        <v>43454</v>
      </c>
      <c r="C717" s="1" t="n">
        <v>45184</v>
      </c>
      <c r="D717" t="inlineStr">
        <is>
          <t>KRONOBERGS LÄN</t>
        </is>
      </c>
      <c r="E717" t="inlineStr">
        <is>
          <t>VÄXJÖ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159-2019</t>
        </is>
      </c>
      <c r="B718" s="1" t="n">
        <v>43454</v>
      </c>
      <c r="C718" s="1" t="n">
        <v>45184</v>
      </c>
      <c r="D718" t="inlineStr">
        <is>
          <t>KRONOBERGS LÄN</t>
        </is>
      </c>
      <c r="E718" t="inlineStr">
        <is>
          <t>VÄXJÖ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340-2019</t>
        </is>
      </c>
      <c r="B719" s="1" t="n">
        <v>43454</v>
      </c>
      <c r="C719" s="1" t="n">
        <v>45184</v>
      </c>
      <c r="D719" t="inlineStr">
        <is>
          <t>KRONOBERGS LÄN</t>
        </is>
      </c>
      <c r="E719" t="inlineStr">
        <is>
          <t>LJUNGBY</t>
        </is>
      </c>
      <c r="F719" t="inlineStr">
        <is>
          <t>Kyrkan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72013-2018</t>
        </is>
      </c>
      <c r="B720" s="1" t="n">
        <v>43455</v>
      </c>
      <c r="C720" s="1" t="n">
        <v>45184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72035-2018</t>
        </is>
      </c>
      <c r="B721" s="1" t="n">
        <v>43455</v>
      </c>
      <c r="C721" s="1" t="n">
        <v>45184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72105-2018</t>
        </is>
      </c>
      <c r="B722" s="1" t="n">
        <v>43455</v>
      </c>
      <c r="C722" s="1" t="n">
        <v>45184</v>
      </c>
      <c r="D722" t="inlineStr">
        <is>
          <t>KRONOBERGS LÄN</t>
        </is>
      </c>
      <c r="E722" t="inlineStr">
        <is>
          <t>TINGSRYD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72200-2018</t>
        </is>
      </c>
      <c r="B723" s="1" t="n">
        <v>43455</v>
      </c>
      <c r="C723" s="1" t="n">
        <v>45184</v>
      </c>
      <c r="D723" t="inlineStr">
        <is>
          <t>KRONOBERGS LÄN</t>
        </is>
      </c>
      <c r="E723" t="inlineStr">
        <is>
          <t>VÄXJÖ</t>
        </is>
      </c>
      <c r="G723" t="n">
        <v>6.9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72231-2018</t>
        </is>
      </c>
      <c r="B724" s="1" t="n">
        <v>43455</v>
      </c>
      <c r="C724" s="1" t="n">
        <v>45184</v>
      </c>
      <c r="D724" t="inlineStr">
        <is>
          <t>KRONOBERGS LÄN</t>
        </is>
      </c>
      <c r="E724" t="inlineStr">
        <is>
          <t>TINGSRYD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71900-2018</t>
        </is>
      </c>
      <c r="B725" s="1" t="n">
        <v>43455</v>
      </c>
      <c r="C725" s="1" t="n">
        <v>45184</v>
      </c>
      <c r="D725" t="inlineStr">
        <is>
          <t>KRONOBERGS LÄN</t>
        </is>
      </c>
      <c r="E725" t="inlineStr">
        <is>
          <t>VÄXJÖ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72030-2018</t>
        </is>
      </c>
      <c r="B726" s="1" t="n">
        <v>43455</v>
      </c>
      <c r="C726" s="1" t="n">
        <v>45184</v>
      </c>
      <c r="D726" t="inlineStr">
        <is>
          <t>KRONOBERGS LÄN</t>
        </is>
      </c>
      <c r="E726" t="inlineStr">
        <is>
          <t>VÄXJÖ</t>
        </is>
      </c>
      <c r="F726" t="inlineStr">
        <is>
          <t>Sveaskog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72116-2018</t>
        </is>
      </c>
      <c r="B727" s="1" t="n">
        <v>43455</v>
      </c>
      <c r="C727" s="1" t="n">
        <v>45184</v>
      </c>
      <c r="D727" t="inlineStr">
        <is>
          <t>KRONOBERGS LÄN</t>
        </is>
      </c>
      <c r="E727" t="inlineStr">
        <is>
          <t>LESSEBO</t>
        </is>
      </c>
      <c r="F727" t="inlineStr">
        <is>
          <t>Sveaskog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72162-2018</t>
        </is>
      </c>
      <c r="B728" s="1" t="n">
        <v>43455</v>
      </c>
      <c r="C728" s="1" t="n">
        <v>45184</v>
      </c>
      <c r="D728" t="inlineStr">
        <is>
          <t>KRONOBERGS LÄN</t>
        </is>
      </c>
      <c r="E728" t="inlineStr">
        <is>
          <t>LJUNGBY</t>
        </is>
      </c>
      <c r="F728" t="inlineStr">
        <is>
          <t>Sveaskog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72180-2018</t>
        </is>
      </c>
      <c r="B729" s="1" t="n">
        <v>43455</v>
      </c>
      <c r="C729" s="1" t="n">
        <v>45184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72214-2018</t>
        </is>
      </c>
      <c r="B730" s="1" t="n">
        <v>43455</v>
      </c>
      <c r="C730" s="1" t="n">
        <v>45184</v>
      </c>
      <c r="D730" t="inlineStr">
        <is>
          <t>KRONOBERGS LÄN</t>
        </is>
      </c>
      <c r="E730" t="inlineStr">
        <is>
          <t>VÄXJÖ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72248-2018</t>
        </is>
      </c>
      <c r="B731" s="1" t="n">
        <v>43455</v>
      </c>
      <c r="C731" s="1" t="n">
        <v>45184</v>
      </c>
      <c r="D731" t="inlineStr">
        <is>
          <t>KRONOBERGS LÄN</t>
        </is>
      </c>
      <c r="E731" t="inlineStr">
        <is>
          <t>VÄXJÖ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72087-2018</t>
        </is>
      </c>
      <c r="B732" s="1" t="n">
        <v>43455</v>
      </c>
      <c r="C732" s="1" t="n">
        <v>45184</v>
      </c>
      <c r="D732" t="inlineStr">
        <is>
          <t>KRONOBERGS LÄN</t>
        </is>
      </c>
      <c r="E732" t="inlineStr">
        <is>
          <t>VÄXJÖ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72178-2018</t>
        </is>
      </c>
      <c r="B733" s="1" t="n">
        <v>43455</v>
      </c>
      <c r="C733" s="1" t="n">
        <v>45184</v>
      </c>
      <c r="D733" t="inlineStr">
        <is>
          <t>KRONOBERGS LÄN</t>
        </is>
      </c>
      <c r="E733" t="inlineStr">
        <is>
          <t>VÄXJÖ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72194-2018</t>
        </is>
      </c>
      <c r="B734" s="1" t="n">
        <v>43455</v>
      </c>
      <c r="C734" s="1" t="n">
        <v>45184</v>
      </c>
      <c r="D734" t="inlineStr">
        <is>
          <t>KRONOBERGS LÄN</t>
        </is>
      </c>
      <c r="E734" t="inlineStr">
        <is>
          <t>VÄXJÖ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72203-2018</t>
        </is>
      </c>
      <c r="B735" s="1" t="n">
        <v>43455</v>
      </c>
      <c r="C735" s="1" t="n">
        <v>45184</v>
      </c>
      <c r="D735" t="inlineStr">
        <is>
          <t>KRONOBERGS LÄN</t>
        </is>
      </c>
      <c r="E735" t="inlineStr">
        <is>
          <t>VÄXJÖ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519-2019</t>
        </is>
      </c>
      <c r="B736" s="1" t="n">
        <v>43455</v>
      </c>
      <c r="C736" s="1" t="n">
        <v>45184</v>
      </c>
      <c r="D736" t="inlineStr">
        <is>
          <t>KRONOBERGS LÄN</t>
        </is>
      </c>
      <c r="E736" t="inlineStr">
        <is>
          <t>ÄLMHULT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818-2019</t>
        </is>
      </c>
      <c r="B737" s="1" t="n">
        <v>43455</v>
      </c>
      <c r="C737" s="1" t="n">
        <v>45184</v>
      </c>
      <c r="D737" t="inlineStr">
        <is>
          <t>KRONOBERGS LÄN</t>
        </is>
      </c>
      <c r="E737" t="inlineStr">
        <is>
          <t>VÄXJÖ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72027-2018</t>
        </is>
      </c>
      <c r="B738" s="1" t="n">
        <v>43455</v>
      </c>
      <c r="C738" s="1" t="n">
        <v>45184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72181-2018</t>
        </is>
      </c>
      <c r="B739" s="1" t="n">
        <v>43455</v>
      </c>
      <c r="C739" s="1" t="n">
        <v>45184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72197-2018</t>
        </is>
      </c>
      <c r="B740" s="1" t="n">
        <v>43455</v>
      </c>
      <c r="C740" s="1" t="n">
        <v>45184</v>
      </c>
      <c r="D740" t="inlineStr">
        <is>
          <t>KRONOBERGS LÄN</t>
        </is>
      </c>
      <c r="E740" t="inlineStr">
        <is>
          <t>TINGSRYD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579-2019</t>
        </is>
      </c>
      <c r="B741" s="1" t="n">
        <v>43455</v>
      </c>
      <c r="C741" s="1" t="n">
        <v>45184</v>
      </c>
      <c r="D741" t="inlineStr">
        <is>
          <t>KRONOBERGS LÄN</t>
        </is>
      </c>
      <c r="E741" t="inlineStr">
        <is>
          <t>UPPVIDINGE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72325-2018</t>
        </is>
      </c>
      <c r="B742" s="1" t="n">
        <v>43456</v>
      </c>
      <c r="C742" s="1" t="n">
        <v>45184</v>
      </c>
      <c r="D742" t="inlineStr">
        <is>
          <t>KRONOBERGS LÄN</t>
        </is>
      </c>
      <c r="E742" t="inlineStr">
        <is>
          <t>VÄXJÖ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72324-2018</t>
        </is>
      </c>
      <c r="B743" s="1" t="n">
        <v>43456</v>
      </c>
      <c r="C743" s="1" t="n">
        <v>45184</v>
      </c>
      <c r="D743" t="inlineStr">
        <is>
          <t>KRONOBERGS LÄN</t>
        </is>
      </c>
      <c r="E743" t="inlineStr">
        <is>
          <t>VÄXJÖ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72481-2018</t>
        </is>
      </c>
      <c r="B744" s="1" t="n">
        <v>43461</v>
      </c>
      <c r="C744" s="1" t="n">
        <v>45184</v>
      </c>
      <c r="D744" t="inlineStr">
        <is>
          <t>KRONOBERGS LÄN</t>
        </is>
      </c>
      <c r="E744" t="inlineStr">
        <is>
          <t>LJUNGBY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1330-2019</t>
        </is>
      </c>
      <c r="B745" s="1" t="n">
        <v>43461</v>
      </c>
      <c r="C745" s="1" t="n">
        <v>45184</v>
      </c>
      <c r="D745" t="inlineStr">
        <is>
          <t>KRONOBERGS LÄN</t>
        </is>
      </c>
      <c r="E745" t="inlineStr">
        <is>
          <t>LJUNGBY</t>
        </is>
      </c>
      <c r="F745" t="inlineStr">
        <is>
          <t>Kyrkan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1569-2019</t>
        </is>
      </c>
      <c r="B746" s="1" t="n">
        <v>43461</v>
      </c>
      <c r="C746" s="1" t="n">
        <v>45184</v>
      </c>
      <c r="D746" t="inlineStr">
        <is>
          <t>KRONOBERGS LÄN</t>
        </is>
      </c>
      <c r="E746" t="inlineStr">
        <is>
          <t>VÄXJÖ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1284-2019</t>
        </is>
      </c>
      <c r="B747" s="1" t="n">
        <v>43461</v>
      </c>
      <c r="C747" s="1" t="n">
        <v>45184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1296-2019</t>
        </is>
      </c>
      <c r="B748" s="1" t="n">
        <v>43461</v>
      </c>
      <c r="C748" s="1" t="n">
        <v>45184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72514-2018</t>
        </is>
      </c>
      <c r="B749" s="1" t="n">
        <v>43462</v>
      </c>
      <c r="C749" s="1" t="n">
        <v>45184</v>
      </c>
      <c r="D749" t="inlineStr">
        <is>
          <t>KRONOBERGS LÄN</t>
        </is>
      </c>
      <c r="E749" t="inlineStr">
        <is>
          <t>ALVESTA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72597-2018</t>
        </is>
      </c>
      <c r="B750" s="1" t="n">
        <v>43463</v>
      </c>
      <c r="C750" s="1" t="n">
        <v>45184</v>
      </c>
      <c r="D750" t="inlineStr">
        <is>
          <t>KRONOBERGS LÄN</t>
        </is>
      </c>
      <c r="E750" t="inlineStr">
        <is>
          <t>MARKARYD</t>
        </is>
      </c>
      <c r="G750" t="n">
        <v>2.8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29-2019</t>
        </is>
      </c>
      <c r="B751" s="1" t="n">
        <v>43467</v>
      </c>
      <c r="C751" s="1" t="n">
        <v>45184</v>
      </c>
      <c r="D751" t="inlineStr">
        <is>
          <t>KRONOBERGS LÄN</t>
        </is>
      </c>
      <c r="E751" t="inlineStr">
        <is>
          <t>ÄLMHULT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77-2019</t>
        </is>
      </c>
      <c r="B752" s="1" t="n">
        <v>43467</v>
      </c>
      <c r="C752" s="1" t="n">
        <v>45184</v>
      </c>
      <c r="D752" t="inlineStr">
        <is>
          <t>KRONOBERGS LÄN</t>
        </is>
      </c>
      <c r="E752" t="inlineStr">
        <is>
          <t>UPPVIDINGE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144-2019</t>
        </is>
      </c>
      <c r="B753" s="1" t="n">
        <v>43467</v>
      </c>
      <c r="C753" s="1" t="n">
        <v>45184</v>
      </c>
      <c r="D753" t="inlineStr">
        <is>
          <t>KRONOBERGS LÄN</t>
        </is>
      </c>
      <c r="E753" t="inlineStr">
        <is>
          <t>MARKARYD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161-2019</t>
        </is>
      </c>
      <c r="B754" s="1" t="n">
        <v>43467</v>
      </c>
      <c r="C754" s="1" t="n">
        <v>45184</v>
      </c>
      <c r="D754" t="inlineStr">
        <is>
          <t>KRONOBERGS LÄN</t>
        </is>
      </c>
      <c r="E754" t="inlineStr">
        <is>
          <t>ALVESTA</t>
        </is>
      </c>
      <c r="G754" t="n">
        <v>6.7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228-2019</t>
        </is>
      </c>
      <c r="B755" s="1" t="n">
        <v>43467</v>
      </c>
      <c r="C755" s="1" t="n">
        <v>45184</v>
      </c>
      <c r="D755" t="inlineStr">
        <is>
          <t>KRONOBERGS LÄN</t>
        </is>
      </c>
      <c r="E755" t="inlineStr">
        <is>
          <t>ÄLMHULT</t>
        </is>
      </c>
      <c r="G755" t="n">
        <v>3.8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82-2019</t>
        </is>
      </c>
      <c r="B756" s="1" t="n">
        <v>43467</v>
      </c>
      <c r="C756" s="1" t="n">
        <v>45184</v>
      </c>
      <c r="D756" t="inlineStr">
        <is>
          <t>KRONOBERGS LÄN</t>
        </is>
      </c>
      <c r="E756" t="inlineStr">
        <is>
          <t>ALVESTA</t>
        </is>
      </c>
      <c r="G756" t="n">
        <v>4.1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2534-2019</t>
        </is>
      </c>
      <c r="B757" s="1" t="n">
        <v>43468</v>
      </c>
      <c r="C757" s="1" t="n">
        <v>45184</v>
      </c>
      <c r="D757" t="inlineStr">
        <is>
          <t>KRONOBERGS LÄN</t>
        </is>
      </c>
      <c r="E757" t="inlineStr">
        <is>
          <t>TINGSRYD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290-2019</t>
        </is>
      </c>
      <c r="B758" s="1" t="n">
        <v>43468</v>
      </c>
      <c r="C758" s="1" t="n">
        <v>45184</v>
      </c>
      <c r="D758" t="inlineStr">
        <is>
          <t>KRONOBERGS LÄN</t>
        </is>
      </c>
      <c r="E758" t="inlineStr">
        <is>
          <t>TINGSRYD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277-2019</t>
        </is>
      </c>
      <c r="B759" s="1" t="n">
        <v>43468</v>
      </c>
      <c r="C759" s="1" t="n">
        <v>45184</v>
      </c>
      <c r="D759" t="inlineStr">
        <is>
          <t>KRONOBERGS LÄN</t>
        </is>
      </c>
      <c r="E759" t="inlineStr">
        <is>
          <t>TINGSRYD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327-2019</t>
        </is>
      </c>
      <c r="B760" s="1" t="n">
        <v>43468</v>
      </c>
      <c r="C760" s="1" t="n">
        <v>45184</v>
      </c>
      <c r="D760" t="inlineStr">
        <is>
          <t>KRONOBERGS LÄN</t>
        </is>
      </c>
      <c r="E760" t="inlineStr">
        <is>
          <t>ALVESTA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404-2019</t>
        </is>
      </c>
      <c r="B761" s="1" t="n">
        <v>43468</v>
      </c>
      <c r="C761" s="1" t="n">
        <v>45184</v>
      </c>
      <c r="D761" t="inlineStr">
        <is>
          <t>KRONOBERGS LÄN</t>
        </is>
      </c>
      <c r="E761" t="inlineStr">
        <is>
          <t>ÄLMHULT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282-2019</t>
        </is>
      </c>
      <c r="B762" s="1" t="n">
        <v>43468</v>
      </c>
      <c r="C762" s="1" t="n">
        <v>45184</v>
      </c>
      <c r="D762" t="inlineStr">
        <is>
          <t>KRONOBERGS LÄN</t>
        </is>
      </c>
      <c r="E762" t="inlineStr">
        <is>
          <t>TINGSRYD</t>
        </is>
      </c>
      <c r="G762" t="n">
        <v>6.2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336-2019</t>
        </is>
      </c>
      <c r="B763" s="1" t="n">
        <v>43468</v>
      </c>
      <c r="C763" s="1" t="n">
        <v>45184</v>
      </c>
      <c r="D763" t="inlineStr">
        <is>
          <t>KRONOBERGS LÄN</t>
        </is>
      </c>
      <c r="E763" t="inlineStr">
        <is>
          <t>LESSEBO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507-2019</t>
        </is>
      </c>
      <c r="B764" s="1" t="n">
        <v>43469</v>
      </c>
      <c r="C764" s="1" t="n">
        <v>45184</v>
      </c>
      <c r="D764" t="inlineStr">
        <is>
          <t>KRONOBERGS LÄN</t>
        </is>
      </c>
      <c r="E764" t="inlineStr">
        <is>
          <t>LJUNGBY</t>
        </is>
      </c>
      <c r="G764" t="n">
        <v>4.6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2930-2019</t>
        </is>
      </c>
      <c r="B765" s="1" t="n">
        <v>43469</v>
      </c>
      <c r="C765" s="1" t="n">
        <v>45184</v>
      </c>
      <c r="D765" t="inlineStr">
        <is>
          <t>KRONOBERGS LÄN</t>
        </is>
      </c>
      <c r="E765" t="inlineStr">
        <is>
          <t>VÄXJÖ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687-2019</t>
        </is>
      </c>
      <c r="B766" s="1" t="n">
        <v>43469</v>
      </c>
      <c r="C766" s="1" t="n">
        <v>45184</v>
      </c>
      <c r="D766" t="inlineStr">
        <is>
          <t>KRONOBERGS LÄN</t>
        </is>
      </c>
      <c r="E766" t="inlineStr">
        <is>
          <t>LJUNGBY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542-2019</t>
        </is>
      </c>
      <c r="B767" s="1" t="n">
        <v>43469</v>
      </c>
      <c r="C767" s="1" t="n">
        <v>45184</v>
      </c>
      <c r="D767" t="inlineStr">
        <is>
          <t>KRONOBERGS LÄN</t>
        </is>
      </c>
      <c r="E767" t="inlineStr">
        <is>
          <t>VÄXJÖ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1208-2019</t>
        </is>
      </c>
      <c r="B768" s="1" t="n">
        <v>43473</v>
      </c>
      <c r="C768" s="1" t="n">
        <v>45184</v>
      </c>
      <c r="D768" t="inlineStr">
        <is>
          <t>KRONOBERGS LÄN</t>
        </is>
      </c>
      <c r="E768" t="inlineStr">
        <is>
          <t>ÄLMHULT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1442-2019</t>
        </is>
      </c>
      <c r="B769" s="1" t="n">
        <v>43473</v>
      </c>
      <c r="C769" s="1" t="n">
        <v>45184</v>
      </c>
      <c r="D769" t="inlineStr">
        <is>
          <t>KRONOBERGS LÄN</t>
        </is>
      </c>
      <c r="E769" t="inlineStr">
        <is>
          <t>TINGSRYD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1449-2019</t>
        </is>
      </c>
      <c r="B770" s="1" t="n">
        <v>43473</v>
      </c>
      <c r="C770" s="1" t="n">
        <v>45184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1163-2019</t>
        </is>
      </c>
      <c r="B771" s="1" t="n">
        <v>43473</v>
      </c>
      <c r="C771" s="1" t="n">
        <v>45184</v>
      </c>
      <c r="D771" t="inlineStr">
        <is>
          <t>KRONOBERGS LÄN</t>
        </is>
      </c>
      <c r="E771" t="inlineStr">
        <is>
          <t>VÄXJÖ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1414-2019</t>
        </is>
      </c>
      <c r="B772" s="1" t="n">
        <v>43473</v>
      </c>
      <c r="C772" s="1" t="n">
        <v>45184</v>
      </c>
      <c r="D772" t="inlineStr">
        <is>
          <t>KRONOBERGS LÄN</t>
        </is>
      </c>
      <c r="E772" t="inlineStr">
        <is>
          <t>VÄXJÖ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1484-2019</t>
        </is>
      </c>
      <c r="B773" s="1" t="n">
        <v>43473</v>
      </c>
      <c r="C773" s="1" t="n">
        <v>45184</v>
      </c>
      <c r="D773" t="inlineStr">
        <is>
          <t>KRONOBERGS LÄN</t>
        </is>
      </c>
      <c r="E773" t="inlineStr">
        <is>
          <t>TINGSRYD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1503-2019</t>
        </is>
      </c>
      <c r="B774" s="1" t="n">
        <v>43473</v>
      </c>
      <c r="C774" s="1" t="n">
        <v>45184</v>
      </c>
      <c r="D774" t="inlineStr">
        <is>
          <t>KRONOBERGS LÄN</t>
        </is>
      </c>
      <c r="E774" t="inlineStr">
        <is>
          <t>UPPVIDINGE</t>
        </is>
      </c>
      <c r="F774" t="inlineStr">
        <is>
          <t>Sveaskog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1517-2019</t>
        </is>
      </c>
      <c r="B775" s="1" t="n">
        <v>43473</v>
      </c>
      <c r="C775" s="1" t="n">
        <v>45184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1169-2019</t>
        </is>
      </c>
      <c r="B776" s="1" t="n">
        <v>43473</v>
      </c>
      <c r="C776" s="1" t="n">
        <v>45184</v>
      </c>
      <c r="D776" t="inlineStr">
        <is>
          <t>KRONOBERGS LÄN</t>
        </is>
      </c>
      <c r="E776" t="inlineStr">
        <is>
          <t>VÄXJÖ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1210-2019</t>
        </is>
      </c>
      <c r="B777" s="1" t="n">
        <v>43473</v>
      </c>
      <c r="C777" s="1" t="n">
        <v>45184</v>
      </c>
      <c r="D777" t="inlineStr">
        <is>
          <t>KRONOBERGS LÄN</t>
        </is>
      </c>
      <c r="E777" t="inlineStr">
        <is>
          <t>ÄLMHULT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1355-2019</t>
        </is>
      </c>
      <c r="B778" s="1" t="n">
        <v>43473</v>
      </c>
      <c r="C778" s="1" t="n">
        <v>45184</v>
      </c>
      <c r="D778" t="inlineStr">
        <is>
          <t>KRONOBERGS LÄN</t>
        </is>
      </c>
      <c r="E778" t="inlineStr">
        <is>
          <t>MARKARYD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1401-2019</t>
        </is>
      </c>
      <c r="B779" s="1" t="n">
        <v>43473</v>
      </c>
      <c r="C779" s="1" t="n">
        <v>45184</v>
      </c>
      <c r="D779" t="inlineStr">
        <is>
          <t>KRONOBERGS LÄN</t>
        </is>
      </c>
      <c r="E779" t="inlineStr">
        <is>
          <t>VÄXJÖ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1161-2019</t>
        </is>
      </c>
      <c r="B780" s="1" t="n">
        <v>43473</v>
      </c>
      <c r="C780" s="1" t="n">
        <v>45184</v>
      </c>
      <c r="D780" t="inlineStr">
        <is>
          <t>KRONOBERGS LÄN</t>
        </is>
      </c>
      <c r="E780" t="inlineStr">
        <is>
          <t>VÄXJÖ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1211-2019</t>
        </is>
      </c>
      <c r="B781" s="1" t="n">
        <v>43473</v>
      </c>
      <c r="C781" s="1" t="n">
        <v>45184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1266-2019</t>
        </is>
      </c>
      <c r="B782" s="1" t="n">
        <v>43473</v>
      </c>
      <c r="C782" s="1" t="n">
        <v>45184</v>
      </c>
      <c r="D782" t="inlineStr">
        <is>
          <t>KRONOBERGS LÄN</t>
        </is>
      </c>
      <c r="E782" t="inlineStr">
        <is>
          <t>ÄLMHULT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1346-2019</t>
        </is>
      </c>
      <c r="B783" s="1" t="n">
        <v>43473</v>
      </c>
      <c r="C783" s="1" t="n">
        <v>45184</v>
      </c>
      <c r="D783" t="inlineStr">
        <is>
          <t>KRONOBERGS LÄN</t>
        </is>
      </c>
      <c r="E783" t="inlineStr">
        <is>
          <t>VÄXJÖ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3150-2019</t>
        </is>
      </c>
      <c r="B784" s="1" t="n">
        <v>43473</v>
      </c>
      <c r="C784" s="1" t="n">
        <v>45184</v>
      </c>
      <c r="D784" t="inlineStr">
        <is>
          <t>KRONOBERGS LÄN</t>
        </is>
      </c>
      <c r="E784" t="inlineStr">
        <is>
          <t>UPPVIDINGE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1729-2019</t>
        </is>
      </c>
      <c r="B785" s="1" t="n">
        <v>43474</v>
      </c>
      <c r="C785" s="1" t="n">
        <v>45184</v>
      </c>
      <c r="D785" t="inlineStr">
        <is>
          <t>KRONOBERGS LÄN</t>
        </is>
      </c>
      <c r="E785" t="inlineStr">
        <is>
          <t>VÄXJÖ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1843-2019</t>
        </is>
      </c>
      <c r="B786" s="1" t="n">
        <v>43474</v>
      </c>
      <c r="C786" s="1" t="n">
        <v>45184</v>
      </c>
      <c r="D786" t="inlineStr">
        <is>
          <t>KRONOBERGS LÄN</t>
        </is>
      </c>
      <c r="E786" t="inlineStr">
        <is>
          <t>UPPVIDINGE</t>
        </is>
      </c>
      <c r="G786" t="n">
        <v>8.6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1859-2019</t>
        </is>
      </c>
      <c r="B787" s="1" t="n">
        <v>43474</v>
      </c>
      <c r="C787" s="1" t="n">
        <v>45184</v>
      </c>
      <c r="D787" t="inlineStr">
        <is>
          <t>KRONOBERGS LÄN</t>
        </is>
      </c>
      <c r="E787" t="inlineStr">
        <is>
          <t>UPPVIDINGE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1726-2019</t>
        </is>
      </c>
      <c r="B788" s="1" t="n">
        <v>43474</v>
      </c>
      <c r="C788" s="1" t="n">
        <v>45184</v>
      </c>
      <c r="D788" t="inlineStr">
        <is>
          <t>KRONOBERGS LÄN</t>
        </is>
      </c>
      <c r="E788" t="inlineStr">
        <is>
          <t>VÄXJÖ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3430-2019</t>
        </is>
      </c>
      <c r="B789" s="1" t="n">
        <v>43474</v>
      </c>
      <c r="C789" s="1" t="n">
        <v>45184</v>
      </c>
      <c r="D789" t="inlineStr">
        <is>
          <t>KRONOBERGS LÄN</t>
        </is>
      </c>
      <c r="E789" t="inlineStr">
        <is>
          <t>TINGSRYD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1731-2019</t>
        </is>
      </c>
      <c r="B790" s="1" t="n">
        <v>43474</v>
      </c>
      <c r="C790" s="1" t="n">
        <v>45184</v>
      </c>
      <c r="D790" t="inlineStr">
        <is>
          <t>KRONOBERGS LÄN</t>
        </is>
      </c>
      <c r="E790" t="inlineStr">
        <is>
          <t>VÄXJÖ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1737-2019</t>
        </is>
      </c>
      <c r="B791" s="1" t="n">
        <v>43474</v>
      </c>
      <c r="C791" s="1" t="n">
        <v>45184</v>
      </c>
      <c r="D791" t="inlineStr">
        <is>
          <t>KRONOBERGS LÄN</t>
        </is>
      </c>
      <c r="E791" t="inlineStr">
        <is>
          <t>VÄXJÖ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1865-2019</t>
        </is>
      </c>
      <c r="B792" s="1" t="n">
        <v>43474</v>
      </c>
      <c r="C792" s="1" t="n">
        <v>45184</v>
      </c>
      <c r="D792" t="inlineStr">
        <is>
          <t>KRONOBERGS LÄN</t>
        </is>
      </c>
      <c r="E792" t="inlineStr">
        <is>
          <t>UPPVIDINGE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1912-2019</t>
        </is>
      </c>
      <c r="B793" s="1" t="n">
        <v>43474</v>
      </c>
      <c r="C793" s="1" t="n">
        <v>45184</v>
      </c>
      <c r="D793" t="inlineStr">
        <is>
          <t>KRONOBERGS LÄN</t>
        </is>
      </c>
      <c r="E793" t="inlineStr">
        <is>
          <t>LESSEBO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3962-2019</t>
        </is>
      </c>
      <c r="B794" s="1" t="n">
        <v>43475</v>
      </c>
      <c r="C794" s="1" t="n">
        <v>45184</v>
      </c>
      <c r="D794" t="inlineStr">
        <is>
          <t>KRONOBERGS LÄN</t>
        </is>
      </c>
      <c r="E794" t="inlineStr">
        <is>
          <t>LJUNGBY</t>
        </is>
      </c>
      <c r="F794" t="inlineStr">
        <is>
          <t>Kyrkan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1987-2019</t>
        </is>
      </c>
      <c r="B795" s="1" t="n">
        <v>43475</v>
      </c>
      <c r="C795" s="1" t="n">
        <v>45184</v>
      </c>
      <c r="D795" t="inlineStr">
        <is>
          <t>KRONOBERGS LÄN</t>
        </is>
      </c>
      <c r="E795" t="inlineStr">
        <is>
          <t>UPPVIDINGE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2084-2019</t>
        </is>
      </c>
      <c r="B796" s="1" t="n">
        <v>43475</v>
      </c>
      <c r="C796" s="1" t="n">
        <v>45184</v>
      </c>
      <c r="D796" t="inlineStr">
        <is>
          <t>KRONOBERGS LÄN</t>
        </is>
      </c>
      <c r="E796" t="inlineStr">
        <is>
          <t>ALVESTA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2058-2019</t>
        </is>
      </c>
      <c r="B797" s="1" t="n">
        <v>43475</v>
      </c>
      <c r="C797" s="1" t="n">
        <v>45184</v>
      </c>
      <c r="D797" t="inlineStr">
        <is>
          <t>KRONOBERGS LÄN</t>
        </is>
      </c>
      <c r="E797" t="inlineStr">
        <is>
          <t>TINGSRYD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2080-2019</t>
        </is>
      </c>
      <c r="B798" s="1" t="n">
        <v>43475</v>
      </c>
      <c r="C798" s="1" t="n">
        <v>45184</v>
      </c>
      <c r="D798" t="inlineStr">
        <is>
          <t>KRONOBERGS LÄN</t>
        </is>
      </c>
      <c r="E798" t="inlineStr">
        <is>
          <t>ÄLMHULT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2129-2019</t>
        </is>
      </c>
      <c r="B799" s="1" t="n">
        <v>43475</v>
      </c>
      <c r="C799" s="1" t="n">
        <v>45184</v>
      </c>
      <c r="D799" t="inlineStr">
        <is>
          <t>KRONOBERGS LÄN</t>
        </is>
      </c>
      <c r="E799" t="inlineStr">
        <is>
          <t>VÄXJÖ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3997-2019</t>
        </is>
      </c>
      <c r="B800" s="1" t="n">
        <v>43475</v>
      </c>
      <c r="C800" s="1" t="n">
        <v>45184</v>
      </c>
      <c r="D800" t="inlineStr">
        <is>
          <t>KRONOBERGS LÄN</t>
        </is>
      </c>
      <c r="E800" t="inlineStr">
        <is>
          <t>LJUNGBY</t>
        </is>
      </c>
      <c r="F800" t="inlineStr">
        <is>
          <t>Kyrkan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1984-2019</t>
        </is>
      </c>
      <c r="B801" s="1" t="n">
        <v>43475</v>
      </c>
      <c r="C801" s="1" t="n">
        <v>45184</v>
      </c>
      <c r="D801" t="inlineStr">
        <is>
          <t>KRONOBERGS LÄN</t>
        </is>
      </c>
      <c r="E801" t="inlineStr">
        <is>
          <t>UPPVIDINGE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2006-2019</t>
        </is>
      </c>
      <c r="B802" s="1" t="n">
        <v>43475</v>
      </c>
      <c r="C802" s="1" t="n">
        <v>45184</v>
      </c>
      <c r="D802" t="inlineStr">
        <is>
          <t>KRONOBERGS LÄN</t>
        </is>
      </c>
      <c r="E802" t="inlineStr">
        <is>
          <t>LJUNGBY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2015-2019</t>
        </is>
      </c>
      <c r="B803" s="1" t="n">
        <v>43475</v>
      </c>
      <c r="C803" s="1" t="n">
        <v>45184</v>
      </c>
      <c r="D803" t="inlineStr">
        <is>
          <t>KRONOBERGS LÄN</t>
        </is>
      </c>
      <c r="E803" t="inlineStr">
        <is>
          <t>ALVESTA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2154-2019</t>
        </is>
      </c>
      <c r="B804" s="1" t="n">
        <v>43475</v>
      </c>
      <c r="C804" s="1" t="n">
        <v>45184</v>
      </c>
      <c r="D804" t="inlineStr">
        <is>
          <t>KRONOBERGS LÄN</t>
        </is>
      </c>
      <c r="E804" t="inlineStr">
        <is>
          <t>VÄXJÖ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2395-2019</t>
        </is>
      </c>
      <c r="B805" s="1" t="n">
        <v>43476</v>
      </c>
      <c r="C805" s="1" t="n">
        <v>45184</v>
      </c>
      <c r="D805" t="inlineStr">
        <is>
          <t>KRONOBERGS LÄN</t>
        </is>
      </c>
      <c r="E805" t="inlineStr">
        <is>
          <t>MARKARYD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2456-2019</t>
        </is>
      </c>
      <c r="B806" s="1" t="n">
        <v>43476</v>
      </c>
      <c r="C806" s="1" t="n">
        <v>45184</v>
      </c>
      <c r="D806" t="inlineStr">
        <is>
          <t>KRONOBERGS LÄN</t>
        </is>
      </c>
      <c r="E806" t="inlineStr">
        <is>
          <t>TINGSRYD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4128-2019</t>
        </is>
      </c>
      <c r="B807" s="1" t="n">
        <v>43476</v>
      </c>
      <c r="C807" s="1" t="n">
        <v>45184</v>
      </c>
      <c r="D807" t="inlineStr">
        <is>
          <t>KRONOBERGS LÄN</t>
        </is>
      </c>
      <c r="E807" t="inlineStr">
        <is>
          <t>VÄXJÖ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2524-2019</t>
        </is>
      </c>
      <c r="B808" s="1" t="n">
        <v>43476</v>
      </c>
      <c r="C808" s="1" t="n">
        <v>45184</v>
      </c>
      <c r="D808" t="inlineStr">
        <is>
          <t>KRONOBERGS LÄN</t>
        </is>
      </c>
      <c r="E808" t="inlineStr">
        <is>
          <t>VÄXJÖ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4130-2019</t>
        </is>
      </c>
      <c r="B809" s="1" t="n">
        <v>43476</v>
      </c>
      <c r="C809" s="1" t="n">
        <v>45184</v>
      </c>
      <c r="D809" t="inlineStr">
        <is>
          <t>KRONOBERGS LÄN</t>
        </is>
      </c>
      <c r="E809" t="inlineStr">
        <is>
          <t>VÄXJÖ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2374-2019</t>
        </is>
      </c>
      <c r="B810" s="1" t="n">
        <v>43476</v>
      </c>
      <c r="C810" s="1" t="n">
        <v>45184</v>
      </c>
      <c r="D810" t="inlineStr">
        <is>
          <t>KRONOBERGS LÄN</t>
        </is>
      </c>
      <c r="E810" t="inlineStr">
        <is>
          <t>VÄXJÖ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2479-2019</t>
        </is>
      </c>
      <c r="B811" s="1" t="n">
        <v>43476</v>
      </c>
      <c r="C811" s="1" t="n">
        <v>45184</v>
      </c>
      <c r="D811" t="inlineStr">
        <is>
          <t>KRONOBERGS LÄN</t>
        </is>
      </c>
      <c r="E811" t="inlineStr">
        <is>
          <t>UPPVIDINGE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2698-2019</t>
        </is>
      </c>
      <c r="B812" s="1" t="n">
        <v>43479</v>
      </c>
      <c r="C812" s="1" t="n">
        <v>45184</v>
      </c>
      <c r="D812" t="inlineStr">
        <is>
          <t>KRONOBERGS LÄN</t>
        </is>
      </c>
      <c r="E812" t="inlineStr">
        <is>
          <t>LJUNGBY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4716-2019</t>
        </is>
      </c>
      <c r="B813" s="1" t="n">
        <v>43479</v>
      </c>
      <c r="C813" s="1" t="n">
        <v>45184</v>
      </c>
      <c r="D813" t="inlineStr">
        <is>
          <t>KRONOBERGS LÄN</t>
        </is>
      </c>
      <c r="E813" t="inlineStr">
        <is>
          <t>ALVESTA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3096-2019</t>
        </is>
      </c>
      <c r="B814" s="1" t="n">
        <v>43479</v>
      </c>
      <c r="C814" s="1" t="n">
        <v>45184</v>
      </c>
      <c r="D814" t="inlineStr">
        <is>
          <t>KRONOBERGS LÄN</t>
        </is>
      </c>
      <c r="E814" t="inlineStr">
        <is>
          <t>ÄLMHULT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4496-2019</t>
        </is>
      </c>
      <c r="B815" s="1" t="n">
        <v>43479</v>
      </c>
      <c r="C815" s="1" t="n">
        <v>45184</v>
      </c>
      <c r="D815" t="inlineStr">
        <is>
          <t>KRONOBERGS LÄN</t>
        </is>
      </c>
      <c r="E815" t="inlineStr">
        <is>
          <t>VÄXJÖ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4601-2019</t>
        </is>
      </c>
      <c r="B816" s="1" t="n">
        <v>43479</v>
      </c>
      <c r="C816" s="1" t="n">
        <v>45184</v>
      </c>
      <c r="D816" t="inlineStr">
        <is>
          <t>KRONOBERGS LÄN</t>
        </is>
      </c>
      <c r="E816" t="inlineStr">
        <is>
          <t>TINGSRYD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4720-2019</t>
        </is>
      </c>
      <c r="B817" s="1" t="n">
        <v>43479</v>
      </c>
      <c r="C817" s="1" t="n">
        <v>45184</v>
      </c>
      <c r="D817" t="inlineStr">
        <is>
          <t>KRONOBERGS LÄN</t>
        </is>
      </c>
      <c r="E817" t="inlineStr">
        <is>
          <t>LJUNGBY</t>
        </is>
      </c>
      <c r="F817" t="inlineStr">
        <is>
          <t>Kommuner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2809-2019</t>
        </is>
      </c>
      <c r="B818" s="1" t="n">
        <v>43479</v>
      </c>
      <c r="C818" s="1" t="n">
        <v>45184</v>
      </c>
      <c r="D818" t="inlineStr">
        <is>
          <t>KRONOBERGS LÄN</t>
        </is>
      </c>
      <c r="E818" t="inlineStr">
        <is>
          <t>TINGSRYD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4856-2019</t>
        </is>
      </c>
      <c r="B819" s="1" t="n">
        <v>43479</v>
      </c>
      <c r="C819" s="1" t="n">
        <v>45184</v>
      </c>
      <c r="D819" t="inlineStr">
        <is>
          <t>KRONOBERGS LÄN</t>
        </is>
      </c>
      <c r="E819" t="inlineStr">
        <is>
          <t>LJUNGBY</t>
        </is>
      </c>
      <c r="G819" t="n">
        <v>5.6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2899-2019</t>
        </is>
      </c>
      <c r="B820" s="1" t="n">
        <v>43479</v>
      </c>
      <c r="C820" s="1" t="n">
        <v>45184</v>
      </c>
      <c r="D820" t="inlineStr">
        <is>
          <t>KRONOBERGS LÄN</t>
        </is>
      </c>
      <c r="E820" t="inlineStr">
        <is>
          <t>TINGSRYD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3032-2019</t>
        </is>
      </c>
      <c r="B821" s="1" t="n">
        <v>43479</v>
      </c>
      <c r="C821" s="1" t="n">
        <v>45184</v>
      </c>
      <c r="D821" t="inlineStr">
        <is>
          <t>KRONOBERGS LÄN</t>
        </is>
      </c>
      <c r="E821" t="inlineStr">
        <is>
          <t>VÄXJÖ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4482-2019</t>
        </is>
      </c>
      <c r="B822" s="1" t="n">
        <v>43479</v>
      </c>
      <c r="C822" s="1" t="n">
        <v>45184</v>
      </c>
      <c r="D822" t="inlineStr">
        <is>
          <t>KRONOBERGS LÄN</t>
        </is>
      </c>
      <c r="E822" t="inlineStr">
        <is>
          <t>UPPVIDINGE</t>
        </is>
      </c>
      <c r="G822" t="n">
        <v>3.9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4722-2019</t>
        </is>
      </c>
      <c r="B823" s="1" t="n">
        <v>43479</v>
      </c>
      <c r="C823" s="1" t="n">
        <v>45184</v>
      </c>
      <c r="D823" t="inlineStr">
        <is>
          <t>KRONOBERGS LÄN</t>
        </is>
      </c>
      <c r="E823" t="inlineStr">
        <is>
          <t>LJUNGBY</t>
        </is>
      </c>
      <c r="F823" t="inlineStr">
        <is>
          <t>Kommuner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3238-2019</t>
        </is>
      </c>
      <c r="B824" s="1" t="n">
        <v>43480</v>
      </c>
      <c r="C824" s="1" t="n">
        <v>45184</v>
      </c>
      <c r="D824" t="inlineStr">
        <is>
          <t>KRONOBERGS LÄN</t>
        </is>
      </c>
      <c r="E824" t="inlineStr">
        <is>
          <t>VÄXJÖ</t>
        </is>
      </c>
      <c r="G824" t="n">
        <v>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3378-2019</t>
        </is>
      </c>
      <c r="B825" s="1" t="n">
        <v>43480</v>
      </c>
      <c r="C825" s="1" t="n">
        <v>45184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3189-2019</t>
        </is>
      </c>
      <c r="B826" s="1" t="n">
        <v>43480</v>
      </c>
      <c r="C826" s="1" t="n">
        <v>45184</v>
      </c>
      <c r="D826" t="inlineStr">
        <is>
          <t>KRONOBERGS LÄN</t>
        </is>
      </c>
      <c r="E826" t="inlineStr">
        <is>
          <t>VÄXJÖ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4945-2019</t>
        </is>
      </c>
      <c r="B827" s="1" t="n">
        <v>43480</v>
      </c>
      <c r="C827" s="1" t="n">
        <v>45184</v>
      </c>
      <c r="D827" t="inlineStr">
        <is>
          <t>KRONOBERGS LÄN</t>
        </is>
      </c>
      <c r="E827" t="inlineStr">
        <is>
          <t>LJUNGBY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3268-2019</t>
        </is>
      </c>
      <c r="B828" s="1" t="n">
        <v>43480</v>
      </c>
      <c r="C828" s="1" t="n">
        <v>45184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3293-2019</t>
        </is>
      </c>
      <c r="B829" s="1" t="n">
        <v>43480</v>
      </c>
      <c r="C829" s="1" t="n">
        <v>45184</v>
      </c>
      <c r="D829" t="inlineStr">
        <is>
          <t>KRONOBERGS LÄN</t>
        </is>
      </c>
      <c r="E829" t="inlineStr">
        <is>
          <t>VÄXJÖ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3366-2019</t>
        </is>
      </c>
      <c r="B830" s="1" t="n">
        <v>43480</v>
      </c>
      <c r="C830" s="1" t="n">
        <v>45184</v>
      </c>
      <c r="D830" t="inlineStr">
        <is>
          <t>KRONOBERGS LÄN</t>
        </is>
      </c>
      <c r="E830" t="inlineStr">
        <is>
          <t>LJUNGBY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5021-2019</t>
        </is>
      </c>
      <c r="B831" s="1" t="n">
        <v>43480</v>
      </c>
      <c r="C831" s="1" t="n">
        <v>45184</v>
      </c>
      <c r="D831" t="inlineStr">
        <is>
          <t>KRONOBERGS LÄN</t>
        </is>
      </c>
      <c r="E831" t="inlineStr">
        <is>
          <t>VÄXJÖ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3318-2019</t>
        </is>
      </c>
      <c r="B832" s="1" t="n">
        <v>43480</v>
      </c>
      <c r="C832" s="1" t="n">
        <v>45184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5028-2019</t>
        </is>
      </c>
      <c r="B833" s="1" t="n">
        <v>43480</v>
      </c>
      <c r="C833" s="1" t="n">
        <v>45184</v>
      </c>
      <c r="D833" t="inlineStr">
        <is>
          <t>KRONOBERGS LÄN</t>
        </is>
      </c>
      <c r="E833" t="inlineStr">
        <is>
          <t>ALVESTA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3436-2019</t>
        </is>
      </c>
      <c r="B834" s="1" t="n">
        <v>43481</v>
      </c>
      <c r="C834" s="1" t="n">
        <v>45184</v>
      </c>
      <c r="D834" t="inlineStr">
        <is>
          <t>KRONOBERGS LÄN</t>
        </is>
      </c>
      <c r="E834" t="inlineStr">
        <is>
          <t>TINGSRYD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3614-2019</t>
        </is>
      </c>
      <c r="B835" s="1" t="n">
        <v>43481</v>
      </c>
      <c r="C835" s="1" t="n">
        <v>45184</v>
      </c>
      <c r="D835" t="inlineStr">
        <is>
          <t>KRONOBERGS LÄN</t>
        </is>
      </c>
      <c r="E835" t="inlineStr">
        <is>
          <t>TINGSRYD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3630-2019</t>
        </is>
      </c>
      <c r="B836" s="1" t="n">
        <v>43481</v>
      </c>
      <c r="C836" s="1" t="n">
        <v>45184</v>
      </c>
      <c r="D836" t="inlineStr">
        <is>
          <t>KRONOBERGS LÄN</t>
        </is>
      </c>
      <c r="E836" t="inlineStr">
        <is>
          <t>ÄLMHULT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3763-2019</t>
        </is>
      </c>
      <c r="B837" s="1" t="n">
        <v>43481</v>
      </c>
      <c r="C837" s="1" t="n">
        <v>45184</v>
      </c>
      <c r="D837" t="inlineStr">
        <is>
          <t>KRONOBERGS LÄN</t>
        </is>
      </c>
      <c r="E837" t="inlineStr">
        <is>
          <t>LJUNGBY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3690-2019</t>
        </is>
      </c>
      <c r="B838" s="1" t="n">
        <v>43481</v>
      </c>
      <c r="C838" s="1" t="n">
        <v>45184</v>
      </c>
      <c r="D838" t="inlineStr">
        <is>
          <t>KRONOBERGS LÄN</t>
        </is>
      </c>
      <c r="E838" t="inlineStr">
        <is>
          <t>UPPVIDINGE</t>
        </is>
      </c>
      <c r="G838" t="n">
        <v>5.1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3730-2019</t>
        </is>
      </c>
      <c r="B839" s="1" t="n">
        <v>43481</v>
      </c>
      <c r="C839" s="1" t="n">
        <v>45184</v>
      </c>
      <c r="D839" t="inlineStr">
        <is>
          <t>KRONOBERGS LÄN</t>
        </is>
      </c>
      <c r="E839" t="inlineStr">
        <is>
          <t>UPPVIDINGE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3611-2019</t>
        </is>
      </c>
      <c r="B840" s="1" t="n">
        <v>43481</v>
      </c>
      <c r="C840" s="1" t="n">
        <v>45184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3697-2019</t>
        </is>
      </c>
      <c r="B841" s="1" t="n">
        <v>43481</v>
      </c>
      <c r="C841" s="1" t="n">
        <v>45184</v>
      </c>
      <c r="D841" t="inlineStr">
        <is>
          <t>KRONOBERGS LÄN</t>
        </is>
      </c>
      <c r="E841" t="inlineStr">
        <is>
          <t>ÄLMHULT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3716-2019</t>
        </is>
      </c>
      <c r="B842" s="1" t="n">
        <v>43481</v>
      </c>
      <c r="C842" s="1" t="n">
        <v>45184</v>
      </c>
      <c r="D842" t="inlineStr">
        <is>
          <t>KRONOBERGS LÄN</t>
        </is>
      </c>
      <c r="E842" t="inlineStr">
        <is>
          <t>UPPVIDINGE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3467-2019</t>
        </is>
      </c>
      <c r="B843" s="1" t="n">
        <v>43481</v>
      </c>
      <c r="C843" s="1" t="n">
        <v>45184</v>
      </c>
      <c r="D843" t="inlineStr">
        <is>
          <t>KRONOBERGS LÄN</t>
        </is>
      </c>
      <c r="E843" t="inlineStr">
        <is>
          <t>TINGSRYD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3601-2019</t>
        </is>
      </c>
      <c r="B844" s="1" t="n">
        <v>43481</v>
      </c>
      <c r="C844" s="1" t="n">
        <v>45184</v>
      </c>
      <c r="D844" t="inlineStr">
        <is>
          <t>KRONOBERGS LÄN</t>
        </is>
      </c>
      <c r="E844" t="inlineStr">
        <is>
          <t>TINGSRYD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3732-2019</t>
        </is>
      </c>
      <c r="B845" s="1" t="n">
        <v>43481</v>
      </c>
      <c r="C845" s="1" t="n">
        <v>45184</v>
      </c>
      <c r="D845" t="inlineStr">
        <is>
          <t>KRONOBERGS LÄN</t>
        </is>
      </c>
      <c r="E845" t="inlineStr">
        <is>
          <t>TINGSRYD</t>
        </is>
      </c>
      <c r="G845" t="n">
        <v>16.2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3751-2019</t>
        </is>
      </c>
      <c r="B846" s="1" t="n">
        <v>43481</v>
      </c>
      <c r="C846" s="1" t="n">
        <v>45184</v>
      </c>
      <c r="D846" t="inlineStr">
        <is>
          <t>KRONOBERGS LÄN</t>
        </is>
      </c>
      <c r="E846" t="inlineStr">
        <is>
          <t>LJUNGBY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3789-2019</t>
        </is>
      </c>
      <c r="B847" s="1" t="n">
        <v>43482</v>
      </c>
      <c r="C847" s="1" t="n">
        <v>45184</v>
      </c>
      <c r="D847" t="inlineStr">
        <is>
          <t>KRONOBERGS LÄN</t>
        </is>
      </c>
      <c r="E847" t="inlineStr">
        <is>
          <t>TINGSRYD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3908-2019</t>
        </is>
      </c>
      <c r="B848" s="1" t="n">
        <v>43482</v>
      </c>
      <c r="C848" s="1" t="n">
        <v>45184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4071-2019</t>
        </is>
      </c>
      <c r="B849" s="1" t="n">
        <v>43482</v>
      </c>
      <c r="C849" s="1" t="n">
        <v>45184</v>
      </c>
      <c r="D849" t="inlineStr">
        <is>
          <t>KRONOBERGS LÄN</t>
        </is>
      </c>
      <c r="E849" t="inlineStr">
        <is>
          <t>VÄXJÖ</t>
        </is>
      </c>
      <c r="F849" t="inlineStr">
        <is>
          <t>Sveaskog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3798-2019</t>
        </is>
      </c>
      <c r="B850" s="1" t="n">
        <v>43482</v>
      </c>
      <c r="C850" s="1" t="n">
        <v>45184</v>
      </c>
      <c r="D850" t="inlineStr">
        <is>
          <t>KRONOBERGS LÄN</t>
        </is>
      </c>
      <c r="E850" t="inlineStr">
        <is>
          <t>TINGSRYD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4076-2019</t>
        </is>
      </c>
      <c r="B851" s="1" t="n">
        <v>43482</v>
      </c>
      <c r="C851" s="1" t="n">
        <v>45184</v>
      </c>
      <c r="D851" t="inlineStr">
        <is>
          <t>KRONOBERGS LÄN</t>
        </is>
      </c>
      <c r="E851" t="inlineStr">
        <is>
          <t>VÄXJÖ</t>
        </is>
      </c>
      <c r="F851" t="inlineStr">
        <is>
          <t>Sveaskog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5485-2019</t>
        </is>
      </c>
      <c r="B852" s="1" t="n">
        <v>43482</v>
      </c>
      <c r="C852" s="1" t="n">
        <v>45184</v>
      </c>
      <c r="D852" t="inlineStr">
        <is>
          <t>KRONOBERGS LÄN</t>
        </is>
      </c>
      <c r="E852" t="inlineStr">
        <is>
          <t>MARKARYD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4073-2019</t>
        </is>
      </c>
      <c r="B853" s="1" t="n">
        <v>43482</v>
      </c>
      <c r="C853" s="1" t="n">
        <v>45184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4013-2019</t>
        </is>
      </c>
      <c r="B854" s="1" t="n">
        <v>43482</v>
      </c>
      <c r="C854" s="1" t="n">
        <v>45184</v>
      </c>
      <c r="D854" t="inlineStr">
        <is>
          <t>KRONOBERGS LÄN</t>
        </is>
      </c>
      <c r="E854" t="inlineStr">
        <is>
          <t>UPPVIDINGE</t>
        </is>
      </c>
      <c r="G854" t="n">
        <v>7.6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4021-2019</t>
        </is>
      </c>
      <c r="B855" s="1" t="n">
        <v>43482</v>
      </c>
      <c r="C855" s="1" t="n">
        <v>45184</v>
      </c>
      <c r="D855" t="inlineStr">
        <is>
          <t>KRONOBERGS LÄN</t>
        </is>
      </c>
      <c r="E855" t="inlineStr">
        <is>
          <t>UPPVIDINGE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4122-2019</t>
        </is>
      </c>
      <c r="B856" s="1" t="n">
        <v>43482</v>
      </c>
      <c r="C856" s="1" t="n">
        <v>45184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4210-2019</t>
        </is>
      </c>
      <c r="B857" s="1" t="n">
        <v>43483</v>
      </c>
      <c r="C857" s="1" t="n">
        <v>45184</v>
      </c>
      <c r="D857" t="inlineStr">
        <is>
          <t>KRONOBERGS LÄN</t>
        </is>
      </c>
      <c r="E857" t="inlineStr">
        <is>
          <t>ÄLMHULT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4256-2019</t>
        </is>
      </c>
      <c r="B858" s="1" t="n">
        <v>43483</v>
      </c>
      <c r="C858" s="1" t="n">
        <v>45184</v>
      </c>
      <c r="D858" t="inlineStr">
        <is>
          <t>KRONOBERGS LÄN</t>
        </is>
      </c>
      <c r="E858" t="inlineStr">
        <is>
          <t>VÄXJÖ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4328-2019</t>
        </is>
      </c>
      <c r="B859" s="1" t="n">
        <v>43483</v>
      </c>
      <c r="C859" s="1" t="n">
        <v>45184</v>
      </c>
      <c r="D859" t="inlineStr">
        <is>
          <t>KRONOBERGS LÄN</t>
        </is>
      </c>
      <c r="E859" t="inlineStr">
        <is>
          <t>ÄLMHULT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5976-2019</t>
        </is>
      </c>
      <c r="B860" s="1" t="n">
        <v>43483</v>
      </c>
      <c r="C860" s="1" t="n">
        <v>45184</v>
      </c>
      <c r="D860" t="inlineStr">
        <is>
          <t>KRONOBERGS LÄN</t>
        </is>
      </c>
      <c r="E860" t="inlineStr">
        <is>
          <t>ÄLMHULT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4400-2019</t>
        </is>
      </c>
      <c r="B861" s="1" t="n">
        <v>43484</v>
      </c>
      <c r="C861" s="1" t="n">
        <v>45184</v>
      </c>
      <c r="D861" t="inlineStr">
        <is>
          <t>KRONOBERGS LÄN</t>
        </is>
      </c>
      <c r="E861" t="inlineStr">
        <is>
          <t>VÄXJÖ</t>
        </is>
      </c>
      <c r="F861" t="inlineStr">
        <is>
          <t>Sveaskog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4470-2019</t>
        </is>
      </c>
      <c r="B862" s="1" t="n">
        <v>43485</v>
      </c>
      <c r="C862" s="1" t="n">
        <v>45184</v>
      </c>
      <c r="D862" t="inlineStr">
        <is>
          <t>KRONOBERGS LÄN</t>
        </is>
      </c>
      <c r="E862" t="inlineStr">
        <is>
          <t>UPPVIDINGE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4471-2019</t>
        </is>
      </c>
      <c r="B863" s="1" t="n">
        <v>43485</v>
      </c>
      <c r="C863" s="1" t="n">
        <v>45184</v>
      </c>
      <c r="D863" t="inlineStr">
        <is>
          <t>KRONOBERGS LÄN</t>
        </is>
      </c>
      <c r="E863" t="inlineStr">
        <is>
          <t>UPPVIDINGE</t>
        </is>
      </c>
      <c r="G863" t="n">
        <v>5.2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4624-2019</t>
        </is>
      </c>
      <c r="B864" s="1" t="n">
        <v>43486</v>
      </c>
      <c r="C864" s="1" t="n">
        <v>45184</v>
      </c>
      <c r="D864" t="inlineStr">
        <is>
          <t>KRONOBERGS LÄN</t>
        </is>
      </c>
      <c r="E864" t="inlineStr">
        <is>
          <t>TINGSRYD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4631-2019</t>
        </is>
      </c>
      <c r="B865" s="1" t="n">
        <v>43486</v>
      </c>
      <c r="C865" s="1" t="n">
        <v>45184</v>
      </c>
      <c r="D865" t="inlineStr">
        <is>
          <t>KRONOBERGS LÄN</t>
        </is>
      </c>
      <c r="E865" t="inlineStr">
        <is>
          <t>TINGSRYD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4676-2019</t>
        </is>
      </c>
      <c r="B866" s="1" t="n">
        <v>43486</v>
      </c>
      <c r="C866" s="1" t="n">
        <v>45184</v>
      </c>
      <c r="D866" t="inlineStr">
        <is>
          <t>KRONOBERGS LÄN</t>
        </is>
      </c>
      <c r="E866" t="inlineStr">
        <is>
          <t>MARKARYD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4694-2019</t>
        </is>
      </c>
      <c r="B867" s="1" t="n">
        <v>43486</v>
      </c>
      <c r="C867" s="1" t="n">
        <v>45184</v>
      </c>
      <c r="D867" t="inlineStr">
        <is>
          <t>KRONOBERGS LÄN</t>
        </is>
      </c>
      <c r="E867" t="inlineStr">
        <is>
          <t>VÄXJÖ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4728-2019</t>
        </is>
      </c>
      <c r="B868" s="1" t="n">
        <v>43486</v>
      </c>
      <c r="C868" s="1" t="n">
        <v>45184</v>
      </c>
      <c r="D868" t="inlineStr">
        <is>
          <t>KRONOBERGS LÄN</t>
        </is>
      </c>
      <c r="E868" t="inlineStr">
        <is>
          <t>UPPVIDINGE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4691-2019</t>
        </is>
      </c>
      <c r="B869" s="1" t="n">
        <v>43486</v>
      </c>
      <c r="C869" s="1" t="n">
        <v>45184</v>
      </c>
      <c r="D869" t="inlineStr">
        <is>
          <t>KRONOBERGS LÄN</t>
        </is>
      </c>
      <c r="E869" t="inlineStr">
        <is>
          <t>MARKARYD</t>
        </is>
      </c>
      <c r="G869" t="n">
        <v>6.1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4805-2019</t>
        </is>
      </c>
      <c r="B870" s="1" t="n">
        <v>43486</v>
      </c>
      <c r="C870" s="1" t="n">
        <v>45184</v>
      </c>
      <c r="D870" t="inlineStr">
        <is>
          <t>KRONOBERGS LÄN</t>
        </is>
      </c>
      <c r="E870" t="inlineStr">
        <is>
          <t>TINGSRYD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4603-2019</t>
        </is>
      </c>
      <c r="B871" s="1" t="n">
        <v>43486</v>
      </c>
      <c r="C871" s="1" t="n">
        <v>45184</v>
      </c>
      <c r="D871" t="inlineStr">
        <is>
          <t>KRONOBERGS LÄN</t>
        </is>
      </c>
      <c r="E871" t="inlineStr">
        <is>
          <t>VÄXJÖ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4702-2019</t>
        </is>
      </c>
      <c r="B872" s="1" t="n">
        <v>43486</v>
      </c>
      <c r="C872" s="1" t="n">
        <v>45184</v>
      </c>
      <c r="D872" t="inlineStr">
        <is>
          <t>KRONOBERGS LÄN</t>
        </is>
      </c>
      <c r="E872" t="inlineStr">
        <is>
          <t>MARKARYD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4524-2019</t>
        </is>
      </c>
      <c r="B873" s="1" t="n">
        <v>43486</v>
      </c>
      <c r="C873" s="1" t="n">
        <v>45184</v>
      </c>
      <c r="D873" t="inlineStr">
        <is>
          <t>KRONOBERGS LÄN</t>
        </is>
      </c>
      <c r="E873" t="inlineStr">
        <is>
          <t>ALVESTA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4715-2019</t>
        </is>
      </c>
      <c r="B874" s="1" t="n">
        <v>43486</v>
      </c>
      <c r="C874" s="1" t="n">
        <v>45184</v>
      </c>
      <c r="D874" t="inlineStr">
        <is>
          <t>KRONOBERGS LÄN</t>
        </is>
      </c>
      <c r="E874" t="inlineStr">
        <is>
          <t>ÄLMHULT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5002-2019</t>
        </is>
      </c>
      <c r="B875" s="1" t="n">
        <v>43487</v>
      </c>
      <c r="C875" s="1" t="n">
        <v>45184</v>
      </c>
      <c r="D875" t="inlineStr">
        <is>
          <t>KRONOBERGS LÄN</t>
        </is>
      </c>
      <c r="E875" t="inlineStr">
        <is>
          <t>TINGSRYD</t>
        </is>
      </c>
      <c r="F875" t="inlineStr">
        <is>
          <t>Övriga Aktiebolag</t>
        </is>
      </c>
      <c r="G875" t="n">
        <v>8.699999999999999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4980-2019</t>
        </is>
      </c>
      <c r="B876" s="1" t="n">
        <v>43487</v>
      </c>
      <c r="C876" s="1" t="n">
        <v>45184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4989-2019</t>
        </is>
      </c>
      <c r="B877" s="1" t="n">
        <v>43487</v>
      </c>
      <c r="C877" s="1" t="n">
        <v>45184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4996-2019</t>
        </is>
      </c>
      <c r="B878" s="1" t="n">
        <v>43487</v>
      </c>
      <c r="C878" s="1" t="n">
        <v>45184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5006-2019</t>
        </is>
      </c>
      <c r="B879" s="1" t="n">
        <v>43487</v>
      </c>
      <c r="C879" s="1" t="n">
        <v>45184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5107-2019</t>
        </is>
      </c>
      <c r="B880" s="1" t="n">
        <v>43487</v>
      </c>
      <c r="C880" s="1" t="n">
        <v>45184</v>
      </c>
      <c r="D880" t="inlineStr">
        <is>
          <t>KRONOBERGS LÄN</t>
        </is>
      </c>
      <c r="E880" t="inlineStr">
        <is>
          <t>TINGSRYD</t>
        </is>
      </c>
      <c r="G880" t="n">
        <v>7.1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4994-2019</t>
        </is>
      </c>
      <c r="B881" s="1" t="n">
        <v>43487</v>
      </c>
      <c r="C881" s="1" t="n">
        <v>45184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5004-2019</t>
        </is>
      </c>
      <c r="B882" s="1" t="n">
        <v>43487</v>
      </c>
      <c r="C882" s="1" t="n">
        <v>45184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5036-2019</t>
        </is>
      </c>
      <c r="B883" s="1" t="n">
        <v>43487</v>
      </c>
      <c r="C883" s="1" t="n">
        <v>45184</v>
      </c>
      <c r="D883" t="inlineStr">
        <is>
          <t>KRONOBERGS LÄN</t>
        </is>
      </c>
      <c r="E883" t="inlineStr">
        <is>
          <t>LJUNGBY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4983-2019</t>
        </is>
      </c>
      <c r="B884" s="1" t="n">
        <v>43487</v>
      </c>
      <c r="C884" s="1" t="n">
        <v>45184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4991-2019</t>
        </is>
      </c>
      <c r="B885" s="1" t="n">
        <v>43487</v>
      </c>
      <c r="C885" s="1" t="n">
        <v>45184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5003-2019</t>
        </is>
      </c>
      <c r="B886" s="1" t="n">
        <v>43487</v>
      </c>
      <c r="C886" s="1" t="n">
        <v>45184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8558-2019</t>
        </is>
      </c>
      <c r="B887" s="1" t="n">
        <v>43488</v>
      </c>
      <c r="C887" s="1" t="n">
        <v>45184</v>
      </c>
      <c r="D887" t="inlineStr">
        <is>
          <t>KRONOBERGS LÄN</t>
        </is>
      </c>
      <c r="E887" t="inlineStr">
        <is>
          <t>ALVESTA</t>
        </is>
      </c>
      <c r="G887" t="n">
        <v>2.9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5198-2019</t>
        </is>
      </c>
      <c r="B888" s="1" t="n">
        <v>43488</v>
      </c>
      <c r="C888" s="1" t="n">
        <v>45184</v>
      </c>
      <c r="D888" t="inlineStr">
        <is>
          <t>KRONOBERGS LÄN</t>
        </is>
      </c>
      <c r="E888" t="inlineStr">
        <is>
          <t>LESSEBO</t>
        </is>
      </c>
      <c r="G888" t="n">
        <v>9.4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5172-2019</t>
        </is>
      </c>
      <c r="B889" s="1" t="n">
        <v>43488</v>
      </c>
      <c r="C889" s="1" t="n">
        <v>45184</v>
      </c>
      <c r="D889" t="inlineStr">
        <is>
          <t>KRONOBERGS LÄN</t>
        </is>
      </c>
      <c r="E889" t="inlineStr">
        <is>
          <t>ÄLMHULT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5322-2019</t>
        </is>
      </c>
      <c r="B890" s="1" t="n">
        <v>43488</v>
      </c>
      <c r="C890" s="1" t="n">
        <v>45184</v>
      </c>
      <c r="D890" t="inlineStr">
        <is>
          <t>KRONOBERGS LÄN</t>
        </is>
      </c>
      <c r="E890" t="inlineStr">
        <is>
          <t>ALVESTA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5272-2019</t>
        </is>
      </c>
      <c r="B891" s="1" t="n">
        <v>43488</v>
      </c>
      <c r="C891" s="1" t="n">
        <v>45184</v>
      </c>
      <c r="D891" t="inlineStr">
        <is>
          <t>KRONOBERGS LÄN</t>
        </is>
      </c>
      <c r="E891" t="inlineStr">
        <is>
          <t>LESSEBO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5361-2019</t>
        </is>
      </c>
      <c r="B892" s="1" t="n">
        <v>43488</v>
      </c>
      <c r="C892" s="1" t="n">
        <v>45184</v>
      </c>
      <c r="D892" t="inlineStr">
        <is>
          <t>KRONOBERGS LÄN</t>
        </is>
      </c>
      <c r="E892" t="inlineStr">
        <is>
          <t>LESSEBO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5140-2019</t>
        </is>
      </c>
      <c r="B893" s="1" t="n">
        <v>43488</v>
      </c>
      <c r="C893" s="1" t="n">
        <v>45184</v>
      </c>
      <c r="D893" t="inlineStr">
        <is>
          <t>KRONOBERGS LÄN</t>
        </is>
      </c>
      <c r="E893" t="inlineStr">
        <is>
          <t>VÄXJÖ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5426-2019</t>
        </is>
      </c>
      <c r="B894" s="1" t="n">
        <v>43489</v>
      </c>
      <c r="C894" s="1" t="n">
        <v>45184</v>
      </c>
      <c r="D894" t="inlineStr">
        <is>
          <t>KRONOBERGS LÄN</t>
        </is>
      </c>
      <c r="E894" t="inlineStr">
        <is>
          <t>TINGSRYD</t>
        </is>
      </c>
      <c r="G894" t="n">
        <v>3.6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5575-2019</t>
        </is>
      </c>
      <c r="B895" s="1" t="n">
        <v>43489</v>
      </c>
      <c r="C895" s="1" t="n">
        <v>45184</v>
      </c>
      <c r="D895" t="inlineStr">
        <is>
          <t>KRONOBERGS LÄN</t>
        </is>
      </c>
      <c r="E895" t="inlineStr">
        <is>
          <t>TINGSRYD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5670-2019</t>
        </is>
      </c>
      <c r="B896" s="1" t="n">
        <v>43489</v>
      </c>
      <c r="C896" s="1" t="n">
        <v>45184</v>
      </c>
      <c r="D896" t="inlineStr">
        <is>
          <t>KRONOBERGS LÄN</t>
        </is>
      </c>
      <c r="E896" t="inlineStr">
        <is>
          <t>UPPVIDINGE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6987-2019</t>
        </is>
      </c>
      <c r="B897" s="1" t="n">
        <v>43489</v>
      </c>
      <c r="C897" s="1" t="n">
        <v>45184</v>
      </c>
      <c r="D897" t="inlineStr">
        <is>
          <t>KRONOBERGS LÄN</t>
        </is>
      </c>
      <c r="E897" t="inlineStr">
        <is>
          <t>ALVESTA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5427-2019</t>
        </is>
      </c>
      <c r="B898" s="1" t="n">
        <v>43489</v>
      </c>
      <c r="C898" s="1" t="n">
        <v>45184</v>
      </c>
      <c r="D898" t="inlineStr">
        <is>
          <t>KRONOBERGS LÄN</t>
        </is>
      </c>
      <c r="E898" t="inlineStr">
        <is>
          <t>VÄXJÖ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5429-2019</t>
        </is>
      </c>
      <c r="B899" s="1" t="n">
        <v>43489</v>
      </c>
      <c r="C899" s="1" t="n">
        <v>45184</v>
      </c>
      <c r="D899" t="inlineStr">
        <is>
          <t>KRONOBERGS LÄN</t>
        </is>
      </c>
      <c r="E899" t="inlineStr">
        <is>
          <t>TINGSRYD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5441-2019</t>
        </is>
      </c>
      <c r="B900" s="1" t="n">
        <v>43489</v>
      </c>
      <c r="C900" s="1" t="n">
        <v>45184</v>
      </c>
      <c r="D900" t="inlineStr">
        <is>
          <t>KRONOBERGS LÄN</t>
        </is>
      </c>
      <c r="E900" t="inlineStr">
        <is>
          <t>LJUNGBY</t>
        </is>
      </c>
      <c r="G900" t="n">
        <v>0.4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5665-2019</t>
        </is>
      </c>
      <c r="B901" s="1" t="n">
        <v>43489</v>
      </c>
      <c r="C901" s="1" t="n">
        <v>45184</v>
      </c>
      <c r="D901" t="inlineStr">
        <is>
          <t>KRONOBERGS LÄN</t>
        </is>
      </c>
      <c r="E901" t="inlineStr">
        <is>
          <t>ÄLMHULT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5425-2019</t>
        </is>
      </c>
      <c r="B902" s="1" t="n">
        <v>43489</v>
      </c>
      <c r="C902" s="1" t="n">
        <v>45184</v>
      </c>
      <c r="D902" t="inlineStr">
        <is>
          <t>KRONOBERGS LÄN</t>
        </is>
      </c>
      <c r="E902" t="inlineStr">
        <is>
          <t>TINGSRYD</t>
        </is>
      </c>
      <c r="G902" t="n">
        <v>3.6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5902-2019</t>
        </is>
      </c>
      <c r="B903" s="1" t="n">
        <v>43490</v>
      </c>
      <c r="C903" s="1" t="n">
        <v>45184</v>
      </c>
      <c r="D903" t="inlineStr">
        <is>
          <t>KRONOBERGS LÄN</t>
        </is>
      </c>
      <c r="E903" t="inlineStr">
        <is>
          <t>VÄXJÖ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5828-2019</t>
        </is>
      </c>
      <c r="B904" s="1" t="n">
        <v>43490</v>
      </c>
      <c r="C904" s="1" t="n">
        <v>45184</v>
      </c>
      <c r="D904" t="inlineStr">
        <is>
          <t>KRONOBERGS LÄN</t>
        </is>
      </c>
      <c r="E904" t="inlineStr">
        <is>
          <t>LJUNGBY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5906-2019</t>
        </is>
      </c>
      <c r="B905" s="1" t="n">
        <v>43490</v>
      </c>
      <c r="C905" s="1" t="n">
        <v>45184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5877-2019</t>
        </is>
      </c>
      <c r="B906" s="1" t="n">
        <v>43490</v>
      </c>
      <c r="C906" s="1" t="n">
        <v>45184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6086-2019</t>
        </is>
      </c>
      <c r="B907" s="1" t="n">
        <v>43493</v>
      </c>
      <c r="C907" s="1" t="n">
        <v>45184</v>
      </c>
      <c r="D907" t="inlineStr">
        <is>
          <t>KRONOBERGS LÄN</t>
        </is>
      </c>
      <c r="E907" t="inlineStr">
        <is>
          <t>TINGSRYD</t>
        </is>
      </c>
      <c r="G907" t="n">
        <v>2.8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6135-2019</t>
        </is>
      </c>
      <c r="B908" s="1" t="n">
        <v>43493</v>
      </c>
      <c r="C908" s="1" t="n">
        <v>45184</v>
      </c>
      <c r="D908" t="inlineStr">
        <is>
          <t>KRONOBERGS LÄN</t>
        </is>
      </c>
      <c r="E908" t="inlineStr">
        <is>
          <t>UPPVIDINGE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6257-2019</t>
        </is>
      </c>
      <c r="B909" s="1" t="n">
        <v>43493</v>
      </c>
      <c r="C909" s="1" t="n">
        <v>45184</v>
      </c>
      <c r="D909" t="inlineStr">
        <is>
          <t>KRONOBERGS LÄN</t>
        </is>
      </c>
      <c r="E909" t="inlineStr">
        <is>
          <t>LJUNGBY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6307-2019</t>
        </is>
      </c>
      <c r="B910" s="1" t="n">
        <v>43493</v>
      </c>
      <c r="C910" s="1" t="n">
        <v>45184</v>
      </c>
      <c r="D910" t="inlineStr">
        <is>
          <t>KRONOBERGS LÄN</t>
        </is>
      </c>
      <c r="E910" t="inlineStr">
        <is>
          <t>TINGSRYD</t>
        </is>
      </c>
      <c r="G910" t="n">
        <v>3.7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6317-2019</t>
        </is>
      </c>
      <c r="B911" s="1" t="n">
        <v>43493</v>
      </c>
      <c r="C911" s="1" t="n">
        <v>45184</v>
      </c>
      <c r="D911" t="inlineStr">
        <is>
          <t>KRONOBERGS LÄN</t>
        </is>
      </c>
      <c r="E911" t="inlineStr">
        <is>
          <t>LESSEBO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6358-2019</t>
        </is>
      </c>
      <c r="B912" s="1" t="n">
        <v>43493</v>
      </c>
      <c r="C912" s="1" t="n">
        <v>45184</v>
      </c>
      <c r="D912" t="inlineStr">
        <is>
          <t>KRONOBERGS LÄN</t>
        </is>
      </c>
      <c r="E912" t="inlineStr">
        <is>
          <t>LJUNGBY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6372-2019</t>
        </is>
      </c>
      <c r="B913" s="1" t="n">
        <v>43493</v>
      </c>
      <c r="C913" s="1" t="n">
        <v>45184</v>
      </c>
      <c r="D913" t="inlineStr">
        <is>
          <t>KRONOBERGS LÄN</t>
        </is>
      </c>
      <c r="E913" t="inlineStr">
        <is>
          <t>VÄXJÖ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5997-2019</t>
        </is>
      </c>
      <c r="B914" s="1" t="n">
        <v>43493</v>
      </c>
      <c r="C914" s="1" t="n">
        <v>45184</v>
      </c>
      <c r="D914" t="inlineStr">
        <is>
          <t>KRONOBERGS LÄN</t>
        </is>
      </c>
      <c r="E914" t="inlineStr">
        <is>
          <t>LESSEBO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6011-2019</t>
        </is>
      </c>
      <c r="B915" s="1" t="n">
        <v>43493</v>
      </c>
      <c r="C915" s="1" t="n">
        <v>45184</v>
      </c>
      <c r="D915" t="inlineStr">
        <is>
          <t>KRONOBERGS LÄN</t>
        </is>
      </c>
      <c r="E915" t="inlineStr">
        <is>
          <t>LESSEBO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6298-2019</t>
        </is>
      </c>
      <c r="B916" s="1" t="n">
        <v>43493</v>
      </c>
      <c r="C916" s="1" t="n">
        <v>45184</v>
      </c>
      <c r="D916" t="inlineStr">
        <is>
          <t>KRONOBERGS LÄN</t>
        </is>
      </c>
      <c r="E916" t="inlineStr">
        <is>
          <t>ALVESTA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6322-2019</t>
        </is>
      </c>
      <c r="B917" s="1" t="n">
        <v>43493</v>
      </c>
      <c r="C917" s="1" t="n">
        <v>45184</v>
      </c>
      <c r="D917" t="inlineStr">
        <is>
          <t>KRONOBERGS LÄN</t>
        </is>
      </c>
      <c r="E917" t="inlineStr">
        <is>
          <t>UPPVIDINGE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6348-2019</t>
        </is>
      </c>
      <c r="B918" s="1" t="n">
        <v>43493</v>
      </c>
      <c r="C918" s="1" t="n">
        <v>45184</v>
      </c>
      <c r="D918" t="inlineStr">
        <is>
          <t>KRONOBERGS LÄN</t>
        </is>
      </c>
      <c r="E918" t="inlineStr">
        <is>
          <t>ALVESTA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6263-2019</t>
        </is>
      </c>
      <c r="B919" s="1" t="n">
        <v>43493</v>
      </c>
      <c r="C919" s="1" t="n">
        <v>45184</v>
      </c>
      <c r="D919" t="inlineStr">
        <is>
          <t>KRONOBERGS LÄN</t>
        </is>
      </c>
      <c r="E919" t="inlineStr">
        <is>
          <t>VÄXJÖ</t>
        </is>
      </c>
      <c r="G919" t="n">
        <v>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6093-2019</t>
        </is>
      </c>
      <c r="B920" s="1" t="n">
        <v>43493</v>
      </c>
      <c r="C920" s="1" t="n">
        <v>45184</v>
      </c>
      <c r="D920" t="inlineStr">
        <is>
          <t>KRONOBERGS LÄN</t>
        </is>
      </c>
      <c r="E920" t="inlineStr">
        <is>
          <t>ALVESTA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6100-2019</t>
        </is>
      </c>
      <c r="B921" s="1" t="n">
        <v>43493</v>
      </c>
      <c r="C921" s="1" t="n">
        <v>45184</v>
      </c>
      <c r="D921" t="inlineStr">
        <is>
          <t>KRONOBERGS LÄN</t>
        </is>
      </c>
      <c r="E921" t="inlineStr">
        <is>
          <t>TINGSRYD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6349-2019</t>
        </is>
      </c>
      <c r="B922" s="1" t="n">
        <v>43493</v>
      </c>
      <c r="C922" s="1" t="n">
        <v>45184</v>
      </c>
      <c r="D922" t="inlineStr">
        <is>
          <t>KRONOBERGS LÄN</t>
        </is>
      </c>
      <c r="E922" t="inlineStr">
        <is>
          <t>ALVESTA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6658-2019</t>
        </is>
      </c>
      <c r="B923" s="1" t="n">
        <v>43494</v>
      </c>
      <c r="C923" s="1" t="n">
        <v>45184</v>
      </c>
      <c r="D923" t="inlineStr">
        <is>
          <t>KRONOBERGS LÄN</t>
        </is>
      </c>
      <c r="E923" t="inlineStr">
        <is>
          <t>TINGSRYD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7786-2019</t>
        </is>
      </c>
      <c r="B924" s="1" t="n">
        <v>43494</v>
      </c>
      <c r="C924" s="1" t="n">
        <v>45184</v>
      </c>
      <c r="D924" t="inlineStr">
        <is>
          <t>KRONOBERGS LÄN</t>
        </is>
      </c>
      <c r="E924" t="inlineStr">
        <is>
          <t>ALVESTA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6484-2019</t>
        </is>
      </c>
      <c r="B925" s="1" t="n">
        <v>43494</v>
      </c>
      <c r="C925" s="1" t="n">
        <v>45184</v>
      </c>
      <c r="D925" t="inlineStr">
        <is>
          <t>KRONOBERGS LÄN</t>
        </is>
      </c>
      <c r="E925" t="inlineStr">
        <is>
          <t>MARKARYD</t>
        </is>
      </c>
      <c r="F925" t="inlineStr">
        <is>
          <t>Kommuner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6652-2019</t>
        </is>
      </c>
      <c r="B926" s="1" t="n">
        <v>43494</v>
      </c>
      <c r="C926" s="1" t="n">
        <v>45184</v>
      </c>
      <c r="D926" t="inlineStr">
        <is>
          <t>KRONOBERGS LÄN</t>
        </is>
      </c>
      <c r="E926" t="inlineStr">
        <is>
          <t>TINGSRYD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6441-2019</t>
        </is>
      </c>
      <c r="B927" s="1" t="n">
        <v>43494</v>
      </c>
      <c r="C927" s="1" t="n">
        <v>45184</v>
      </c>
      <c r="D927" t="inlineStr">
        <is>
          <t>KRONOBERGS LÄN</t>
        </is>
      </c>
      <c r="E927" t="inlineStr">
        <is>
          <t>TINGSRYD</t>
        </is>
      </c>
      <c r="F927" t="inlineStr">
        <is>
          <t>Övriga Aktiebolag</t>
        </is>
      </c>
      <c r="G927" t="n">
        <v>8.4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6648-2019</t>
        </is>
      </c>
      <c r="B928" s="1" t="n">
        <v>43494</v>
      </c>
      <c r="C928" s="1" t="n">
        <v>45184</v>
      </c>
      <c r="D928" t="inlineStr">
        <is>
          <t>KRONOBERGS LÄN</t>
        </is>
      </c>
      <c r="E928" t="inlineStr">
        <is>
          <t>TINGSRYD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6692-2019</t>
        </is>
      </c>
      <c r="B929" s="1" t="n">
        <v>43494</v>
      </c>
      <c r="C929" s="1" t="n">
        <v>45184</v>
      </c>
      <c r="D929" t="inlineStr">
        <is>
          <t>KRONOBERGS LÄN</t>
        </is>
      </c>
      <c r="E929" t="inlineStr">
        <is>
          <t>TINGSRYD</t>
        </is>
      </c>
      <c r="G929" t="n">
        <v>7.3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6798-2019</t>
        </is>
      </c>
      <c r="B930" s="1" t="n">
        <v>43495</v>
      </c>
      <c r="C930" s="1" t="n">
        <v>45184</v>
      </c>
      <c r="D930" t="inlineStr">
        <is>
          <t>KRONOBERGS LÄN</t>
        </is>
      </c>
      <c r="E930" t="inlineStr">
        <is>
          <t>VÄXJÖ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6868-2019</t>
        </is>
      </c>
      <c r="B931" s="1" t="n">
        <v>43495</v>
      </c>
      <c r="C931" s="1" t="n">
        <v>45184</v>
      </c>
      <c r="D931" t="inlineStr">
        <is>
          <t>KRONOBERGS LÄN</t>
        </is>
      </c>
      <c r="E931" t="inlineStr">
        <is>
          <t>TINGSRYD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6927-2019</t>
        </is>
      </c>
      <c r="B932" s="1" t="n">
        <v>43495</v>
      </c>
      <c r="C932" s="1" t="n">
        <v>45184</v>
      </c>
      <c r="D932" t="inlineStr">
        <is>
          <t>KRONOBERGS LÄN</t>
        </is>
      </c>
      <c r="E932" t="inlineStr">
        <is>
          <t>LJUNGBY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7037-2019</t>
        </is>
      </c>
      <c r="B933" s="1" t="n">
        <v>43495</v>
      </c>
      <c r="C933" s="1" t="n">
        <v>45184</v>
      </c>
      <c r="D933" t="inlineStr">
        <is>
          <t>KRONOBERGS LÄN</t>
        </is>
      </c>
      <c r="E933" t="inlineStr">
        <is>
          <t>LESSEBO</t>
        </is>
      </c>
      <c r="F933" t="inlineStr">
        <is>
          <t>Sveaskog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7237-2019</t>
        </is>
      </c>
      <c r="B934" s="1" t="n">
        <v>43495</v>
      </c>
      <c r="C934" s="1" t="n">
        <v>45184</v>
      </c>
      <c r="D934" t="inlineStr">
        <is>
          <t>KRONOBERGS LÄN</t>
        </is>
      </c>
      <c r="E934" t="inlineStr">
        <is>
          <t>VÄXJÖ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8235-2019</t>
        </is>
      </c>
      <c r="B935" s="1" t="n">
        <v>43496</v>
      </c>
      <c r="C935" s="1" t="n">
        <v>45184</v>
      </c>
      <c r="D935" t="inlineStr">
        <is>
          <t>KRONOBERGS LÄN</t>
        </is>
      </c>
      <c r="E935" t="inlineStr">
        <is>
          <t>LJUNGBY</t>
        </is>
      </c>
      <c r="G935" t="n">
        <v>9.300000000000001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8385-2019</t>
        </is>
      </c>
      <c r="B936" s="1" t="n">
        <v>43496</v>
      </c>
      <c r="C936" s="1" t="n">
        <v>45184</v>
      </c>
      <c r="D936" t="inlineStr">
        <is>
          <t>KRONOBERGS LÄN</t>
        </is>
      </c>
      <c r="E936" t="inlineStr">
        <is>
          <t>UPPVIDINGE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7087-2019</t>
        </is>
      </c>
      <c r="B937" s="1" t="n">
        <v>43496</v>
      </c>
      <c r="C937" s="1" t="n">
        <v>45184</v>
      </c>
      <c r="D937" t="inlineStr">
        <is>
          <t>KRONOBERGS LÄN</t>
        </is>
      </c>
      <c r="E937" t="inlineStr">
        <is>
          <t>VÄXJÖ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7263-2019</t>
        </is>
      </c>
      <c r="B938" s="1" t="n">
        <v>43496</v>
      </c>
      <c r="C938" s="1" t="n">
        <v>45184</v>
      </c>
      <c r="D938" t="inlineStr">
        <is>
          <t>KRONOBERGS LÄN</t>
        </is>
      </c>
      <c r="E938" t="inlineStr">
        <is>
          <t>VÄXJÖ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7324-2019</t>
        </is>
      </c>
      <c r="B939" s="1" t="n">
        <v>43496</v>
      </c>
      <c r="C939" s="1" t="n">
        <v>45184</v>
      </c>
      <c r="D939" t="inlineStr">
        <is>
          <t>KRONOBERGS LÄN</t>
        </is>
      </c>
      <c r="E939" t="inlineStr">
        <is>
          <t>VÄXJÖ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7095-2019</t>
        </is>
      </c>
      <c r="B940" s="1" t="n">
        <v>43496</v>
      </c>
      <c r="C940" s="1" t="n">
        <v>45184</v>
      </c>
      <c r="D940" t="inlineStr">
        <is>
          <t>KRONOBERGS LÄN</t>
        </is>
      </c>
      <c r="E940" t="inlineStr">
        <is>
          <t>UPPVIDINGE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7197-2019</t>
        </is>
      </c>
      <c r="B941" s="1" t="n">
        <v>43496</v>
      </c>
      <c r="C941" s="1" t="n">
        <v>45184</v>
      </c>
      <c r="D941" t="inlineStr">
        <is>
          <t>KRONOBERGS LÄN</t>
        </is>
      </c>
      <c r="E941" t="inlineStr">
        <is>
          <t>ALVESTA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7325-2019</t>
        </is>
      </c>
      <c r="B942" s="1" t="n">
        <v>43496</v>
      </c>
      <c r="C942" s="1" t="n">
        <v>45184</v>
      </c>
      <c r="D942" t="inlineStr">
        <is>
          <t>KRONOBERGS LÄN</t>
        </is>
      </c>
      <c r="E942" t="inlineStr">
        <is>
          <t>VÄXJÖ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7101-2019</t>
        </is>
      </c>
      <c r="B943" s="1" t="n">
        <v>43496</v>
      </c>
      <c r="C943" s="1" t="n">
        <v>45184</v>
      </c>
      <c r="D943" t="inlineStr">
        <is>
          <t>KRONOBERGS LÄN</t>
        </is>
      </c>
      <c r="E943" t="inlineStr">
        <is>
          <t>UPPVIDINGE</t>
        </is>
      </c>
      <c r="G943" t="n">
        <v>11.4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7290-2019</t>
        </is>
      </c>
      <c r="B944" s="1" t="n">
        <v>43496</v>
      </c>
      <c r="C944" s="1" t="n">
        <v>45184</v>
      </c>
      <c r="D944" t="inlineStr">
        <is>
          <t>KRONOBERGS LÄN</t>
        </is>
      </c>
      <c r="E944" t="inlineStr">
        <is>
          <t>VÄXJÖ</t>
        </is>
      </c>
      <c r="G944" t="n">
        <v>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8240-2019</t>
        </is>
      </c>
      <c r="B945" s="1" t="n">
        <v>43496</v>
      </c>
      <c r="C945" s="1" t="n">
        <v>45184</v>
      </c>
      <c r="D945" t="inlineStr">
        <is>
          <t>KRONOBERGS LÄN</t>
        </is>
      </c>
      <c r="E945" t="inlineStr">
        <is>
          <t>LJUNGBY</t>
        </is>
      </c>
      <c r="G945" t="n">
        <v>3.6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7556-2019</t>
        </is>
      </c>
      <c r="B946" s="1" t="n">
        <v>43497</v>
      </c>
      <c r="C946" s="1" t="n">
        <v>45184</v>
      </c>
      <c r="D946" t="inlineStr">
        <is>
          <t>KRONOBERGS LÄN</t>
        </is>
      </c>
      <c r="E946" t="inlineStr">
        <is>
          <t>VÄXJÖ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8400-2019</t>
        </is>
      </c>
      <c r="B947" s="1" t="n">
        <v>43497</v>
      </c>
      <c r="C947" s="1" t="n">
        <v>45184</v>
      </c>
      <c r="D947" t="inlineStr">
        <is>
          <t>KRONOBERGS LÄN</t>
        </is>
      </c>
      <c r="E947" t="inlineStr">
        <is>
          <t>ALVESTA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8461-2019</t>
        </is>
      </c>
      <c r="B948" s="1" t="n">
        <v>43497</v>
      </c>
      <c r="C948" s="1" t="n">
        <v>45184</v>
      </c>
      <c r="D948" t="inlineStr">
        <is>
          <t>KRONOBERGS LÄN</t>
        </is>
      </c>
      <c r="E948" t="inlineStr">
        <is>
          <t>LJUNGBY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7484-2019</t>
        </is>
      </c>
      <c r="B949" s="1" t="n">
        <v>43497</v>
      </c>
      <c r="C949" s="1" t="n">
        <v>45184</v>
      </c>
      <c r="D949" t="inlineStr">
        <is>
          <t>KRONOBERGS LÄN</t>
        </is>
      </c>
      <c r="E949" t="inlineStr">
        <is>
          <t>TINGSRYD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8472-2019</t>
        </is>
      </c>
      <c r="B950" s="1" t="n">
        <v>43497</v>
      </c>
      <c r="C950" s="1" t="n">
        <v>45184</v>
      </c>
      <c r="D950" t="inlineStr">
        <is>
          <t>KRONOBERGS LÄN</t>
        </is>
      </c>
      <c r="E950" t="inlineStr">
        <is>
          <t>LJUNGBY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7564-2019</t>
        </is>
      </c>
      <c r="B951" s="1" t="n">
        <v>43497</v>
      </c>
      <c r="C951" s="1" t="n">
        <v>45184</v>
      </c>
      <c r="D951" t="inlineStr">
        <is>
          <t>KRONOBERGS LÄN</t>
        </is>
      </c>
      <c r="E951" t="inlineStr">
        <is>
          <t>UPPVIDINGE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7712-2019</t>
        </is>
      </c>
      <c r="B952" s="1" t="n">
        <v>43497</v>
      </c>
      <c r="C952" s="1" t="n">
        <v>45184</v>
      </c>
      <c r="D952" t="inlineStr">
        <is>
          <t>KRONOBERGS LÄN</t>
        </is>
      </c>
      <c r="E952" t="inlineStr">
        <is>
          <t>LJUNGBY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7583-2019</t>
        </is>
      </c>
      <c r="B953" s="1" t="n">
        <v>43498</v>
      </c>
      <c r="C953" s="1" t="n">
        <v>45184</v>
      </c>
      <c r="D953" t="inlineStr">
        <is>
          <t>KRONOBERGS LÄN</t>
        </is>
      </c>
      <c r="E953" t="inlineStr">
        <is>
          <t>LESSEBO</t>
        </is>
      </c>
      <c r="F953" t="inlineStr">
        <is>
          <t>Sveaskog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7740-2019</t>
        </is>
      </c>
      <c r="B954" s="1" t="n">
        <v>43500</v>
      </c>
      <c r="C954" s="1" t="n">
        <v>45184</v>
      </c>
      <c r="D954" t="inlineStr">
        <is>
          <t>KRONOBERGS LÄN</t>
        </is>
      </c>
      <c r="E954" t="inlineStr">
        <is>
          <t>VÄXJÖ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7750-2019</t>
        </is>
      </c>
      <c r="B955" s="1" t="n">
        <v>43500</v>
      </c>
      <c r="C955" s="1" t="n">
        <v>45184</v>
      </c>
      <c r="D955" t="inlineStr">
        <is>
          <t>KRONOBERGS LÄN</t>
        </is>
      </c>
      <c r="E955" t="inlineStr">
        <is>
          <t>TINGSRYD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7823-2019</t>
        </is>
      </c>
      <c r="B956" s="1" t="n">
        <v>43500</v>
      </c>
      <c r="C956" s="1" t="n">
        <v>45184</v>
      </c>
      <c r="D956" t="inlineStr">
        <is>
          <t>KRONOBERGS LÄN</t>
        </is>
      </c>
      <c r="E956" t="inlineStr">
        <is>
          <t>UPPVIDINGE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7870-2019</t>
        </is>
      </c>
      <c r="B957" s="1" t="n">
        <v>43500</v>
      </c>
      <c r="C957" s="1" t="n">
        <v>45184</v>
      </c>
      <c r="D957" t="inlineStr">
        <is>
          <t>KRONOBERGS LÄN</t>
        </is>
      </c>
      <c r="E957" t="inlineStr">
        <is>
          <t>VÄXJÖ</t>
        </is>
      </c>
      <c r="F957" t="inlineStr">
        <is>
          <t>Sveaskog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8481-2019</t>
        </is>
      </c>
      <c r="B958" s="1" t="n">
        <v>43500</v>
      </c>
      <c r="C958" s="1" t="n">
        <v>45184</v>
      </c>
      <c r="D958" t="inlineStr">
        <is>
          <t>KRONOBERGS LÄN</t>
        </is>
      </c>
      <c r="E958" t="inlineStr">
        <is>
          <t>VÄXJÖ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7755-2019</t>
        </is>
      </c>
      <c r="B959" s="1" t="n">
        <v>43500</v>
      </c>
      <c r="C959" s="1" t="n">
        <v>45184</v>
      </c>
      <c r="D959" t="inlineStr">
        <is>
          <t>KRONOBERGS LÄN</t>
        </is>
      </c>
      <c r="E959" t="inlineStr">
        <is>
          <t>TINGSRYD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8439-2019</t>
        </is>
      </c>
      <c r="B960" s="1" t="n">
        <v>43500</v>
      </c>
      <c r="C960" s="1" t="n">
        <v>45184</v>
      </c>
      <c r="D960" t="inlineStr">
        <is>
          <t>KRONOBERGS LÄN</t>
        </is>
      </c>
      <c r="E960" t="inlineStr">
        <is>
          <t>UPPVIDINGE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7638-2019</t>
        </is>
      </c>
      <c r="B961" s="1" t="n">
        <v>43500</v>
      </c>
      <c r="C961" s="1" t="n">
        <v>45184</v>
      </c>
      <c r="D961" t="inlineStr">
        <is>
          <t>KRONOBERGS LÄN</t>
        </is>
      </c>
      <c r="E961" t="inlineStr">
        <is>
          <t>LJUNGBY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7675-2019</t>
        </is>
      </c>
      <c r="B962" s="1" t="n">
        <v>43500</v>
      </c>
      <c r="C962" s="1" t="n">
        <v>45184</v>
      </c>
      <c r="D962" t="inlineStr">
        <is>
          <t>KRONOBERGS LÄN</t>
        </is>
      </c>
      <c r="E962" t="inlineStr">
        <is>
          <t>ALVESTA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7745-2019</t>
        </is>
      </c>
      <c r="B963" s="1" t="n">
        <v>43500</v>
      </c>
      <c r="C963" s="1" t="n">
        <v>45184</v>
      </c>
      <c r="D963" t="inlineStr">
        <is>
          <t>KRONOBERGS LÄN</t>
        </is>
      </c>
      <c r="E963" t="inlineStr">
        <is>
          <t>VÄXJÖ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7719-2019</t>
        </is>
      </c>
      <c r="B964" s="1" t="n">
        <v>43500</v>
      </c>
      <c r="C964" s="1" t="n">
        <v>45184</v>
      </c>
      <c r="D964" t="inlineStr">
        <is>
          <t>KRONOBERGS LÄN</t>
        </is>
      </c>
      <c r="E964" t="inlineStr">
        <is>
          <t>VÄXJÖ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7743-2019</t>
        </is>
      </c>
      <c r="B965" s="1" t="n">
        <v>43500</v>
      </c>
      <c r="C965" s="1" t="n">
        <v>45184</v>
      </c>
      <c r="D965" t="inlineStr">
        <is>
          <t>KRONOBERGS LÄN</t>
        </is>
      </c>
      <c r="E965" t="inlineStr">
        <is>
          <t>VÄXJÖ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7818-2019</t>
        </is>
      </c>
      <c r="B966" s="1" t="n">
        <v>43500</v>
      </c>
      <c r="C966" s="1" t="n">
        <v>45184</v>
      </c>
      <c r="D966" t="inlineStr">
        <is>
          <t>KRONOBERGS LÄN</t>
        </is>
      </c>
      <c r="E966" t="inlineStr">
        <is>
          <t>UPPVIDINGE</t>
        </is>
      </c>
      <c r="G966" t="n">
        <v>0.1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8219-2019</t>
        </is>
      </c>
      <c r="B967" s="1" t="n">
        <v>43501</v>
      </c>
      <c r="C967" s="1" t="n">
        <v>45184</v>
      </c>
      <c r="D967" t="inlineStr">
        <is>
          <t>KRONOBERGS LÄN</t>
        </is>
      </c>
      <c r="E967" t="inlineStr">
        <is>
          <t>UPPVIDINGE</t>
        </is>
      </c>
      <c r="G967" t="n">
        <v>5.5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8107-2019</t>
        </is>
      </c>
      <c r="B968" s="1" t="n">
        <v>43501</v>
      </c>
      <c r="C968" s="1" t="n">
        <v>45184</v>
      </c>
      <c r="D968" t="inlineStr">
        <is>
          <t>KRONOBERGS LÄN</t>
        </is>
      </c>
      <c r="E968" t="inlineStr">
        <is>
          <t>TINGSRYD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8016-2019</t>
        </is>
      </c>
      <c r="B969" s="1" t="n">
        <v>43501</v>
      </c>
      <c r="C969" s="1" t="n">
        <v>45184</v>
      </c>
      <c r="D969" t="inlineStr">
        <is>
          <t>KRONOBERGS LÄN</t>
        </is>
      </c>
      <c r="E969" t="inlineStr">
        <is>
          <t>VÄXJÖ</t>
        </is>
      </c>
      <c r="F969" t="inlineStr">
        <is>
          <t>Sveaskog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8111-2019</t>
        </is>
      </c>
      <c r="B970" s="1" t="n">
        <v>43501</v>
      </c>
      <c r="C970" s="1" t="n">
        <v>45184</v>
      </c>
      <c r="D970" t="inlineStr">
        <is>
          <t>KRONOBERGS LÄN</t>
        </is>
      </c>
      <c r="E970" t="inlineStr">
        <is>
          <t>TINGSRYD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8148-2019</t>
        </is>
      </c>
      <c r="B971" s="1" t="n">
        <v>43501</v>
      </c>
      <c r="C971" s="1" t="n">
        <v>45184</v>
      </c>
      <c r="D971" t="inlineStr">
        <is>
          <t>KRONOBERGS LÄN</t>
        </is>
      </c>
      <c r="E971" t="inlineStr">
        <is>
          <t>ÄLMHULT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8540-2019</t>
        </is>
      </c>
      <c r="B972" s="1" t="n">
        <v>43502</v>
      </c>
      <c r="C972" s="1" t="n">
        <v>45184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8539-2019</t>
        </is>
      </c>
      <c r="B973" s="1" t="n">
        <v>43502</v>
      </c>
      <c r="C973" s="1" t="n">
        <v>45184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8546-2019</t>
        </is>
      </c>
      <c r="B974" s="1" t="n">
        <v>43502</v>
      </c>
      <c r="C974" s="1" t="n">
        <v>45184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8423-2019</t>
        </is>
      </c>
      <c r="B975" s="1" t="n">
        <v>43502</v>
      </c>
      <c r="C975" s="1" t="n">
        <v>45184</v>
      </c>
      <c r="D975" t="inlineStr">
        <is>
          <t>KRONOBERGS LÄN</t>
        </is>
      </c>
      <c r="E975" t="inlineStr">
        <is>
          <t>LESSEBO</t>
        </is>
      </c>
      <c r="G975" t="n">
        <v>6.4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8526-2019</t>
        </is>
      </c>
      <c r="B976" s="1" t="n">
        <v>43502</v>
      </c>
      <c r="C976" s="1" t="n">
        <v>45184</v>
      </c>
      <c r="D976" t="inlineStr">
        <is>
          <t>KRONOBERGS LÄN</t>
        </is>
      </c>
      <c r="E976" t="inlineStr">
        <is>
          <t>ALVESTA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8603-2019</t>
        </is>
      </c>
      <c r="B977" s="1" t="n">
        <v>43503</v>
      </c>
      <c r="C977" s="1" t="n">
        <v>45184</v>
      </c>
      <c r="D977" t="inlineStr">
        <is>
          <t>KRONOBERGS LÄN</t>
        </is>
      </c>
      <c r="E977" t="inlineStr">
        <is>
          <t>LJUNGBY</t>
        </is>
      </c>
      <c r="G977" t="n">
        <v>3.1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8827-2019</t>
        </is>
      </c>
      <c r="B978" s="1" t="n">
        <v>43503</v>
      </c>
      <c r="C978" s="1" t="n">
        <v>45184</v>
      </c>
      <c r="D978" t="inlineStr">
        <is>
          <t>KRONOBERGS LÄN</t>
        </is>
      </c>
      <c r="E978" t="inlineStr">
        <is>
          <t>UPPVIDINGE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8943-2019</t>
        </is>
      </c>
      <c r="B979" s="1" t="n">
        <v>43503</v>
      </c>
      <c r="C979" s="1" t="n">
        <v>45184</v>
      </c>
      <c r="D979" t="inlineStr">
        <is>
          <t>KRONOBERGS LÄN</t>
        </is>
      </c>
      <c r="E979" t="inlineStr">
        <is>
          <t>TINGSRYD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8615-2019</t>
        </is>
      </c>
      <c r="B980" s="1" t="n">
        <v>43503</v>
      </c>
      <c r="C980" s="1" t="n">
        <v>45184</v>
      </c>
      <c r="D980" t="inlineStr">
        <is>
          <t>KRONOBERGS LÄN</t>
        </is>
      </c>
      <c r="E980" t="inlineStr">
        <is>
          <t>LJUNGBY</t>
        </is>
      </c>
      <c r="G980" t="n">
        <v>3.8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8618-2019</t>
        </is>
      </c>
      <c r="B981" s="1" t="n">
        <v>43503</v>
      </c>
      <c r="C981" s="1" t="n">
        <v>45184</v>
      </c>
      <c r="D981" t="inlineStr">
        <is>
          <t>KRONOBERGS LÄN</t>
        </is>
      </c>
      <c r="E981" t="inlineStr">
        <is>
          <t>LJUNGBY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8667-2019</t>
        </is>
      </c>
      <c r="B982" s="1" t="n">
        <v>43503</v>
      </c>
      <c r="C982" s="1" t="n">
        <v>45184</v>
      </c>
      <c r="D982" t="inlineStr">
        <is>
          <t>KRONOBERGS LÄN</t>
        </is>
      </c>
      <c r="E982" t="inlineStr">
        <is>
          <t>ALVESTA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9237-2019</t>
        </is>
      </c>
      <c r="B983" s="1" t="n">
        <v>43504</v>
      </c>
      <c r="C983" s="1" t="n">
        <v>45184</v>
      </c>
      <c r="D983" t="inlineStr">
        <is>
          <t>KRONOBERGS LÄN</t>
        </is>
      </c>
      <c r="E983" t="inlineStr">
        <is>
          <t>ALVESTA</t>
        </is>
      </c>
      <c r="G983" t="n">
        <v>10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9022-2019</t>
        </is>
      </c>
      <c r="B984" s="1" t="n">
        <v>43504</v>
      </c>
      <c r="C984" s="1" t="n">
        <v>45184</v>
      </c>
      <c r="D984" t="inlineStr">
        <is>
          <t>KRONOBERGS LÄN</t>
        </is>
      </c>
      <c r="E984" t="inlineStr">
        <is>
          <t>ÄLMHULT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9019-2019</t>
        </is>
      </c>
      <c r="B985" s="1" t="n">
        <v>43504</v>
      </c>
      <c r="C985" s="1" t="n">
        <v>45184</v>
      </c>
      <c r="D985" t="inlineStr">
        <is>
          <t>KRONOBERGS LÄN</t>
        </is>
      </c>
      <c r="E985" t="inlineStr">
        <is>
          <t>ÄLMHULT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8970-2019</t>
        </is>
      </c>
      <c r="B986" s="1" t="n">
        <v>43504</v>
      </c>
      <c r="C986" s="1" t="n">
        <v>45184</v>
      </c>
      <c r="D986" t="inlineStr">
        <is>
          <t>KRONOBERGS LÄN</t>
        </is>
      </c>
      <c r="E986" t="inlineStr">
        <is>
          <t>ÄLMHULT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9028-2019</t>
        </is>
      </c>
      <c r="B987" s="1" t="n">
        <v>43504</v>
      </c>
      <c r="C987" s="1" t="n">
        <v>45184</v>
      </c>
      <c r="D987" t="inlineStr">
        <is>
          <t>KRONOBERGS LÄN</t>
        </is>
      </c>
      <c r="E987" t="inlineStr">
        <is>
          <t>LJUNGBY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9175-2019</t>
        </is>
      </c>
      <c r="B988" s="1" t="n">
        <v>43504</v>
      </c>
      <c r="C988" s="1" t="n">
        <v>45184</v>
      </c>
      <c r="D988" t="inlineStr">
        <is>
          <t>KRONOBERGS LÄN</t>
        </is>
      </c>
      <c r="E988" t="inlineStr">
        <is>
          <t>VÄXJÖ</t>
        </is>
      </c>
      <c r="G988" t="n">
        <v>4.2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9247-2019</t>
        </is>
      </c>
      <c r="B989" s="1" t="n">
        <v>43507</v>
      </c>
      <c r="C989" s="1" t="n">
        <v>45184</v>
      </c>
      <c r="D989" t="inlineStr">
        <is>
          <t>KRONOBERGS LÄN</t>
        </is>
      </c>
      <c r="E989" t="inlineStr">
        <is>
          <t>ALVESTA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9369-2019</t>
        </is>
      </c>
      <c r="B990" s="1" t="n">
        <v>43507</v>
      </c>
      <c r="C990" s="1" t="n">
        <v>45184</v>
      </c>
      <c r="D990" t="inlineStr">
        <is>
          <t>KRONOBERGS LÄN</t>
        </is>
      </c>
      <c r="E990" t="inlineStr">
        <is>
          <t>UPPVIDINGE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9512-2019</t>
        </is>
      </c>
      <c r="B991" s="1" t="n">
        <v>43507</v>
      </c>
      <c r="C991" s="1" t="n">
        <v>45184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9242-2019</t>
        </is>
      </c>
      <c r="B992" s="1" t="n">
        <v>43507</v>
      </c>
      <c r="C992" s="1" t="n">
        <v>45184</v>
      </c>
      <c r="D992" t="inlineStr">
        <is>
          <t>KRONOBERGS LÄN</t>
        </is>
      </c>
      <c r="E992" t="inlineStr">
        <is>
          <t>ALVESTA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9349-2019</t>
        </is>
      </c>
      <c r="B993" s="1" t="n">
        <v>43507</v>
      </c>
      <c r="C993" s="1" t="n">
        <v>45184</v>
      </c>
      <c r="D993" t="inlineStr">
        <is>
          <t>KRONOBERGS LÄN</t>
        </is>
      </c>
      <c r="E993" t="inlineStr">
        <is>
          <t>LJUNGBY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9511-2019</t>
        </is>
      </c>
      <c r="B994" s="1" t="n">
        <v>43507</v>
      </c>
      <c r="C994" s="1" t="n">
        <v>45184</v>
      </c>
      <c r="D994" t="inlineStr">
        <is>
          <t>KRONOBERGS LÄN</t>
        </is>
      </c>
      <c r="E994" t="inlineStr">
        <is>
          <t>LJUNGBY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9545-2019</t>
        </is>
      </c>
      <c r="B995" s="1" t="n">
        <v>43508</v>
      </c>
      <c r="C995" s="1" t="n">
        <v>45184</v>
      </c>
      <c r="D995" t="inlineStr">
        <is>
          <t>KRONOBERGS LÄN</t>
        </is>
      </c>
      <c r="E995" t="inlineStr">
        <is>
          <t>TINGSRYD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9682-2019</t>
        </is>
      </c>
      <c r="B996" s="1" t="n">
        <v>43508</v>
      </c>
      <c r="C996" s="1" t="n">
        <v>45184</v>
      </c>
      <c r="D996" t="inlineStr">
        <is>
          <t>KRONOBERGS LÄN</t>
        </is>
      </c>
      <c r="E996" t="inlineStr">
        <is>
          <t>VÄXJÖ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9573-2019</t>
        </is>
      </c>
      <c r="B997" s="1" t="n">
        <v>43508</v>
      </c>
      <c r="C997" s="1" t="n">
        <v>45184</v>
      </c>
      <c r="D997" t="inlineStr">
        <is>
          <t>KRONOBERGS LÄN</t>
        </is>
      </c>
      <c r="E997" t="inlineStr">
        <is>
          <t>LESSEBO</t>
        </is>
      </c>
      <c r="F997" t="inlineStr">
        <is>
          <t>Sveaskog</t>
        </is>
      </c>
      <c r="G997" t="n">
        <v>2.6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9799-2019</t>
        </is>
      </c>
      <c r="B998" s="1" t="n">
        <v>43509</v>
      </c>
      <c r="C998" s="1" t="n">
        <v>45184</v>
      </c>
      <c r="D998" t="inlineStr">
        <is>
          <t>KRONOBERGS LÄN</t>
        </is>
      </c>
      <c r="E998" t="inlineStr">
        <is>
          <t>UPPVIDINGE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9903-2019</t>
        </is>
      </c>
      <c r="B999" s="1" t="n">
        <v>43509</v>
      </c>
      <c r="C999" s="1" t="n">
        <v>45184</v>
      </c>
      <c r="D999" t="inlineStr">
        <is>
          <t>KRONOBERGS LÄN</t>
        </is>
      </c>
      <c r="E999" t="inlineStr">
        <is>
          <t>UPPVIDINGE</t>
        </is>
      </c>
      <c r="G999" t="n">
        <v>7.7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9807-2019</t>
        </is>
      </c>
      <c r="B1000" s="1" t="n">
        <v>43509</v>
      </c>
      <c r="C1000" s="1" t="n">
        <v>45184</v>
      </c>
      <c r="D1000" t="inlineStr">
        <is>
          <t>KRONOBERGS LÄN</t>
        </is>
      </c>
      <c r="E1000" t="inlineStr">
        <is>
          <t>LJUNGBY</t>
        </is>
      </c>
      <c r="G1000" t="n">
        <v>6.7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9915-2019</t>
        </is>
      </c>
      <c r="B1001" s="1" t="n">
        <v>43509</v>
      </c>
      <c r="C1001" s="1" t="n">
        <v>45184</v>
      </c>
      <c r="D1001" t="inlineStr">
        <is>
          <t>KRONOBERGS LÄN</t>
        </is>
      </c>
      <c r="E1001" t="inlineStr">
        <is>
          <t>UPPVIDINGE</t>
        </is>
      </c>
      <c r="G1001" t="n">
        <v>6.8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9922-2019</t>
        </is>
      </c>
      <c r="B1002" s="1" t="n">
        <v>43509</v>
      </c>
      <c r="C1002" s="1" t="n">
        <v>45184</v>
      </c>
      <c r="D1002" t="inlineStr">
        <is>
          <t>KRONOBERGS LÄN</t>
        </is>
      </c>
      <c r="E1002" t="inlineStr">
        <is>
          <t>VÄXJÖ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9793-2019</t>
        </is>
      </c>
      <c r="B1003" s="1" t="n">
        <v>43509</v>
      </c>
      <c r="C1003" s="1" t="n">
        <v>45184</v>
      </c>
      <c r="D1003" t="inlineStr">
        <is>
          <t>KRONOBERGS LÄN</t>
        </is>
      </c>
      <c r="E1003" t="inlineStr">
        <is>
          <t>UPPVIDINGE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9905-2019</t>
        </is>
      </c>
      <c r="B1004" s="1" t="n">
        <v>43509</v>
      </c>
      <c r="C1004" s="1" t="n">
        <v>45184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9910-2019</t>
        </is>
      </c>
      <c r="B1005" s="1" t="n">
        <v>43509</v>
      </c>
      <c r="C1005" s="1" t="n">
        <v>45184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9787-2019</t>
        </is>
      </c>
      <c r="B1006" s="1" t="n">
        <v>43509</v>
      </c>
      <c r="C1006" s="1" t="n">
        <v>45184</v>
      </c>
      <c r="D1006" t="inlineStr">
        <is>
          <t>KRONOBERGS LÄN</t>
        </is>
      </c>
      <c r="E1006" t="inlineStr">
        <is>
          <t>LJUNGBY</t>
        </is>
      </c>
      <c r="G1006" t="n">
        <v>1.9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10000-2019</t>
        </is>
      </c>
      <c r="B1007" s="1" t="n">
        <v>43510</v>
      </c>
      <c r="C1007" s="1" t="n">
        <v>45184</v>
      </c>
      <c r="D1007" t="inlineStr">
        <is>
          <t>KRONOBERGS LÄN</t>
        </is>
      </c>
      <c r="E1007" t="inlineStr">
        <is>
          <t>VÄXJÖ</t>
        </is>
      </c>
      <c r="G1007" t="n">
        <v>2.6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10011-2019</t>
        </is>
      </c>
      <c r="B1008" s="1" t="n">
        <v>43510</v>
      </c>
      <c r="C1008" s="1" t="n">
        <v>45184</v>
      </c>
      <c r="D1008" t="inlineStr">
        <is>
          <t>KRONOBERGS LÄN</t>
        </is>
      </c>
      <c r="E1008" t="inlineStr">
        <is>
          <t>ÄLMHULT</t>
        </is>
      </c>
      <c r="G1008" t="n">
        <v>6.3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10176-2019</t>
        </is>
      </c>
      <c r="B1009" s="1" t="n">
        <v>43510</v>
      </c>
      <c r="C1009" s="1" t="n">
        <v>45184</v>
      </c>
      <c r="D1009" t="inlineStr">
        <is>
          <t>KRONOBERGS LÄN</t>
        </is>
      </c>
      <c r="E1009" t="inlineStr">
        <is>
          <t>ALVESTA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10244-2019</t>
        </is>
      </c>
      <c r="B1010" s="1" t="n">
        <v>43510</v>
      </c>
      <c r="C1010" s="1" t="n">
        <v>45184</v>
      </c>
      <c r="D1010" t="inlineStr">
        <is>
          <t>KRONOBERGS LÄN</t>
        </is>
      </c>
      <c r="E1010" t="inlineStr">
        <is>
          <t>LJUNGBY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10010-2019</t>
        </is>
      </c>
      <c r="B1011" s="1" t="n">
        <v>43510</v>
      </c>
      <c r="C1011" s="1" t="n">
        <v>45184</v>
      </c>
      <c r="D1011" t="inlineStr">
        <is>
          <t>KRONOBERGS LÄN</t>
        </is>
      </c>
      <c r="E1011" t="inlineStr">
        <is>
          <t>ÄLMHULT</t>
        </is>
      </c>
      <c r="G1011" t="n">
        <v>5.4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10038-2019</t>
        </is>
      </c>
      <c r="B1012" s="1" t="n">
        <v>43510</v>
      </c>
      <c r="C1012" s="1" t="n">
        <v>45184</v>
      </c>
      <c r="D1012" t="inlineStr">
        <is>
          <t>KRONOBERGS LÄN</t>
        </is>
      </c>
      <c r="E1012" t="inlineStr">
        <is>
          <t>ÄLMHULT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10160-2019</t>
        </is>
      </c>
      <c r="B1013" s="1" t="n">
        <v>43510</v>
      </c>
      <c r="C1013" s="1" t="n">
        <v>45184</v>
      </c>
      <c r="D1013" t="inlineStr">
        <is>
          <t>KRONOBERGS LÄN</t>
        </is>
      </c>
      <c r="E1013" t="inlineStr">
        <is>
          <t>LJUNGBY</t>
        </is>
      </c>
      <c r="F1013" t="inlineStr">
        <is>
          <t>Sveaskog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10175-2019</t>
        </is>
      </c>
      <c r="B1014" s="1" t="n">
        <v>43510</v>
      </c>
      <c r="C1014" s="1" t="n">
        <v>45184</v>
      </c>
      <c r="D1014" t="inlineStr">
        <is>
          <t>KRONOBERGS LÄN</t>
        </is>
      </c>
      <c r="E1014" t="inlineStr">
        <is>
          <t>ALVESTA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10080-2019</t>
        </is>
      </c>
      <c r="B1015" s="1" t="n">
        <v>43510</v>
      </c>
      <c r="C1015" s="1" t="n">
        <v>45184</v>
      </c>
      <c r="D1015" t="inlineStr">
        <is>
          <t>KRONOBERGS LÄN</t>
        </is>
      </c>
      <c r="E1015" t="inlineStr">
        <is>
          <t>ÄLMHULT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10213-2019</t>
        </is>
      </c>
      <c r="B1016" s="1" t="n">
        <v>43510</v>
      </c>
      <c r="C1016" s="1" t="n">
        <v>45184</v>
      </c>
      <c r="D1016" t="inlineStr">
        <is>
          <t>KRONOBERGS LÄN</t>
        </is>
      </c>
      <c r="E1016" t="inlineStr">
        <is>
          <t>LESSEBO</t>
        </is>
      </c>
      <c r="G1016" t="n">
        <v>9.9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10242-2019</t>
        </is>
      </c>
      <c r="B1017" s="1" t="n">
        <v>43510</v>
      </c>
      <c r="C1017" s="1" t="n">
        <v>45184</v>
      </c>
      <c r="D1017" t="inlineStr">
        <is>
          <t>KRONOBERGS LÄN</t>
        </is>
      </c>
      <c r="E1017" t="inlineStr">
        <is>
          <t>LJUNGBY</t>
        </is>
      </c>
      <c r="G1017" t="n">
        <v>0.4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10469-2019</t>
        </is>
      </c>
      <c r="B1018" s="1" t="n">
        <v>43511</v>
      </c>
      <c r="C1018" s="1" t="n">
        <v>45184</v>
      </c>
      <c r="D1018" t="inlineStr">
        <is>
          <t>KRONOBERGS LÄN</t>
        </is>
      </c>
      <c r="E1018" t="inlineStr">
        <is>
          <t>VÄXJÖ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10365-2019</t>
        </is>
      </c>
      <c r="B1019" s="1" t="n">
        <v>43511</v>
      </c>
      <c r="C1019" s="1" t="n">
        <v>45184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10431-2019</t>
        </is>
      </c>
      <c r="B1020" s="1" t="n">
        <v>43511</v>
      </c>
      <c r="C1020" s="1" t="n">
        <v>45184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10267-2019</t>
        </is>
      </c>
      <c r="B1021" s="1" t="n">
        <v>43511</v>
      </c>
      <c r="C1021" s="1" t="n">
        <v>45184</v>
      </c>
      <c r="D1021" t="inlineStr">
        <is>
          <t>KRONOBERGS LÄN</t>
        </is>
      </c>
      <c r="E1021" t="inlineStr">
        <is>
          <t>TINGSRYD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10287-2019</t>
        </is>
      </c>
      <c r="B1022" s="1" t="n">
        <v>43511</v>
      </c>
      <c r="C1022" s="1" t="n">
        <v>45184</v>
      </c>
      <c r="D1022" t="inlineStr">
        <is>
          <t>KRONOBERGS LÄN</t>
        </is>
      </c>
      <c r="E1022" t="inlineStr">
        <is>
          <t>TINGSRYD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10360-2019</t>
        </is>
      </c>
      <c r="B1023" s="1" t="n">
        <v>43511</v>
      </c>
      <c r="C1023" s="1" t="n">
        <v>45184</v>
      </c>
      <c r="D1023" t="inlineStr">
        <is>
          <t>KRONOBERGS LÄN</t>
        </is>
      </c>
      <c r="E1023" t="inlineStr">
        <is>
          <t>TINGSRYD</t>
        </is>
      </c>
      <c r="G1023" t="n">
        <v>2.2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10367-2019</t>
        </is>
      </c>
      <c r="B1024" s="1" t="n">
        <v>43511</v>
      </c>
      <c r="C1024" s="1" t="n">
        <v>45184</v>
      </c>
      <c r="D1024" t="inlineStr">
        <is>
          <t>KRONOBERGS LÄN</t>
        </is>
      </c>
      <c r="E1024" t="inlineStr">
        <is>
          <t>TINGSRYD</t>
        </is>
      </c>
      <c r="G1024" t="n">
        <v>4.9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10565-2019</t>
        </is>
      </c>
      <c r="B1025" s="1" t="n">
        <v>43514</v>
      </c>
      <c r="C1025" s="1" t="n">
        <v>45184</v>
      </c>
      <c r="D1025" t="inlineStr">
        <is>
          <t>KRONOBERGS LÄN</t>
        </is>
      </c>
      <c r="E1025" t="inlineStr">
        <is>
          <t>UPPVIDINGE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10625-2019</t>
        </is>
      </c>
      <c r="B1026" s="1" t="n">
        <v>43514</v>
      </c>
      <c r="C1026" s="1" t="n">
        <v>45184</v>
      </c>
      <c r="D1026" t="inlineStr">
        <is>
          <t>KRONOBERGS LÄN</t>
        </is>
      </c>
      <c r="E1026" t="inlineStr">
        <is>
          <t>UPPVIDINGE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10634-2019</t>
        </is>
      </c>
      <c r="B1027" s="1" t="n">
        <v>43514</v>
      </c>
      <c r="C1027" s="1" t="n">
        <v>45184</v>
      </c>
      <c r="D1027" t="inlineStr">
        <is>
          <t>KRONOBERGS LÄN</t>
        </is>
      </c>
      <c r="E1027" t="inlineStr">
        <is>
          <t>ÄLMHULT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10724-2019</t>
        </is>
      </c>
      <c r="B1028" s="1" t="n">
        <v>43514</v>
      </c>
      <c r="C1028" s="1" t="n">
        <v>45184</v>
      </c>
      <c r="D1028" t="inlineStr">
        <is>
          <t>KRONOBERGS LÄN</t>
        </is>
      </c>
      <c r="E1028" t="inlineStr">
        <is>
          <t>ÄLMHULT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10791-2019</t>
        </is>
      </c>
      <c r="B1029" s="1" t="n">
        <v>43514</v>
      </c>
      <c r="C1029" s="1" t="n">
        <v>45184</v>
      </c>
      <c r="D1029" t="inlineStr">
        <is>
          <t>KRONOBERGS LÄN</t>
        </is>
      </c>
      <c r="E1029" t="inlineStr">
        <is>
          <t>VÄXJÖ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10619-2019</t>
        </is>
      </c>
      <c r="B1030" s="1" t="n">
        <v>43514</v>
      </c>
      <c r="C1030" s="1" t="n">
        <v>45184</v>
      </c>
      <c r="D1030" t="inlineStr">
        <is>
          <t>KRONOBERGS LÄN</t>
        </is>
      </c>
      <c r="E1030" t="inlineStr">
        <is>
          <t>UPPVIDINGE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10657-2019</t>
        </is>
      </c>
      <c r="B1031" s="1" t="n">
        <v>43514</v>
      </c>
      <c r="C1031" s="1" t="n">
        <v>45184</v>
      </c>
      <c r="D1031" t="inlineStr">
        <is>
          <t>KRONOBERGS LÄN</t>
        </is>
      </c>
      <c r="E1031" t="inlineStr">
        <is>
          <t>LESSEBO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10652-2019</t>
        </is>
      </c>
      <c r="B1032" s="1" t="n">
        <v>43514</v>
      </c>
      <c r="C1032" s="1" t="n">
        <v>45184</v>
      </c>
      <c r="D1032" t="inlineStr">
        <is>
          <t>KRONOBERGS LÄN</t>
        </is>
      </c>
      <c r="E1032" t="inlineStr">
        <is>
          <t>LESSEBO</t>
        </is>
      </c>
      <c r="G1032" t="n">
        <v>4.2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10670-2019</t>
        </is>
      </c>
      <c r="B1033" s="1" t="n">
        <v>43514</v>
      </c>
      <c r="C1033" s="1" t="n">
        <v>45184</v>
      </c>
      <c r="D1033" t="inlineStr">
        <is>
          <t>KRONOBERGS LÄN</t>
        </is>
      </c>
      <c r="E1033" t="inlineStr">
        <is>
          <t>ÄLMHULT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10548-2019</t>
        </is>
      </c>
      <c r="B1034" s="1" t="n">
        <v>43514</v>
      </c>
      <c r="C1034" s="1" t="n">
        <v>45184</v>
      </c>
      <c r="D1034" t="inlineStr">
        <is>
          <t>KRONOBERGS LÄN</t>
        </is>
      </c>
      <c r="E1034" t="inlineStr">
        <is>
          <t>VÄXJÖ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10626-2019</t>
        </is>
      </c>
      <c r="B1035" s="1" t="n">
        <v>43514</v>
      </c>
      <c r="C1035" s="1" t="n">
        <v>45184</v>
      </c>
      <c r="D1035" t="inlineStr">
        <is>
          <t>KRONOBERGS LÄN</t>
        </is>
      </c>
      <c r="E1035" t="inlineStr">
        <is>
          <t>UPPVIDINGE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11042-2019</t>
        </is>
      </c>
      <c r="B1036" s="1" t="n">
        <v>43515</v>
      </c>
      <c r="C1036" s="1" t="n">
        <v>45184</v>
      </c>
      <c r="D1036" t="inlineStr">
        <is>
          <t>KRONOBERGS LÄN</t>
        </is>
      </c>
      <c r="E1036" t="inlineStr">
        <is>
          <t>MARKARYD</t>
        </is>
      </c>
      <c r="G1036" t="n">
        <v>1.9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10896-2019</t>
        </is>
      </c>
      <c r="B1037" s="1" t="n">
        <v>43515</v>
      </c>
      <c r="C1037" s="1" t="n">
        <v>45184</v>
      </c>
      <c r="D1037" t="inlineStr">
        <is>
          <t>KRONOBERGS LÄN</t>
        </is>
      </c>
      <c r="E1037" t="inlineStr">
        <is>
          <t>VÄXJÖ</t>
        </is>
      </c>
      <c r="G1037" t="n">
        <v>0.3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10930-2019</t>
        </is>
      </c>
      <c r="B1038" s="1" t="n">
        <v>43515</v>
      </c>
      <c r="C1038" s="1" t="n">
        <v>45184</v>
      </c>
      <c r="D1038" t="inlineStr">
        <is>
          <t>KRONOBERGS LÄN</t>
        </is>
      </c>
      <c r="E1038" t="inlineStr">
        <is>
          <t>TINGSRYD</t>
        </is>
      </c>
      <c r="G1038" t="n">
        <v>7.6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11036-2019</t>
        </is>
      </c>
      <c r="B1039" s="1" t="n">
        <v>43515</v>
      </c>
      <c r="C1039" s="1" t="n">
        <v>45184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10997-2019</t>
        </is>
      </c>
      <c r="B1040" s="1" t="n">
        <v>43515</v>
      </c>
      <c r="C1040" s="1" t="n">
        <v>45184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11165-2019</t>
        </is>
      </c>
      <c r="B1041" s="1" t="n">
        <v>43516</v>
      </c>
      <c r="C1041" s="1" t="n">
        <v>45184</v>
      </c>
      <c r="D1041" t="inlineStr">
        <is>
          <t>KRONOBERGS LÄN</t>
        </is>
      </c>
      <c r="E1041" t="inlineStr">
        <is>
          <t>TINGSRYD</t>
        </is>
      </c>
      <c r="G1041" t="n">
        <v>1.9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11182-2019</t>
        </is>
      </c>
      <c r="B1042" s="1" t="n">
        <v>43516</v>
      </c>
      <c r="C1042" s="1" t="n">
        <v>45184</v>
      </c>
      <c r="D1042" t="inlineStr">
        <is>
          <t>KRONOBERGS LÄN</t>
        </is>
      </c>
      <c r="E1042" t="inlineStr">
        <is>
          <t>TINGSRYD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11262-2019</t>
        </is>
      </c>
      <c r="B1043" s="1" t="n">
        <v>43516</v>
      </c>
      <c r="C1043" s="1" t="n">
        <v>45184</v>
      </c>
      <c r="D1043" t="inlineStr">
        <is>
          <t>KRONOBERGS LÄN</t>
        </is>
      </c>
      <c r="E1043" t="inlineStr">
        <is>
          <t>VÄXJÖ</t>
        </is>
      </c>
      <c r="F1043" t="inlineStr">
        <is>
          <t>Övriga Aktiebolag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11143-2019</t>
        </is>
      </c>
      <c r="B1044" s="1" t="n">
        <v>43516</v>
      </c>
      <c r="C1044" s="1" t="n">
        <v>45184</v>
      </c>
      <c r="D1044" t="inlineStr">
        <is>
          <t>KRONOBERGS LÄN</t>
        </is>
      </c>
      <c r="E1044" t="inlineStr">
        <is>
          <t>VÄXJÖ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11174-2019</t>
        </is>
      </c>
      <c r="B1045" s="1" t="n">
        <v>43516</v>
      </c>
      <c r="C1045" s="1" t="n">
        <v>45184</v>
      </c>
      <c r="D1045" t="inlineStr">
        <is>
          <t>KRONOBERGS LÄN</t>
        </is>
      </c>
      <c r="E1045" t="inlineStr">
        <is>
          <t>TINGSRYD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11231-2019</t>
        </is>
      </c>
      <c r="B1046" s="1" t="n">
        <v>43516</v>
      </c>
      <c r="C1046" s="1" t="n">
        <v>45184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11172-2019</t>
        </is>
      </c>
      <c r="B1047" s="1" t="n">
        <v>43516</v>
      </c>
      <c r="C1047" s="1" t="n">
        <v>45184</v>
      </c>
      <c r="D1047" t="inlineStr">
        <is>
          <t>KRONOBERGS LÄN</t>
        </is>
      </c>
      <c r="E1047" t="inlineStr">
        <is>
          <t>TINGSRYD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11225-2019</t>
        </is>
      </c>
      <c r="B1048" s="1" t="n">
        <v>43516</v>
      </c>
      <c r="C1048" s="1" t="n">
        <v>45184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11257-2019</t>
        </is>
      </c>
      <c r="B1049" s="1" t="n">
        <v>43516</v>
      </c>
      <c r="C1049" s="1" t="n">
        <v>45184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11273-2019</t>
        </is>
      </c>
      <c r="B1050" s="1" t="n">
        <v>43516</v>
      </c>
      <c r="C1050" s="1" t="n">
        <v>45184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11293-2019</t>
        </is>
      </c>
      <c r="B1051" s="1" t="n">
        <v>43517</v>
      </c>
      <c r="C1051" s="1" t="n">
        <v>45184</v>
      </c>
      <c r="D1051" t="inlineStr">
        <is>
          <t>KRONOBERGS LÄN</t>
        </is>
      </c>
      <c r="E1051" t="inlineStr">
        <is>
          <t>ÄLMHULT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11502-2019</t>
        </is>
      </c>
      <c r="B1052" s="1" t="n">
        <v>43517</v>
      </c>
      <c r="C1052" s="1" t="n">
        <v>45184</v>
      </c>
      <c r="D1052" t="inlineStr">
        <is>
          <t>KRONOBERGS LÄN</t>
        </is>
      </c>
      <c r="E1052" t="inlineStr">
        <is>
          <t>VÄXJÖ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11556-2019</t>
        </is>
      </c>
      <c r="B1053" s="1" t="n">
        <v>43517</v>
      </c>
      <c r="C1053" s="1" t="n">
        <v>45184</v>
      </c>
      <c r="D1053" t="inlineStr">
        <is>
          <t>KRONOBERGS LÄN</t>
        </is>
      </c>
      <c r="E1053" t="inlineStr">
        <is>
          <t>LJUNGBY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11504-2019</t>
        </is>
      </c>
      <c r="B1054" s="1" t="n">
        <v>43517</v>
      </c>
      <c r="C1054" s="1" t="n">
        <v>45184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11570-2019</t>
        </is>
      </c>
      <c r="B1055" s="1" t="n">
        <v>43518</v>
      </c>
      <c r="C1055" s="1" t="n">
        <v>45184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11658-2019</t>
        </is>
      </c>
      <c r="B1056" s="1" t="n">
        <v>43518</v>
      </c>
      <c r="C1056" s="1" t="n">
        <v>45184</v>
      </c>
      <c r="D1056" t="inlineStr">
        <is>
          <t>KRONOBERGS LÄN</t>
        </is>
      </c>
      <c r="E1056" t="inlineStr">
        <is>
          <t>TINGSRYD</t>
        </is>
      </c>
      <c r="G1056" t="n">
        <v>4.9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11573-2019</t>
        </is>
      </c>
      <c r="B1057" s="1" t="n">
        <v>43518</v>
      </c>
      <c r="C1057" s="1" t="n">
        <v>45184</v>
      </c>
      <c r="D1057" t="inlineStr">
        <is>
          <t>KRONOBERGS LÄN</t>
        </is>
      </c>
      <c r="E1057" t="inlineStr">
        <is>
          <t>UPPVIDINGE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11636-2019</t>
        </is>
      </c>
      <c r="B1058" s="1" t="n">
        <v>43518</v>
      </c>
      <c r="C1058" s="1" t="n">
        <v>45184</v>
      </c>
      <c r="D1058" t="inlineStr">
        <is>
          <t>KRONOBERGS LÄN</t>
        </is>
      </c>
      <c r="E1058" t="inlineStr">
        <is>
          <t>VÄXJÖ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11773-2019</t>
        </is>
      </c>
      <c r="B1059" s="1" t="n">
        <v>43520</v>
      </c>
      <c r="C1059" s="1" t="n">
        <v>45184</v>
      </c>
      <c r="D1059" t="inlineStr">
        <is>
          <t>KRONOBERGS LÄN</t>
        </is>
      </c>
      <c r="E1059" t="inlineStr">
        <is>
          <t>VÄXJÖ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11770-2019</t>
        </is>
      </c>
      <c r="B1060" s="1" t="n">
        <v>43520</v>
      </c>
      <c r="C1060" s="1" t="n">
        <v>45184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11771-2019</t>
        </is>
      </c>
      <c r="B1061" s="1" t="n">
        <v>43520</v>
      </c>
      <c r="C1061" s="1" t="n">
        <v>45184</v>
      </c>
      <c r="D1061" t="inlineStr">
        <is>
          <t>KRONOBERGS LÄN</t>
        </is>
      </c>
      <c r="E1061" t="inlineStr">
        <is>
          <t>VÄXJÖ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11841-2019</t>
        </is>
      </c>
      <c r="B1062" s="1" t="n">
        <v>43521</v>
      </c>
      <c r="C1062" s="1" t="n">
        <v>45184</v>
      </c>
      <c r="D1062" t="inlineStr">
        <is>
          <t>KRONOBERGS LÄN</t>
        </is>
      </c>
      <c r="E1062" t="inlineStr">
        <is>
          <t>TINGSRYD</t>
        </is>
      </c>
      <c r="F1062" t="inlineStr">
        <is>
          <t>Sveaskog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12119-2019</t>
        </is>
      </c>
      <c r="B1063" s="1" t="n">
        <v>43521</v>
      </c>
      <c r="C1063" s="1" t="n">
        <v>45184</v>
      </c>
      <c r="D1063" t="inlineStr">
        <is>
          <t>KRONOBERGS LÄN</t>
        </is>
      </c>
      <c r="E1063" t="inlineStr">
        <is>
          <t>UPPVIDINGE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12003-2019</t>
        </is>
      </c>
      <c r="B1064" s="1" t="n">
        <v>43521</v>
      </c>
      <c r="C1064" s="1" t="n">
        <v>45184</v>
      </c>
      <c r="D1064" t="inlineStr">
        <is>
          <t>KRONOBERGS LÄN</t>
        </is>
      </c>
      <c r="E1064" t="inlineStr">
        <is>
          <t>LJUNGBY</t>
        </is>
      </c>
      <c r="G1064" t="n">
        <v>6.4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11894-2019</t>
        </is>
      </c>
      <c r="B1065" s="1" t="n">
        <v>43521</v>
      </c>
      <c r="C1065" s="1" t="n">
        <v>45184</v>
      </c>
      <c r="D1065" t="inlineStr">
        <is>
          <t>KRONOBERGS LÄN</t>
        </is>
      </c>
      <c r="E1065" t="inlineStr">
        <is>
          <t>VÄXJÖ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11915-2019</t>
        </is>
      </c>
      <c r="B1066" s="1" t="n">
        <v>43521</v>
      </c>
      <c r="C1066" s="1" t="n">
        <v>45184</v>
      </c>
      <c r="D1066" t="inlineStr">
        <is>
          <t>KRONOBERGS LÄN</t>
        </is>
      </c>
      <c r="E1066" t="inlineStr">
        <is>
          <t>LJUNGBY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12028-2019</t>
        </is>
      </c>
      <c r="B1067" s="1" t="n">
        <v>43522</v>
      </c>
      <c r="C1067" s="1" t="n">
        <v>45184</v>
      </c>
      <c r="D1067" t="inlineStr">
        <is>
          <t>KRONOBERGS LÄN</t>
        </is>
      </c>
      <c r="E1067" t="inlineStr">
        <is>
          <t>ALVESTA</t>
        </is>
      </c>
      <c r="G1067" t="n">
        <v>8.699999999999999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12138-2019</t>
        </is>
      </c>
      <c r="B1068" s="1" t="n">
        <v>43522</v>
      </c>
      <c r="C1068" s="1" t="n">
        <v>45184</v>
      </c>
      <c r="D1068" t="inlineStr">
        <is>
          <t>KRONOBERGS LÄN</t>
        </is>
      </c>
      <c r="E1068" t="inlineStr">
        <is>
          <t>VÄXJÖ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12184-2019</t>
        </is>
      </c>
      <c r="B1069" s="1" t="n">
        <v>43522</v>
      </c>
      <c r="C1069" s="1" t="n">
        <v>45184</v>
      </c>
      <c r="D1069" t="inlineStr">
        <is>
          <t>KRONOBERGS LÄN</t>
        </is>
      </c>
      <c r="E1069" t="inlineStr">
        <is>
          <t>UPPVIDINGE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12193-2019</t>
        </is>
      </c>
      <c r="B1070" s="1" t="n">
        <v>43522</v>
      </c>
      <c r="C1070" s="1" t="n">
        <v>45184</v>
      </c>
      <c r="D1070" t="inlineStr">
        <is>
          <t>KRONOBERGS LÄN</t>
        </is>
      </c>
      <c r="E1070" t="inlineStr">
        <is>
          <t>LJUNGBY</t>
        </is>
      </c>
      <c r="G1070" t="n">
        <v>3.6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12210-2019</t>
        </is>
      </c>
      <c r="B1071" s="1" t="n">
        <v>43522</v>
      </c>
      <c r="C1071" s="1" t="n">
        <v>45184</v>
      </c>
      <c r="D1071" t="inlineStr">
        <is>
          <t>KRONOBERGS LÄN</t>
        </is>
      </c>
      <c r="E1071" t="inlineStr">
        <is>
          <t>ÄLMHULT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12378-2019</t>
        </is>
      </c>
      <c r="B1072" s="1" t="n">
        <v>43523</v>
      </c>
      <c r="C1072" s="1" t="n">
        <v>45184</v>
      </c>
      <c r="D1072" t="inlineStr">
        <is>
          <t>KRONOBERGS LÄN</t>
        </is>
      </c>
      <c r="E1072" t="inlineStr">
        <is>
          <t>ALVESTA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12492-2019</t>
        </is>
      </c>
      <c r="B1073" s="1" t="n">
        <v>43523</v>
      </c>
      <c r="C1073" s="1" t="n">
        <v>45184</v>
      </c>
      <c r="D1073" t="inlineStr">
        <is>
          <t>KRONOBERGS LÄN</t>
        </is>
      </c>
      <c r="E1073" t="inlineStr">
        <is>
          <t>VÄXJÖ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12302-2019</t>
        </is>
      </c>
      <c r="B1074" s="1" t="n">
        <v>43523</v>
      </c>
      <c r="C1074" s="1" t="n">
        <v>45184</v>
      </c>
      <c r="D1074" t="inlineStr">
        <is>
          <t>KRONOBERGS LÄN</t>
        </is>
      </c>
      <c r="E1074" t="inlineStr">
        <is>
          <t>TINGSRYD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12432-2019</t>
        </is>
      </c>
      <c r="B1075" s="1" t="n">
        <v>43523</v>
      </c>
      <c r="C1075" s="1" t="n">
        <v>45184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12298-2019</t>
        </is>
      </c>
      <c r="B1076" s="1" t="n">
        <v>43523</v>
      </c>
      <c r="C1076" s="1" t="n">
        <v>45184</v>
      </c>
      <c r="D1076" t="inlineStr">
        <is>
          <t>KRONOBERGS LÄN</t>
        </is>
      </c>
      <c r="E1076" t="inlineStr">
        <is>
          <t>TINGSRYD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12391-2019</t>
        </is>
      </c>
      <c r="B1077" s="1" t="n">
        <v>43523</v>
      </c>
      <c r="C1077" s="1" t="n">
        <v>45184</v>
      </c>
      <c r="D1077" t="inlineStr">
        <is>
          <t>KRONOBERGS LÄN</t>
        </is>
      </c>
      <c r="E1077" t="inlineStr">
        <is>
          <t>ALVESTA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12400-2019</t>
        </is>
      </c>
      <c r="B1078" s="1" t="n">
        <v>43523</v>
      </c>
      <c r="C1078" s="1" t="n">
        <v>45184</v>
      </c>
      <c r="D1078" t="inlineStr">
        <is>
          <t>KRONOBERGS LÄN</t>
        </is>
      </c>
      <c r="E1078" t="inlineStr">
        <is>
          <t>ALVESTA</t>
        </is>
      </c>
      <c r="G1078" t="n">
        <v>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45184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45184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45184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45184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45184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45184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45184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45184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45184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45184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45184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45184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45184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45184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45184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45184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45184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45184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45184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45184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45184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45184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45184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45184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45184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45184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45184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45184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45184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45184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45184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45184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45184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45184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45184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45184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45184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45184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45184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45184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45184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45184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45184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45184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45184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45184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45184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45184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45184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45184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45184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45184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45184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45184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45184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45184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45184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45184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45184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45184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45184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45184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45184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45184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45184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45184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45184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45184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45184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45184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45184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45184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45184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45184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45184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45184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45184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45184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45184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45184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45184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45184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45184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45184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45184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45184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45184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45184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45184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45184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45184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45184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45184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45184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45184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45184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45184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45184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45184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45184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45184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45184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45184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45184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45184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45184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45184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45184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45184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45184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45184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45184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45184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45184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45184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45184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45184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45184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45184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45184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45184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45184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45184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45184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45184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45184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45184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45184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45184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45184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45184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45184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45184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45184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45184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45184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45184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45184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45184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45184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45184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45184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45184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45184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45184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45184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45184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45184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45184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45184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45184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45184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45184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45184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45184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45184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45184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45184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45184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45184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45184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45184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45184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45184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45184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45184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45184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45184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45184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45184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45184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45184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45184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45184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45184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45184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45184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45184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45184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45184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45184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45184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45184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45184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45184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45184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45184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45184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45184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45184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45184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45184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45184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45184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45184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45184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45184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45184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45184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45184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45184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45184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45184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45184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45184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45184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45184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45184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45184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45184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45184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45184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45184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45184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45184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45184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45184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45184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45184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45184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45184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45184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45184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45184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45184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45184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45184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45184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45184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45184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45184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45184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45184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45184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45184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45184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45184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45184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45184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45184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45184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45184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45184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45184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45184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45184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45184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45184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45184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45184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45184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45184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45184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45184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45184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45184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45184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45184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45184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45184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45184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45184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45184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45184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45184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45184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45184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45184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45184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45184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45184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45184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45184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45184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45184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45184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45184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45184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45184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45184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45184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45184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45184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45184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45184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45184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45184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45184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45184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45184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45184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45184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45184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45184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45184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45184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45184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45184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45184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45184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45184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45184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45184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45184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45184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45184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45184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45184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45184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45184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45184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45184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45184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45184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45184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45184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45184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45184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45184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45184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45184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45184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45184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45184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45184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45184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45184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45184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45184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45184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45184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45184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45184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45184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45184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45184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45184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45184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45184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45184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45184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45184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45184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45184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45184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45184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45184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45184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45184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45184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45184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45184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45184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45184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45184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45184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45184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45184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45184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45184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45184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45184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45184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45184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45184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45184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45184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45184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45184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45184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45184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45184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45184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45184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45184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45184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45184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45184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45184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45184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45184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45184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45184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45184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45184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45184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45184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45184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45184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45184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45184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45184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45184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45184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45184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45184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45184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45184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45184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45184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45184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45184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45184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45184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45184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45184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45184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45184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45184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45184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45184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45184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45184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45184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45184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45184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45184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45184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45184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45184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45184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45184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45184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45184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45184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45184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45184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45184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45184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45184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45184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45184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45184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45184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45184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45184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45184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45184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45184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45184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45184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45184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45184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45184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45184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45184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45184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45184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45184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45184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45184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45184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45184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45184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45184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45184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45184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45184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45184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45184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45184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45184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45184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45184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45184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45184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45184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45184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45184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45184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45184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45184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45184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45184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45184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45184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45184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45184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45184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45184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45184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45184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45184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45184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45184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45184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45184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45184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45184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45184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45184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45184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45184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45184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45184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45184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45184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45184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45184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45184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45184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45184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45184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45184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45184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45184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45184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45184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45184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45184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45184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45184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45184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45184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45184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45184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45184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45184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45184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45184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45184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45184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45184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45184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45184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45184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45184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45184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45184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45184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45184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45184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45184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45184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45184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45184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45184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45184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45184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45184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45184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45184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45184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45184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45184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45184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45184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45184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45184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45184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45184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45184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45184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45184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45184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45184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45184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45184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45184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45184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45184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45184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45184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45184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45184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45184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45184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45184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45184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45184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45184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45184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45184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45184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45184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45184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45184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45184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45184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45184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45184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45184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45184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45184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45184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45184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45184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45184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45184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45184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45184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45184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45184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45184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45184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45184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45184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45184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45184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45184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45184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45184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45184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45184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45184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45184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45184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45184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45184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45184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45184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45184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45184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45184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45184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45184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45184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45184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45184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45184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45184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45184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45184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45184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45184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45184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45184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45184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45184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45184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45184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45184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45184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45184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45184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45184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45184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45184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45184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45184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45184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45184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45184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45184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45184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45184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45184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45184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45184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45184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45184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45184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45184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45184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45184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45184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45184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45184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45184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45184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45184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45184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45184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45184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45184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45184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45184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45184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45184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45184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45184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45184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45184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45184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45184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45184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45184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45184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45184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45184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45184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45184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45184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45184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45184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45184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45184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45184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45184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45184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45184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45184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45184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45184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45184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45184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45184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45184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45184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45184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45184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45184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45184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45184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45184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45184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45184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45184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45184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45184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45184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45184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45184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45184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45184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45184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45184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45184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45184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45184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45184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45184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45184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45184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45184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45184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45184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45184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45184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45184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45184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45184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45184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45184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45184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45184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45184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45184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45184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45184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45184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45184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45184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45184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45184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45184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45184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45184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45184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45184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45184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45184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45184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45184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45184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45184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45184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45184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45184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45184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45184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45184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45184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45184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45184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45184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45184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45184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45184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45184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45184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45184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45184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45184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45184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45184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45184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45184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45184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45184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45184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45184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45184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45184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45184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45184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45184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45184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45184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45184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45184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45184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45184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45184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45184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45184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45184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45184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45184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45184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45184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45184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45184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45184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45184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45184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45184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45184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45184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45184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45184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45184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45184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45184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45184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45184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45184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45184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45184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45184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45184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45184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45184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45184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45184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45184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45184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45184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45184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45184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45184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45184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45184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45184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45184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45184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45184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45184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45184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45184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45184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45184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45184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45184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45184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45184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45184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45184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45184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45184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45184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45184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45184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45184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45184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45184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45184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45184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45184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45184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45184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45184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45184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45184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45184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45184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45184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45184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45184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45184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45184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45184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45184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45184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45184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45184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45184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45184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45184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45184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45184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45184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45184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45184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45184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45184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45184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45184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45184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45184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45184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45184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45184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45184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45184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45184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45184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45184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45184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45184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45184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45184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45184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45184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45184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45184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45184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45184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45184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45184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45184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45184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45184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45184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45184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45184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45184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45184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45184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45184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45184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45184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45184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45184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45184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45184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45184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45184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45184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45184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45184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45184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45184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45184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45184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45184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45184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45184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45184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45184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45184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45184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45184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45184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45184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45184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45184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45184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45184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45184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45184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45184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45184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45184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45184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45184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45184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45184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45184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45184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45184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45184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45184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45184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45184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45184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45184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45184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45184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45184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45184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45184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45184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45184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45184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45184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45184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45184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45184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45184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45184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45184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45184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45184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45184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45184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45184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45184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45184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45184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45184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45184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45184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45184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45184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45184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45184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45184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45184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45184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45184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45184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45184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45184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45184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45184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45184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45184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45184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45184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45184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45184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45184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45184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45184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45184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45184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45184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45184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45184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45184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45184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45184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45184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45184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45184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45184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45184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45184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45184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45184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45184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45184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45184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45184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45184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45184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45184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45184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45184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45184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45184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45184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45184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45184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45184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45184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45184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45184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45184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45184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45184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45184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45184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45184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45184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45184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45184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45184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45184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45184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45184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45184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45184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45184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45184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45184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45184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45184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45184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45184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45184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45184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45184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45184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45184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45184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45184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45184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45184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45184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45184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45184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45184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45184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45184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45184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45184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45184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45184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45184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45184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45184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45184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45184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45184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45184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45184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45184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45184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45184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45184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45184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45184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45184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45184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45184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45184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45184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45184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45184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45184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45184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45184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45184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45184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45184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45184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45184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45184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45184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45184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45184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45184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45184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45184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45184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45184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45184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45184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45184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45184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45184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45184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45184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45184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45184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45184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45184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45184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45184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45184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45184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45184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45184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45184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45184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45184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45184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45184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45184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45184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45184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45184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45184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45184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45184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45184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45184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45184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45184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45184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45184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45184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45184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45184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45184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45184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45184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45184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45184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45184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45184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45184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45184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45184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45184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45184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45184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45184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45184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45184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45184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45184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45184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45184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45184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45184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45184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45184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45184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45184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45184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45184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45184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45184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45184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45184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45184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45184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45184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45184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45184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45184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45184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45184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45184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45184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45184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45184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45184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45184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45184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45184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45184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45184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45184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45184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45184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45184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45184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45184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45184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45184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45184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45184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45184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45184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45184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45184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45184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45184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45184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45184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45184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45184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45184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45184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45184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45184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45184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45184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45184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45184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45184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45184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45184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45184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45184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45184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45184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45184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45184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45184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45184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45184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45184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45184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45184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45184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45184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45184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45184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45184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45184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45184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45184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45184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45184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45184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45184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45184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45184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45184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45184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45184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45184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45184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45184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45184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45184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45184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45184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45184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45184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45184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45184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45184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45184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45184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45184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45184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45184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45184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45184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45184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45184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45184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45184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45184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45184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45184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45184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45184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45184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45184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45184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45184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45184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45184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45184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45184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45184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45184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45184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45184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45184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45184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45184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45184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45184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45184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45184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45184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45184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45184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45184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45184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45184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45184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45184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45184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45184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45184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45184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45184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45184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45184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45184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45184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45184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45184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45184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45184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45184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45184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45184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45184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45184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45184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45184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45184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45184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45184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45184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45184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45184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45184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45184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45184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45184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45184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45184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45184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45184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45184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45184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45184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45184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45184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45184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45184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45184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45184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45184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45184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45184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45184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45184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45184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45184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45184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45184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45184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45184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45184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45184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45184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45184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45184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45184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45184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45184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45184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45184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45184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45184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45184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45184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45184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45184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45184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45184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45184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45184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45184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45184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45184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45184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45184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45184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45184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45184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45184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45184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45184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45184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45184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45184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45184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45184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45184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45184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45184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45184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45184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45184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45184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45184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45184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45184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45184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45184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45184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45184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45184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45184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45184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45184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45184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45184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45184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45184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45184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45184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45184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45184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45184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45184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45184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45184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45184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45184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45184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45184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45184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45184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45184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45184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45184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45184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45184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45184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45184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45184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45184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45184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45184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45184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45184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45184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45184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45184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45184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45184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45184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45184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45184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45184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45184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45184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45184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45184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45184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45184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45184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45184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45184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45184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45184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45184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45184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45184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45184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45184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45184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45184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45184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45184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45184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45184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45184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45184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45184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45184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45184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45184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45184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45184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45184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45184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45184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45184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45184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45184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45184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45184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45184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45184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45184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45184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45184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45184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45184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45184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45184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45184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45184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45184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45184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45184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45184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45184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45184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45184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45184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45184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45184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45184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45184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45184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45184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45184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45184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45184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45184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45184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45184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45184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45184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45184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45184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45184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45184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45184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45184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45184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45184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45184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45184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45184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45184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45184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45184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45184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45184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45184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45184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45184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45184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45184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45184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45184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45184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45184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45184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45184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45184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45184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45184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45184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45184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45184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45184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45184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45184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45184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45184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45184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45184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45184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45184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45184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45184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45184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45184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45184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45184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45184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45184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45184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45184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45184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45184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45184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45184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45184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45184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45184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45184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45184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45184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45184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45184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45184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45184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45184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45184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45184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45184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45184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45184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45184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45184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45184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45184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45184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45184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45184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45184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45184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45184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45184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45184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45184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45184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45184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45184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45184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45184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45184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45184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45184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45184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45184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45184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45184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45184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45184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45184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45184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45184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45184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45184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45184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45184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45184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45184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45184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45184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45184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45184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45184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45184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45184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45184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45184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45184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45184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45184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45184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45184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45184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45184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45184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45184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45184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45184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45184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45184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45184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45184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45184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45184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45184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45184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45184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45184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45184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45184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45184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45184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45184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45184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45184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45184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45184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45184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45184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45184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45184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45184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47977-2020.png")</f>
        <v/>
      </c>
      <c r="V2780">
        <f>HYPERLINK("https://klasma.github.io/Logging_UPPVIDINGE/klagomål/A 47977-2020.docx")</f>
        <v/>
      </c>
      <c r="W2780">
        <f>HYPERLINK("https://klasma.github.io/Logging_UPPVIDINGE/klagomålsmail/A 47977-2020.docx")</f>
        <v/>
      </c>
      <c r="X2780">
        <f>HYPERLINK("https://klasma.github.io/Logging_UPPVIDINGE/tillsyn/A 47977-2020.docx")</f>
        <v/>
      </c>
      <c r="Y2780">
        <f>HYPERLINK("https://klasma.github.io/Logging_UPPVIDINGE/tillsynsmail/A 47977-2020.docx")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45184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45184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45184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45184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45184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45184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45184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45184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45184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45184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45184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45184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45184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45184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45184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45184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45184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45184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45184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45184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45184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45184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45184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45184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45184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45184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45184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45184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45184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45184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45184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45184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45184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45184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45184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45184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45184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45184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45184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45184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45184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45184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45184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45184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45184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45184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45184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45184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45184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45184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45184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45184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45184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45184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45184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45184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45184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45184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52770-2020.png")</f>
        <v/>
      </c>
      <c r="V2838">
        <f>HYPERLINK("https://klasma.github.io/Logging_TINGSRYD/klagomål/A 52770-2020.docx")</f>
        <v/>
      </c>
      <c r="W2838">
        <f>HYPERLINK("https://klasma.github.io/Logging_TINGSRYD/klagomålsmail/A 52770-2020.docx")</f>
        <v/>
      </c>
      <c r="X2838">
        <f>HYPERLINK("https://klasma.github.io/Logging_TINGSRYD/tillsyn/A 52770-2020.docx")</f>
        <v/>
      </c>
      <c r="Y2838">
        <f>HYPERLINK("https://klasma.github.io/Logging_TINGSRYD/tillsynsmail/A 52770-2020.docx")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45184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45184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45184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45184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45184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45184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45184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45184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45184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45184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45184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45184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45184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45184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45184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45184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45184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45184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45184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45184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45184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45184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45184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45184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45184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45184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45184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45184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45184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45184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45184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45184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45184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45184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45184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45184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45184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45184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45184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45184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45184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45184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45184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45184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45184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45184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45184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45184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45184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45184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45184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45184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45184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45184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45184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45184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45184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45184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45184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45184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45184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45184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45184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45184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45184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45184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45184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45184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45184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45184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45184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45184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45184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45184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45184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45184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45184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45184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45184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45184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45184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45184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45184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45184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45184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45184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45184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45184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45184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45184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45184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45184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45184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45184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45184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45184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45184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45184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45184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45184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45184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45184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45184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45184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45184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45184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45184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45184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45184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45184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45184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45184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45184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45184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45184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45184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45184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45184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45184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45184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45184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45184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45184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45184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45184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45184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45184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45184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45184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45184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45184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45184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45184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45184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45184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45184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45184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45184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45184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45184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45184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45184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45184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45184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45184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45184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45184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45184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45184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45184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45184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45184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45184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45184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45184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45184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45184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45184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45184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45184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45184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45184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45184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45184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45184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45184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45184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45184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45184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45184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45184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45184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45184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45184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45184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45184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45184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45184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45184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45184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45184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45184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45184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45184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45184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45184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45184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45184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45184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45184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45184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45184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45184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45184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45184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45184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45184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45184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45184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45184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45184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45184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45184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45184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45184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45184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45184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45184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45184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45184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45184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45184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45184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45184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45184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45184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45184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45184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45184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45184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45184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45184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45184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45184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45184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45184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45184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45184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45184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45184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45184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45184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45184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45184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45184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45184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45184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45184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45184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45184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45184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45184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45184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45184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45184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45184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45184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45184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45184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45184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45184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45184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45184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45184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45184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45184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45184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45184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45184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45184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45184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45184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45184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45184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45184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45184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45184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45184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45184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45184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45184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45184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45184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45184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45184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45184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45184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45184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45184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45184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45184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45184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45184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45184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45184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45184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45184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45184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45184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45184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45184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45184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45184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45184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45184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45184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45184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45184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45184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45184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45184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45184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45184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45184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45184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45184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45184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45184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45184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45184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45184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45184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45184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45184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45184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45184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45184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45184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45184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45184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45184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45184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45184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45184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45184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45184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45184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45184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45184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45184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45184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45184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45184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45184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45184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45184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45184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45184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45184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45184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45184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45184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45184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45184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45184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45184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45184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45184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45184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45184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45184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45184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45184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45184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45184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45184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45184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45184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45184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45184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45184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45184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45184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45184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45184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45184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45184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45184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45184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45184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45184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45184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45184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45184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45184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45184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45184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45184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45184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45184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45184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45184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45184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45184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45184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45184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45184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45184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45184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45184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45184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45184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45184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45184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45184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45184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45184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45184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45184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45184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45184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45184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45184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45184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45184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45184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45184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45184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45184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45184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45184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45184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45184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45184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45184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45184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45184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45184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45184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45184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45184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45184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45184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45184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45184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45184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45184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45184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45184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45184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45184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45184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45184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45184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45184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45184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45184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45184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45184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45184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45184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45184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45184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45184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45184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45184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45184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45184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45184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45184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45184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45184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45184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45184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45184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45184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45184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45184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45184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45184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45184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45184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45184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45184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45184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45184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45184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45184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45184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45184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45184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45184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45184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45184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45184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45184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45184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45184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45184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45184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45184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45184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45184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45184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45184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45184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45184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45184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45184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45184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45184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45184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45184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45184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45184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45184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45184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45184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45184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45184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45184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45184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45184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45184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45184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45184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45184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45184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45184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45184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45184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45184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45184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45184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45184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45184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45184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45184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45184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45184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45184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45184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45184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45184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45184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45184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45184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45184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45184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45184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45184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45184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45184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45184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45184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45184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45184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45184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45184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45184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45184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45184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45184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45184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45184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45184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45184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45184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45184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45184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45184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45184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45184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45184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45184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45184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45184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45184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45184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45184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45184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45184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45184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45184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45184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45184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45184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45184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45184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45184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45184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45184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45184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45184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45184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45184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45184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45184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45184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45184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45184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45184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45184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45184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45184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45184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45184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45184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45184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45184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45184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45184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45184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45184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45184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45184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45184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45184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45184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45184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45184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45184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45184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45184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45184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45184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45184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45184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45184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45184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45184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45184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45184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45184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45184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45184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45184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45184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45184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45184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45184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45184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45184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45184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45184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45184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45184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45184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45184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45184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45184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45184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45184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45184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45184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45184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45184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45184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45184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45184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45184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45184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45184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45184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45184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45184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45184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45184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45184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45184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45184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45184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45184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45184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45184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45184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45184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45184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45184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45184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45184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45184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45184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45184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45184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45184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45184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45184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45184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45184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45184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45184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45184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45184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45184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45184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45184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45184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45184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45184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45184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45184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45184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45184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45184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45184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45184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45184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45184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45184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45184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45184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45184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45184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45184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45184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45184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45184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45184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45184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45184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45184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45184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45184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45184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45184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45184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45184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45184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45184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45184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45184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45184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45184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45184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45184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45184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45184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45184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45184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45184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45184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45184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45184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45184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45184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45184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45184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45184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45184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45184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45184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45184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45184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45184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45184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45184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45184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45184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45184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45184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45184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45184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45184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45184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45184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45184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45184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45184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45184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45184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45184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45184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45184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45184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45184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45184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45184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45184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45184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45184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45184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45184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45184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45184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45184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45184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45184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45184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45184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45184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45184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45184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45184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45184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45184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45184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45184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45184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45184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45184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45184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45184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45184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45184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45184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45184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45184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45184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45184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45184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45184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45184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45184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45184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45184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45184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45184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45184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45184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45184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45184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45184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45184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45184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45184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45184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45184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45184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45184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45184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45184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45184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45184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45184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45184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45184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45184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45184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45184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45184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45184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45184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45184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45184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45184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45184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45184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45184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45184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45184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45184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45184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45184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45184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45184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45184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45184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45184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45184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45184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45184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45184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45184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45184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45184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45184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45184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45184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45184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45184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45184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45184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45184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45184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45184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45184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45184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45184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45184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45184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45184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45184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45184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45184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45184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45184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45184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45184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45184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45184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45184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45184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45184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45184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45184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45184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45184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45184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45184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45184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45184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45184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45184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45184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45184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45184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45184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45184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45184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45184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45184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45184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45184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45184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45184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45184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45184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45184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45184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45184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45184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45184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45184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45184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45184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45184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45184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45184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45184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45184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45184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45184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45184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45184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45184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45184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45184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45184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45184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45184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45184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45184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45184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45184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45184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45184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45184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45184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45184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45184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45184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45184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45184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45184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45184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45184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45184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45184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45184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45184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45184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45184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45184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45184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45184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45184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45184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45184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45184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45184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45184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45184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45184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45184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45184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45184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45184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45184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45184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45184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45184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45184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45184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45184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45184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45184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45184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45184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45184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45184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45184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45184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45184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45184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45184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45184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45184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45184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45184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45184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45184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45184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45184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45184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45184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45184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45184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45184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45184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45184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45184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45184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45184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45184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45184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45184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45184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45184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45184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45184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45184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45184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45184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45184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45184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45184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45184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45184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45184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45184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45184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45184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45184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45184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45184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45184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45184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45184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45184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45184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45184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45184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45184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45184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45184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45184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45184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45184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45184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45184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45184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45184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45184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45184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45184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45184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45184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45184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45184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45184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45184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45184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45184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45184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45184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45184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45184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45184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45184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45184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45184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45184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45184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45184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45184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45184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45184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45184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45184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45184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45184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45184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45184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45184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45184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45184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45184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45184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45184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45184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45184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45184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45184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45184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45184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45184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45184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45184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45184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45184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45184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45184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45184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45184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45184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45184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45184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45184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45184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45184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45184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45184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45184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45184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45184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45184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45184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45184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45184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45184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45184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45184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45184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45184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45184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45184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45184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45184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45184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45184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45184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45184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45184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45184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45184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45184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45184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45184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45184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45184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45184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45184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45184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45184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45184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45184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45184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45184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45184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45184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45184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45184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45184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45184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45184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45184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45184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45184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45184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45184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45184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45184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45184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45184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45184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45184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45184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45184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45184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45184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45184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45184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45184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45184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45184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45184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45184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45184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45184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45184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45184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45184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45184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45184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45184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45184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45184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45184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45184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45184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45184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45184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45184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45184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45184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45184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45184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45184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45184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45184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45184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45184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45184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45184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45184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45184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45184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45184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45184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23013-2022.png")</f>
        <v/>
      </c>
      <c r="V4028">
        <f>HYPERLINK("https://klasma.github.io/Logging_UPPVIDINGE/klagomål/A 23013-2022.docx")</f>
        <v/>
      </c>
      <c r="W4028">
        <f>HYPERLINK("https://klasma.github.io/Logging_UPPVIDINGE/klagomålsmail/A 23013-2022.docx")</f>
        <v/>
      </c>
      <c r="X4028">
        <f>HYPERLINK("https://klasma.github.io/Logging_UPPVIDINGE/tillsyn/A 23013-2022.docx")</f>
        <v/>
      </c>
      <c r="Y4028">
        <f>HYPERLINK("https://klasma.github.io/Logging_UPPVIDINGE/tillsynsmail/A 23013-2022.docx")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45184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45184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45184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45184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45184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45184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45184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45184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45184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45184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45184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45184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45184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45184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45184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45184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45184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45184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45184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45184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45184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45184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45184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45184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45184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45184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45184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45184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45184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45184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45184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45184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45184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45184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45184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45184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45184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45184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45184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45184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45184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45184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45184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45184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45184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45184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45184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45184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45184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45184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45184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45184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45184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45184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45184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45184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45184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45184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45184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45184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45184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45184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45184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45184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45184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45184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45184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45184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45184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45184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45184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45184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45184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45184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45184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45184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45184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45184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45184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45184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45184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45184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45184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45184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45184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45184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45184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45184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45184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45184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45184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45184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45184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45184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45184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45184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45184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45184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45184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35279-2022.png")</f>
        <v/>
      </c>
      <c r="V4127">
        <f>HYPERLINK("https://klasma.github.io/Logging_ALVESTA/klagomål/A 35279-2022.docx")</f>
        <v/>
      </c>
      <c r="W4127">
        <f>HYPERLINK("https://klasma.github.io/Logging_ALVESTA/klagomålsmail/A 35279-2022.docx")</f>
        <v/>
      </c>
      <c r="X4127">
        <f>HYPERLINK("https://klasma.github.io/Logging_ALVESTA/tillsyn/A 35279-2022.docx")</f>
        <v/>
      </c>
      <c r="Y4127">
        <f>HYPERLINK("https://klasma.github.io/Logging_ALVESTA/tillsynsmail/A 35279-2022.docx")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45184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45184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45184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45184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45184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45184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45184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45184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45184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45184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45184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45184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45184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45184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45184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45184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45184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45184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45184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45184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45184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45184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45184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45184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45184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45184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45184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45184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45184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45184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45184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45184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45184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45184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45184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45184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45184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45184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45184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45184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45184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45184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45184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45184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45184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45184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45184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45184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45184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45184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45184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45184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45184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45184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45184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45184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45184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45184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45184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45184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45184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45184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45184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45184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45184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45184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45184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45184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45184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45184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45184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45184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45184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45184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45184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45184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45184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45184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45184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45184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45184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45184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45184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45184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45184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45184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45184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45184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45184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45184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45184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45184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45184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45184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45184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45184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45184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45184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45184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45184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45184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45184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45184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45184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45184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45184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45184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45184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45184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45184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45184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45184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45184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45184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45184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45184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45184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45184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45184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45184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45184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45184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45184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45184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45184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45184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45184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45184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45184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45184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45184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45184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45184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45184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45184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45184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45184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45184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45184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45184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45184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45184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45184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45184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45184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45184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45184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45184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45184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45184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45184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45184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45184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45184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45184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45184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45184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45184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45184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45184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45184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45184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45184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45184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45184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45184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45184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45184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45184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45184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45184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45184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45184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45184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45184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45184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45184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45184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45184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45184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45184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45184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45184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45184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45184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45184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45184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45184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45184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45184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45184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45184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45184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45184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45184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45184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45184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45184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45184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45184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45184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45184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45184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45184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45184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45184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45184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45184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45184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45184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45184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45184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45184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45184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45184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45184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45184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45184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45184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45184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45184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45184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45184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45184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45184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45184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45184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45184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45184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45184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45184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45184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45184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45184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45184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45184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45184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45184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45184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45184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45184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45184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45184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45184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45184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45184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45184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45184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45184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45184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45184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45184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45184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45184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45184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45184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45184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45184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45184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45184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45184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45184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45184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45184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45184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45184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45184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45184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45184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45184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45184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45184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45184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45184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45184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45184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45184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45184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45184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45184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45184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45184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45184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45184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45184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45184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45184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45184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45184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45184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45184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45184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45184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45184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45184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45184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45184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45184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45184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45184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45184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45184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45184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45184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45184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45184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45184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45184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45184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45184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45184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45184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45184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45184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45184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45184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45184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45184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45184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45184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45184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45184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45184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45184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45184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45184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45184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45184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45184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45184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45184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45184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45184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45184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45184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45184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45184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45184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45184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45184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45184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45184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45184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45184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45184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45184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45184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45184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45184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45184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45184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45184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45184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45184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45184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45184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45184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45184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45184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45184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45184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45184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45184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45184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45184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45184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45184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45184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45184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45184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45184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45184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45184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45184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45184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45184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45184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45184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45184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45184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45184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45184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45184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45184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45184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45184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45184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45184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45184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45184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45184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45184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45184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45184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45184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45184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45184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45184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45184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45184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45184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45184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45184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45184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45184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45184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45184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45184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45184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45184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45184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45184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45184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45184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45184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45184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45184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45184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45184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45184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45184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45184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45184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45184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45184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45184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45184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45184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45184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45184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45184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45184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45184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45184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45184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45184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45184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45184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45184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45184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45184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45184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45184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45184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45184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45184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45184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45184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45184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45184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45184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45184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45184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45184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45184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45184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45184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45184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45184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45184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45184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45184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45184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45184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45184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45184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45184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45184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45184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45184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45184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45184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45184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45184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45184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45184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45184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45184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45184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45184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45184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45184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45184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45184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45184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45184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45184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45184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45184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45184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45184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45184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45184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45184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45184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45184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45184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45184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45184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45184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45184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45184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45184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45184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45184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45184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45184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45184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45184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45184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45184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45184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45184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45184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45184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45184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45184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45184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45184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45184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45184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45184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45184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45184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45184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45184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45184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45184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45184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45184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45184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45184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45184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45184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45184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45184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45184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45184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45184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45184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45184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45184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45184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45184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45184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45184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45184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45184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45184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45184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45184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45184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45184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45184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45184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45184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45184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45184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45184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45184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45184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45184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45184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45184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45184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45184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45184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45184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45184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45184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45184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45184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45184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45184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45184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45184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45184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45184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45184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45184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45184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45184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45184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45184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45184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45184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45184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45184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45184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45184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45184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45184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45184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45184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45184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45184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45184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45184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45184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45184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45184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45184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45184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45184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45184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45184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45184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45184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45184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45184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45184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45184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45184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45184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45184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45184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45184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45184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45184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45184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45184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45184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45184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45184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45184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45184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45184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45184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45184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45184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45184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45184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45184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45184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45184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45184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45184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45184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45184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45184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45184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45184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45184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45184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45184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45184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45184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45184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45184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45184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45184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45184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45184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45184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45184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45184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45184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45184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45184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45184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45184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45184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45184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45184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45184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45184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27756-2023.png")</f>
        <v/>
      </c>
      <c r="V4793">
        <f>HYPERLINK("https://klasma.github.io/Logging_ALMHULT/klagomål/A 27756-2023.docx")</f>
        <v/>
      </c>
      <c r="W4793">
        <f>HYPERLINK("https://klasma.github.io/Logging_ALMHULT/klagomålsmail/A 27756-2023.docx")</f>
        <v/>
      </c>
      <c r="X4793">
        <f>HYPERLINK("https://klasma.github.io/Logging_ALMHULT/tillsyn/A 27756-2023.docx")</f>
        <v/>
      </c>
      <c r="Y4793">
        <f>HYPERLINK("https://klasma.github.io/Logging_ALMHULT/tillsynsmail/A 27756-2023.docx")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45184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45184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45184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45184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45184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45184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45184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45184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45184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45184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45184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45184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45184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45184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45184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45184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45184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45184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45184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45184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45184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45184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45184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45184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45184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45184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45184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45184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45184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45184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45184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45184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45184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45184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45184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45184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45184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45184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45184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45184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45184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45184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45184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45184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45184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45184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45184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45184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45184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45184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45184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45184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45184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45184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45184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45184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45184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45184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45184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45184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45184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45184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45184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45184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45184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45184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45184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45184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45184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45184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45184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45184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45184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45184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45184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45184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45184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45184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45184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45184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45184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45184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45184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45184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45184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45184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45184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45184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45184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45184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45184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45184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45184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45184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45184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45184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45184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45184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45184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45184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45184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45184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45184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45184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45184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45184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45184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45184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45184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45184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45184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45184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45184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45184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45184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45184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45184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45184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45184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45184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45184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45184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45184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45184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45184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45184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45184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45184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45184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45184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45184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45184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45184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45184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45184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45184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45184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45184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45184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45184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45184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45184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45184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45184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45184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45184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45184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45184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45184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45184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45184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45184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45184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45184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45184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45184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45184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45184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45184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45184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45184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45184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45184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45184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45184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45184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45184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45184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45184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45184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40366-2023</t>
        </is>
      </c>
      <c r="B4964" s="1" t="n">
        <v>45169</v>
      </c>
      <c r="C4964" s="1" t="n">
        <v>45184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42758-2023</t>
        </is>
      </c>
      <c r="B4965" s="1" t="n">
        <v>45181</v>
      </c>
      <c r="C4965" s="1" t="n">
        <v>45184</v>
      </c>
      <c r="D4965" t="inlineStr">
        <is>
          <t>KRONOBERGS LÄN</t>
        </is>
      </c>
      <c r="E4965" t="inlineStr">
        <is>
          <t>VÄXJÖ</t>
        </is>
      </c>
      <c r="G4965" t="n">
        <v>2.2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>
      <c r="A4966" t="inlineStr">
        <is>
          <t>A 43016-2023</t>
        </is>
      </c>
      <c r="B4966" s="1" t="n">
        <v>45182</v>
      </c>
      <c r="C4966" s="1" t="n">
        <v>45184</v>
      </c>
      <c r="D4966" t="inlineStr">
        <is>
          <t>KRONOBERGS LÄN</t>
        </is>
      </c>
      <c r="E4966" t="inlineStr">
        <is>
          <t>ÄLMHULT</t>
        </is>
      </c>
      <c r="G4966" t="n">
        <v>0.8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2023-09-15T06:02:53Z</dcterms:created>
  <dcterms:modified xmlns:dcterms="http://purl.org/dc/terms/" xmlns:xsi="http://www.w3.org/2001/XMLSchema-instance" xsi:type="dcterms:W3CDTF">2023-09-15T06:02:55Z</dcterms:modified>
</cp:coreProperties>
</file>