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4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29141-2021</t>
        </is>
      </c>
      <c r="B2" s="1" t="n">
        <v>44358</v>
      </c>
      <c r="C2" s="1" t="n">
        <v>45181</v>
      </c>
      <c r="D2" t="inlineStr">
        <is>
          <t>GÄVLEBORGS LÄN</t>
        </is>
      </c>
      <c r="E2" t="inlineStr">
        <is>
          <t>LJUSDAL</t>
        </is>
      </c>
      <c r="G2" t="n">
        <v>16.9</v>
      </c>
      <c r="H2" t="n">
        <v>5</v>
      </c>
      <c r="I2" t="n">
        <v>5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Knärot
Rynkskinn
Brunpudrad nållav
Garnlav
Lunglav
Talltita
Ullticka
Vedskivlav
Nästlav
Skinnlav
Spindelblomster
Stuplav
Vedticka
Fläcknycklar
Revlummer</t>
        </is>
      </c>
      <c r="S2">
        <f>HYPERLINK("https://klasma.github.io/Logging_LJUSDAL/artfynd/A 29141-2021.xlsx")</f>
        <v/>
      </c>
      <c r="T2">
        <f>HYPERLINK("https://klasma.github.io/Logging_LJUSDAL/kartor/A 29141-2021.png")</f>
        <v/>
      </c>
      <c r="U2">
        <f>HYPERLINK("https://klasma.github.io/Logging_LJUSDAL/knärot/A 29141-2021.png")</f>
        <v/>
      </c>
      <c r="V2">
        <f>HYPERLINK("https://klasma.github.io/Logging_LJUSDAL/klagomål/A 29141-2021.docx")</f>
        <v/>
      </c>
      <c r="W2">
        <f>HYPERLINK("https://klasma.github.io/Logging_LJUSDAL/klagomålsmail/A 29141-2021.docx")</f>
        <v/>
      </c>
      <c r="X2">
        <f>HYPERLINK("https://klasma.github.io/Logging_LJUSDAL/tillsyn/A 29141-2021.docx")</f>
        <v/>
      </c>
      <c r="Y2">
        <f>HYPERLINK("https://klasma.github.io/Logging_LJUSDAL/tillsynsmail/A 29141-2021.docx")</f>
        <v/>
      </c>
    </row>
    <row r="3" ht="15" customHeight="1">
      <c r="A3" t="inlineStr">
        <is>
          <t>A 17261-2020</t>
        </is>
      </c>
      <c r="B3" s="1" t="n">
        <v>43922</v>
      </c>
      <c r="C3" s="1" t="n">
        <v>45181</v>
      </c>
      <c r="D3" t="inlineStr">
        <is>
          <t>GÄVLEBORGS LÄN</t>
        </is>
      </c>
      <c r="E3" t="inlineStr">
        <is>
          <t>LJUSDAL</t>
        </is>
      </c>
      <c r="F3" t="inlineStr">
        <is>
          <t>Holmen skog AB</t>
        </is>
      </c>
      <c r="G3" t="n">
        <v>6.3</v>
      </c>
      <c r="H3" t="n">
        <v>1</v>
      </c>
      <c r="I3" t="n">
        <v>4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13</v>
      </c>
      <c r="R3" s="2" t="inlineStr">
        <is>
          <t>Knärot
Dvärgbägarlav
Gammelgransskål
Garnlav
Granticka
Lunglav
Ullticka
Vitgrynig nållav
Vitskaftad svartspik
Bollvitmossa
Bronshjon
Skinnlav
Vedticka</t>
        </is>
      </c>
      <c r="S3">
        <f>HYPERLINK("https://klasma.github.io/Logging_LJUSDAL/artfynd/A 17261-2020.xlsx")</f>
        <v/>
      </c>
      <c r="T3">
        <f>HYPERLINK("https://klasma.github.io/Logging_LJUSDAL/kartor/A 17261-2020.png")</f>
        <v/>
      </c>
      <c r="U3">
        <f>HYPERLINK("https://klasma.github.io/Logging_LJUSDAL/knärot/A 17261-2020.png")</f>
        <v/>
      </c>
      <c r="V3">
        <f>HYPERLINK("https://klasma.github.io/Logging_LJUSDAL/klagomål/A 17261-2020.docx")</f>
        <v/>
      </c>
      <c r="W3">
        <f>HYPERLINK("https://klasma.github.io/Logging_LJUSDAL/klagomålsmail/A 17261-2020.docx")</f>
        <v/>
      </c>
      <c r="X3">
        <f>HYPERLINK("https://klasma.github.io/Logging_LJUSDAL/tillsyn/A 17261-2020.docx")</f>
        <v/>
      </c>
      <c r="Y3">
        <f>HYPERLINK("https://klasma.github.io/Logging_LJUSDAL/tillsynsmail/A 17261-2020.docx")</f>
        <v/>
      </c>
    </row>
    <row r="4" ht="15" customHeight="1">
      <c r="A4" t="inlineStr">
        <is>
          <t>A 48020-2021</t>
        </is>
      </c>
      <c r="B4" s="1" t="n">
        <v>44449</v>
      </c>
      <c r="C4" s="1" t="n">
        <v>45181</v>
      </c>
      <c r="D4" t="inlineStr">
        <is>
          <t>GÄVLEBORGS LÄN</t>
        </is>
      </c>
      <c r="E4" t="inlineStr">
        <is>
          <t>LJUSDAL</t>
        </is>
      </c>
      <c r="G4" t="n">
        <v>6.4</v>
      </c>
      <c r="H4" t="n">
        <v>3</v>
      </c>
      <c r="I4" t="n">
        <v>2</v>
      </c>
      <c r="J4" t="n">
        <v>6</v>
      </c>
      <c r="K4" t="n">
        <v>4</v>
      </c>
      <c r="L4" t="n">
        <v>0</v>
      </c>
      <c r="M4" t="n">
        <v>0</v>
      </c>
      <c r="N4" t="n">
        <v>0</v>
      </c>
      <c r="O4" t="n">
        <v>10</v>
      </c>
      <c r="P4" t="n">
        <v>4</v>
      </c>
      <c r="Q4" t="n">
        <v>12</v>
      </c>
      <c r="R4" s="2" t="inlineStr">
        <is>
          <t>Knärot
Rynkskinn
Sprickporing
Vågticka
Granticka
Gränsticka
Rosenticka
Spillkråka
Tretåig hackspett
Ullticka
Fjällig taggsvamp s.str.
Mörk husmossa</t>
        </is>
      </c>
      <c r="S4">
        <f>HYPERLINK("https://klasma.github.io/Logging_LJUSDAL/artfynd/A 48020-2021.xlsx")</f>
        <v/>
      </c>
      <c r="T4">
        <f>HYPERLINK("https://klasma.github.io/Logging_LJUSDAL/kartor/A 48020-2021.png")</f>
        <v/>
      </c>
      <c r="U4">
        <f>HYPERLINK("https://klasma.github.io/Logging_LJUSDAL/knärot/A 48020-2021.png")</f>
        <v/>
      </c>
      <c r="V4">
        <f>HYPERLINK("https://klasma.github.io/Logging_LJUSDAL/klagomål/A 48020-2021.docx")</f>
        <v/>
      </c>
      <c r="W4">
        <f>HYPERLINK("https://klasma.github.io/Logging_LJUSDAL/klagomålsmail/A 48020-2021.docx")</f>
        <v/>
      </c>
      <c r="X4">
        <f>HYPERLINK("https://klasma.github.io/Logging_LJUSDAL/tillsyn/A 48020-2021.docx")</f>
        <v/>
      </c>
      <c r="Y4">
        <f>HYPERLINK("https://klasma.github.io/Logging_LJUSDAL/tillsynsmail/A 48020-2021.docx")</f>
        <v/>
      </c>
    </row>
    <row r="5" ht="15" customHeight="1">
      <c r="A5" t="inlineStr">
        <is>
          <t>A 42756-2018</t>
        </is>
      </c>
      <c r="B5" s="1" t="n">
        <v>43354</v>
      </c>
      <c r="C5" s="1" t="n">
        <v>45181</v>
      </c>
      <c r="D5" t="inlineStr">
        <is>
          <t>GÄVLEBORGS LÄN</t>
        </is>
      </c>
      <c r="E5" t="inlineStr">
        <is>
          <t>LJUSDAL</t>
        </is>
      </c>
      <c r="F5" t="inlineStr">
        <is>
          <t>Holmen skog AB</t>
        </is>
      </c>
      <c r="G5" t="n">
        <v>223</v>
      </c>
      <c r="H5" t="n">
        <v>6</v>
      </c>
      <c r="I5" t="n">
        <v>2</v>
      </c>
      <c r="J5" t="n">
        <v>4</v>
      </c>
      <c r="K5" t="n">
        <v>2</v>
      </c>
      <c r="L5" t="n">
        <v>1</v>
      </c>
      <c r="M5" t="n">
        <v>0</v>
      </c>
      <c r="N5" t="n">
        <v>0</v>
      </c>
      <c r="O5" t="n">
        <v>7</v>
      </c>
      <c r="P5" t="n">
        <v>3</v>
      </c>
      <c r="Q5" t="n">
        <v>11</v>
      </c>
      <c r="R5" s="2" t="inlineStr">
        <is>
          <t>Mosippa
Rutlåsbräken
Topplåsbräken
Myskmåra
Månlåsbräken
Sandviol
Svedjenäva
Plattlummer
Strutbräken
Nattviol
Revlummer</t>
        </is>
      </c>
      <c r="S5">
        <f>HYPERLINK("https://klasma.github.io/Logging_LJUSDAL/artfynd/A 42756-2018.xlsx")</f>
        <v/>
      </c>
      <c r="T5">
        <f>HYPERLINK("https://klasma.github.io/Logging_LJUSDAL/kartor/A 42756-2018.png")</f>
        <v/>
      </c>
      <c r="V5">
        <f>HYPERLINK("https://klasma.github.io/Logging_LJUSDAL/klagomål/A 42756-2018.docx")</f>
        <v/>
      </c>
      <c r="W5">
        <f>HYPERLINK("https://klasma.github.io/Logging_LJUSDAL/klagomålsmail/A 42756-2018.docx")</f>
        <v/>
      </c>
      <c r="X5">
        <f>HYPERLINK("https://klasma.github.io/Logging_LJUSDAL/tillsyn/A 42756-2018.docx")</f>
        <v/>
      </c>
      <c r="Y5">
        <f>HYPERLINK("https://klasma.github.io/Logging_LJUSDAL/tillsynsmail/A 42756-2018.docx")</f>
        <v/>
      </c>
    </row>
    <row r="6" ht="15" customHeight="1">
      <c r="A6" t="inlineStr">
        <is>
          <t>A 64616-2019</t>
        </is>
      </c>
      <c r="B6" s="1" t="n">
        <v>43798</v>
      </c>
      <c r="C6" s="1" t="n">
        <v>45181</v>
      </c>
      <c r="D6" t="inlineStr">
        <is>
          <t>GÄVLEBORGS LÄN</t>
        </is>
      </c>
      <c r="E6" t="inlineStr">
        <is>
          <t>LJUSDAL</t>
        </is>
      </c>
      <c r="F6" t="inlineStr">
        <is>
          <t>Holmen skog AB</t>
        </is>
      </c>
      <c r="G6" t="n">
        <v>10.5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Gammelgransskål
Garnlav
Tallticka
Ullticka
Vedskivlav
Violettgrå tagellav
Vitgrynig nållav
Barkkornlav
Skarp dropptaggsvamp
Vedticka</t>
        </is>
      </c>
      <c r="S6">
        <f>HYPERLINK("https://klasma.github.io/Logging_LJUSDAL/artfynd/A 64616-2019.xlsx")</f>
        <v/>
      </c>
      <c r="T6">
        <f>HYPERLINK("https://klasma.github.io/Logging_LJUSDAL/kartor/A 64616-2019.png")</f>
        <v/>
      </c>
      <c r="V6">
        <f>HYPERLINK("https://klasma.github.io/Logging_LJUSDAL/klagomål/A 64616-2019.docx")</f>
        <v/>
      </c>
      <c r="W6">
        <f>HYPERLINK("https://klasma.github.io/Logging_LJUSDAL/klagomålsmail/A 64616-2019.docx")</f>
        <v/>
      </c>
      <c r="X6">
        <f>HYPERLINK("https://klasma.github.io/Logging_LJUSDAL/tillsyn/A 64616-2019.docx")</f>
        <v/>
      </c>
      <c r="Y6">
        <f>HYPERLINK("https://klasma.github.io/Logging_LJUSDAL/tillsynsmail/A 64616-2019.docx")</f>
        <v/>
      </c>
    </row>
    <row r="7" ht="15" customHeight="1">
      <c r="A7" t="inlineStr">
        <is>
          <t>A 7565-2020</t>
        </is>
      </c>
      <c r="B7" s="1" t="n">
        <v>43872</v>
      </c>
      <c r="C7" s="1" t="n">
        <v>45181</v>
      </c>
      <c r="D7" t="inlineStr">
        <is>
          <t>GÄVLEBORGS LÄN</t>
        </is>
      </c>
      <c r="E7" t="inlineStr">
        <is>
          <t>LJUSDAL</t>
        </is>
      </c>
      <c r="G7" t="n">
        <v>4.4</v>
      </c>
      <c r="H7" t="n">
        <v>0</v>
      </c>
      <c r="I7" t="n">
        <v>1</v>
      </c>
      <c r="J7" t="n">
        <v>8</v>
      </c>
      <c r="K7" t="n">
        <v>0</v>
      </c>
      <c r="L7" t="n">
        <v>0</v>
      </c>
      <c r="M7" t="n">
        <v>0</v>
      </c>
      <c r="N7" t="n">
        <v>0</v>
      </c>
      <c r="O7" t="n">
        <v>8</v>
      </c>
      <c r="P7" t="n">
        <v>0</v>
      </c>
      <c r="Q7" t="n">
        <v>9</v>
      </c>
      <c r="R7" s="2" t="inlineStr">
        <is>
          <t>Blanksvart spiklav
Dvärgbägarlav
Garnlav
Kolflarnlav
Mörk kolflarnlav
Tallticka
Vedflamlav
Vedskivlav
Dropptaggsvamp</t>
        </is>
      </c>
      <c r="S7">
        <f>HYPERLINK("https://klasma.github.io/Logging_LJUSDAL/artfynd/A 7565-2020.xlsx")</f>
        <v/>
      </c>
      <c r="T7">
        <f>HYPERLINK("https://klasma.github.io/Logging_LJUSDAL/kartor/A 7565-2020.png")</f>
        <v/>
      </c>
      <c r="V7">
        <f>HYPERLINK("https://klasma.github.io/Logging_LJUSDAL/klagomål/A 7565-2020.docx")</f>
        <v/>
      </c>
      <c r="W7">
        <f>HYPERLINK("https://klasma.github.io/Logging_LJUSDAL/klagomålsmail/A 7565-2020.docx")</f>
        <v/>
      </c>
      <c r="X7">
        <f>HYPERLINK("https://klasma.github.io/Logging_LJUSDAL/tillsyn/A 7565-2020.docx")</f>
        <v/>
      </c>
      <c r="Y7">
        <f>HYPERLINK("https://klasma.github.io/Logging_LJUSDAL/tillsynsmail/A 7565-2020.docx")</f>
        <v/>
      </c>
    </row>
    <row r="8" ht="15" customHeight="1">
      <c r="A8" t="inlineStr">
        <is>
          <t>A 23984-2022</t>
        </is>
      </c>
      <c r="B8" s="1" t="n">
        <v>44722</v>
      </c>
      <c r="C8" s="1" t="n">
        <v>45181</v>
      </c>
      <c r="D8" t="inlineStr">
        <is>
          <t>GÄVLEBORGS LÄN</t>
        </is>
      </c>
      <c r="E8" t="inlineStr">
        <is>
          <t>LJUSDAL</t>
        </is>
      </c>
      <c r="G8" t="n">
        <v>36.7</v>
      </c>
      <c r="H8" t="n">
        <v>0</v>
      </c>
      <c r="I8" t="n">
        <v>1</v>
      </c>
      <c r="J8" t="n">
        <v>7</v>
      </c>
      <c r="K8" t="n">
        <v>1</v>
      </c>
      <c r="L8" t="n">
        <v>0</v>
      </c>
      <c r="M8" t="n">
        <v>0</v>
      </c>
      <c r="N8" t="n">
        <v>0</v>
      </c>
      <c r="O8" t="n">
        <v>8</v>
      </c>
      <c r="P8" t="n">
        <v>1</v>
      </c>
      <c r="Q8" t="n">
        <v>9</v>
      </c>
      <c r="R8" s="2" t="inlineStr">
        <is>
          <t>Vågticka
Blanksvart spiklav
Garnlav
Kortskaftad ärgspik
Lunglav
Stjärntagging
Vedskivlav
Vitgrynig nållav
Dropptaggsvamp</t>
        </is>
      </c>
      <c r="S8">
        <f>HYPERLINK("https://klasma.github.io/Logging_LJUSDAL/artfynd/A 23984-2022.xlsx")</f>
        <v/>
      </c>
      <c r="T8">
        <f>HYPERLINK("https://klasma.github.io/Logging_LJUSDAL/kartor/A 23984-2022.png")</f>
        <v/>
      </c>
      <c r="U8">
        <f>HYPERLINK("https://klasma.github.io/Logging_LJUSDAL/knärot/A 23984-2022.png")</f>
        <v/>
      </c>
      <c r="V8">
        <f>HYPERLINK("https://klasma.github.io/Logging_LJUSDAL/klagomål/A 23984-2022.docx")</f>
        <v/>
      </c>
      <c r="W8">
        <f>HYPERLINK("https://klasma.github.io/Logging_LJUSDAL/klagomålsmail/A 23984-2022.docx")</f>
        <v/>
      </c>
      <c r="X8">
        <f>HYPERLINK("https://klasma.github.io/Logging_LJUSDAL/tillsyn/A 23984-2022.docx")</f>
        <v/>
      </c>
      <c r="Y8">
        <f>HYPERLINK("https://klasma.github.io/Logging_LJUSDAL/tillsynsmail/A 23984-2022.docx")</f>
        <v/>
      </c>
    </row>
    <row r="9" ht="15" customHeight="1">
      <c r="A9" t="inlineStr">
        <is>
          <t>A 27800-2022</t>
        </is>
      </c>
      <c r="B9" s="1" t="n">
        <v>44743</v>
      </c>
      <c r="C9" s="1" t="n">
        <v>45181</v>
      </c>
      <c r="D9" t="inlineStr">
        <is>
          <t>GÄVLEBORGS LÄN</t>
        </is>
      </c>
      <c r="E9" t="inlineStr">
        <is>
          <t>LJUSDAL</t>
        </is>
      </c>
      <c r="F9" t="inlineStr">
        <is>
          <t>Sveaskog</t>
        </is>
      </c>
      <c r="G9" t="n">
        <v>8.9</v>
      </c>
      <c r="H9" t="n">
        <v>6</v>
      </c>
      <c r="I9" t="n">
        <v>5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9</v>
      </c>
      <c r="R9" s="2" t="inlineStr">
        <is>
          <t>Grönkulla
Spindelblomster
Svart trolldruva
Ängsvaxskivling
Ögonpyrola
Fläcknycklar
Nattviol
Blåsippa
Revlummer</t>
        </is>
      </c>
      <c r="S9">
        <f>HYPERLINK("https://klasma.github.io/Logging_LJUSDAL/artfynd/A 27800-2022.xlsx")</f>
        <v/>
      </c>
      <c r="T9">
        <f>HYPERLINK("https://klasma.github.io/Logging_LJUSDAL/kartor/A 27800-2022.png")</f>
        <v/>
      </c>
      <c r="V9">
        <f>HYPERLINK("https://klasma.github.io/Logging_LJUSDAL/klagomål/A 27800-2022.docx")</f>
        <v/>
      </c>
      <c r="W9">
        <f>HYPERLINK("https://klasma.github.io/Logging_LJUSDAL/klagomålsmail/A 27800-2022.docx")</f>
        <v/>
      </c>
      <c r="X9">
        <f>HYPERLINK("https://klasma.github.io/Logging_LJUSDAL/tillsyn/A 27800-2022.docx")</f>
        <v/>
      </c>
      <c r="Y9">
        <f>HYPERLINK("https://klasma.github.io/Logging_LJUSDAL/tillsynsmail/A 27800-2022.docx")</f>
        <v/>
      </c>
    </row>
    <row r="10" ht="15" customHeight="1">
      <c r="A10" t="inlineStr">
        <is>
          <t>A 69572-2020</t>
        </is>
      </c>
      <c r="B10" s="1" t="n">
        <v>44194</v>
      </c>
      <c r="C10" s="1" t="n">
        <v>45181</v>
      </c>
      <c r="D10" t="inlineStr">
        <is>
          <t>GÄVLEBORGS LÄN</t>
        </is>
      </c>
      <c r="E10" t="inlineStr">
        <is>
          <t>LJUSDAL</t>
        </is>
      </c>
      <c r="G10" t="n">
        <v>16.1</v>
      </c>
      <c r="H10" t="n">
        <v>2</v>
      </c>
      <c r="I10" t="n">
        <v>3</v>
      </c>
      <c r="J10" t="n">
        <v>2</v>
      </c>
      <c r="K10" t="n">
        <v>2</v>
      </c>
      <c r="L10" t="n">
        <v>0</v>
      </c>
      <c r="M10" t="n">
        <v>0</v>
      </c>
      <c r="N10" t="n">
        <v>0</v>
      </c>
      <c r="O10" t="n">
        <v>4</v>
      </c>
      <c r="P10" t="n">
        <v>2</v>
      </c>
      <c r="Q10" t="n">
        <v>8</v>
      </c>
      <c r="R10" s="2" t="inlineStr">
        <is>
          <t>Knärot
Rynkskinn
Garnlav
Rosenticka
Stuplav
Vedticka
Vårärt
Nattviol</t>
        </is>
      </c>
      <c r="S10">
        <f>HYPERLINK("https://klasma.github.io/Logging_LJUSDAL/artfynd/A 69572-2020.xlsx")</f>
        <v/>
      </c>
      <c r="T10">
        <f>HYPERLINK("https://klasma.github.io/Logging_LJUSDAL/kartor/A 69572-2020.png")</f>
        <v/>
      </c>
      <c r="U10">
        <f>HYPERLINK("https://klasma.github.io/Logging_LJUSDAL/knärot/A 69572-2020.png")</f>
        <v/>
      </c>
      <c r="V10">
        <f>HYPERLINK("https://klasma.github.io/Logging_LJUSDAL/klagomål/A 69572-2020.docx")</f>
        <v/>
      </c>
      <c r="W10">
        <f>HYPERLINK("https://klasma.github.io/Logging_LJUSDAL/klagomålsmail/A 69572-2020.docx")</f>
        <v/>
      </c>
      <c r="X10">
        <f>HYPERLINK("https://klasma.github.io/Logging_LJUSDAL/tillsyn/A 69572-2020.docx")</f>
        <v/>
      </c>
      <c r="Y10">
        <f>HYPERLINK("https://klasma.github.io/Logging_LJUSDAL/tillsynsmail/A 69572-2020.docx")</f>
        <v/>
      </c>
    </row>
    <row r="11" ht="15" customHeight="1">
      <c r="A11" t="inlineStr">
        <is>
          <t>A 27315-2023</t>
        </is>
      </c>
      <c r="B11" s="1" t="n">
        <v>45096</v>
      </c>
      <c r="C11" s="1" t="n">
        <v>45181</v>
      </c>
      <c r="D11" t="inlineStr">
        <is>
          <t>GÄVLEBORGS LÄN</t>
        </is>
      </c>
      <c r="E11" t="inlineStr">
        <is>
          <t>LJUSDAL</t>
        </is>
      </c>
      <c r="G11" t="n">
        <v>10.5</v>
      </c>
      <c r="H11" t="n">
        <v>1</v>
      </c>
      <c r="I11" t="n">
        <v>4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8</v>
      </c>
      <c r="R11" s="2" t="inlineStr">
        <is>
          <t>Garnlav
Granticka
Lunglav
Skrovellav
Korallblylav
Mörk husmossa
Spindelblomster
Stuplav</t>
        </is>
      </c>
      <c r="S11">
        <f>HYPERLINK("https://klasma.github.io/Logging_LJUSDAL/artfynd/A 27315-2023.xlsx")</f>
        <v/>
      </c>
      <c r="T11">
        <f>HYPERLINK("https://klasma.github.io/Logging_LJUSDAL/kartor/A 27315-2023.png")</f>
        <v/>
      </c>
      <c r="V11">
        <f>HYPERLINK("https://klasma.github.io/Logging_LJUSDAL/klagomål/A 27315-2023.docx")</f>
        <v/>
      </c>
      <c r="W11">
        <f>HYPERLINK("https://klasma.github.io/Logging_LJUSDAL/klagomålsmail/A 27315-2023.docx")</f>
        <v/>
      </c>
      <c r="X11">
        <f>HYPERLINK("https://klasma.github.io/Logging_LJUSDAL/tillsyn/A 27315-2023.docx")</f>
        <v/>
      </c>
      <c r="Y11">
        <f>HYPERLINK("https://klasma.github.io/Logging_LJUSDAL/tillsynsmail/A 27315-2023.docx")</f>
        <v/>
      </c>
    </row>
    <row r="12" ht="15" customHeight="1">
      <c r="A12" t="inlineStr">
        <is>
          <t>A 40223-2018</t>
        </is>
      </c>
      <c r="B12" s="1" t="n">
        <v>43343</v>
      </c>
      <c r="C12" s="1" t="n">
        <v>45181</v>
      </c>
      <c r="D12" t="inlineStr">
        <is>
          <t>GÄVLEBORGS LÄN</t>
        </is>
      </c>
      <c r="E12" t="inlineStr">
        <is>
          <t>LJUSDAL</t>
        </is>
      </c>
      <c r="G12" t="n">
        <v>33.8</v>
      </c>
      <c r="H12" t="n">
        <v>0</v>
      </c>
      <c r="I12" t="n">
        <v>1</v>
      </c>
      <c r="J12" t="n">
        <v>4</v>
      </c>
      <c r="K12" t="n">
        <v>2</v>
      </c>
      <c r="L12" t="n">
        <v>0</v>
      </c>
      <c r="M12" t="n">
        <v>0</v>
      </c>
      <c r="N12" t="n">
        <v>0</v>
      </c>
      <c r="O12" t="n">
        <v>6</v>
      </c>
      <c r="P12" t="n">
        <v>2</v>
      </c>
      <c r="Q12" t="n">
        <v>7</v>
      </c>
      <c r="R12" s="2" t="inlineStr">
        <is>
          <t>Goliatmusseron
Tallgråticka
Blå taggsvamp
Orange taggsvamp
Skrovlig taggsvamp
Tallriska
Dropptaggsvamp</t>
        </is>
      </c>
      <c r="S12">
        <f>HYPERLINK("https://klasma.github.io/Logging_LJUSDAL/artfynd/A 40223-2018.xlsx")</f>
        <v/>
      </c>
      <c r="T12">
        <f>HYPERLINK("https://klasma.github.io/Logging_LJUSDAL/kartor/A 40223-2018.png")</f>
        <v/>
      </c>
      <c r="V12">
        <f>HYPERLINK("https://klasma.github.io/Logging_LJUSDAL/klagomål/A 40223-2018.docx")</f>
        <v/>
      </c>
      <c r="W12">
        <f>HYPERLINK("https://klasma.github.io/Logging_LJUSDAL/klagomålsmail/A 40223-2018.docx")</f>
        <v/>
      </c>
      <c r="X12">
        <f>HYPERLINK("https://klasma.github.io/Logging_LJUSDAL/tillsyn/A 40223-2018.docx")</f>
        <v/>
      </c>
      <c r="Y12">
        <f>HYPERLINK("https://klasma.github.io/Logging_LJUSDAL/tillsynsmail/A 40223-2018.docx")</f>
        <v/>
      </c>
    </row>
    <row r="13" ht="15" customHeight="1">
      <c r="A13" t="inlineStr">
        <is>
          <t>A 51557-2022</t>
        </is>
      </c>
      <c r="B13" s="1" t="n">
        <v>44869</v>
      </c>
      <c r="C13" s="1" t="n">
        <v>45181</v>
      </c>
      <c r="D13" t="inlineStr">
        <is>
          <t>GÄVLEBORGS LÄN</t>
        </is>
      </c>
      <c r="E13" t="inlineStr">
        <is>
          <t>LJUSDAL</t>
        </is>
      </c>
      <c r="F13" t="inlineStr">
        <is>
          <t>SCA</t>
        </is>
      </c>
      <c r="G13" t="n">
        <v>8.300000000000001</v>
      </c>
      <c r="H13" t="n">
        <v>3</v>
      </c>
      <c r="I13" t="n">
        <v>2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7</v>
      </c>
      <c r="R13" s="2" t="inlineStr">
        <is>
          <t>Blanksvart spiklav
Garnlav
Kolflarnlav
Mörk kolflarnlav
Korallrot
Plattlummer
Revlummer</t>
        </is>
      </c>
      <c r="S13">
        <f>HYPERLINK("https://klasma.github.io/Logging_LJUSDAL/artfynd/A 51557-2022.xlsx")</f>
        <v/>
      </c>
      <c r="T13">
        <f>HYPERLINK("https://klasma.github.io/Logging_LJUSDAL/kartor/A 51557-2022.png")</f>
        <v/>
      </c>
      <c r="V13">
        <f>HYPERLINK("https://klasma.github.io/Logging_LJUSDAL/klagomål/A 51557-2022.docx")</f>
        <v/>
      </c>
      <c r="W13">
        <f>HYPERLINK("https://klasma.github.io/Logging_LJUSDAL/klagomålsmail/A 51557-2022.docx")</f>
        <v/>
      </c>
      <c r="X13">
        <f>HYPERLINK("https://klasma.github.io/Logging_LJUSDAL/tillsyn/A 51557-2022.docx")</f>
        <v/>
      </c>
      <c r="Y13">
        <f>HYPERLINK("https://klasma.github.io/Logging_LJUSDAL/tillsynsmail/A 51557-2022.docx")</f>
        <v/>
      </c>
    </row>
    <row r="14" ht="15" customHeight="1">
      <c r="A14" t="inlineStr">
        <is>
          <t>A 18631-2022</t>
        </is>
      </c>
      <c r="B14" s="1" t="n">
        <v>44687</v>
      </c>
      <c r="C14" s="1" t="n">
        <v>45181</v>
      </c>
      <c r="D14" t="inlineStr">
        <is>
          <t>GÄVLEBORGS LÄN</t>
        </is>
      </c>
      <c r="E14" t="inlineStr">
        <is>
          <t>LJUSDAL</t>
        </is>
      </c>
      <c r="F14" t="inlineStr">
        <is>
          <t>Bergvik skog väst AB</t>
        </is>
      </c>
      <c r="G14" t="n">
        <v>10.8</v>
      </c>
      <c r="H14" t="n">
        <v>2</v>
      </c>
      <c r="I14" t="n">
        <v>1</v>
      </c>
      <c r="J14" t="n">
        <v>5</v>
      </c>
      <c r="K14" t="n">
        <v>0</v>
      </c>
      <c r="L14" t="n">
        <v>0</v>
      </c>
      <c r="M14" t="n">
        <v>0</v>
      </c>
      <c r="N14" t="n">
        <v>0</v>
      </c>
      <c r="O14" t="n">
        <v>5</v>
      </c>
      <c r="P14" t="n">
        <v>0</v>
      </c>
      <c r="Q14" t="n">
        <v>6</v>
      </c>
      <c r="R14" s="2" t="inlineStr">
        <is>
          <t>Blanksvart spiklav
Lunglav
Mörk kolflarnlav
Spillkråka
Tretåig hackspett
Rävticka</t>
        </is>
      </c>
      <c r="S14">
        <f>HYPERLINK("https://klasma.github.io/Logging_LJUSDAL/artfynd/A 18631-2022.xlsx")</f>
        <v/>
      </c>
      <c r="T14">
        <f>HYPERLINK("https://klasma.github.io/Logging_LJUSDAL/kartor/A 18631-2022.png")</f>
        <v/>
      </c>
      <c r="U14">
        <f>HYPERLINK("https://klasma.github.io/Logging_LJUSDAL/knärot/A 18631-2022.png")</f>
        <v/>
      </c>
      <c r="V14">
        <f>HYPERLINK("https://klasma.github.io/Logging_LJUSDAL/klagomål/A 18631-2022.docx")</f>
        <v/>
      </c>
      <c r="W14">
        <f>HYPERLINK("https://klasma.github.io/Logging_LJUSDAL/klagomålsmail/A 18631-2022.docx")</f>
        <v/>
      </c>
      <c r="X14">
        <f>HYPERLINK("https://klasma.github.io/Logging_LJUSDAL/tillsyn/A 18631-2022.docx")</f>
        <v/>
      </c>
      <c r="Y14">
        <f>HYPERLINK("https://klasma.github.io/Logging_LJUSDAL/tillsynsmail/A 18631-2022.docx")</f>
        <v/>
      </c>
    </row>
    <row r="15" ht="15" customHeight="1">
      <c r="A15" t="inlineStr">
        <is>
          <t>A 18705-2022</t>
        </is>
      </c>
      <c r="B15" s="1" t="n">
        <v>44687</v>
      </c>
      <c r="C15" s="1" t="n">
        <v>45181</v>
      </c>
      <c r="D15" t="inlineStr">
        <is>
          <t>GÄVLEBORGS LÄN</t>
        </is>
      </c>
      <c r="E15" t="inlineStr">
        <is>
          <t>LJUSDAL</t>
        </is>
      </c>
      <c r="F15" t="inlineStr">
        <is>
          <t>Bergvik skog väst AB</t>
        </is>
      </c>
      <c r="G15" t="n">
        <v>3.3</v>
      </c>
      <c r="H15" t="n">
        <v>2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Doftticka
Garnlav
Lunglav
Tretåig hackspett
Skinnlav
Stuplav</t>
        </is>
      </c>
      <c r="S15">
        <f>HYPERLINK("https://klasma.github.io/Logging_LJUSDAL/artfynd/A 18705-2022.xlsx")</f>
        <v/>
      </c>
      <c r="T15">
        <f>HYPERLINK("https://klasma.github.io/Logging_LJUSDAL/kartor/A 18705-2022.png")</f>
        <v/>
      </c>
      <c r="U15">
        <f>HYPERLINK("https://klasma.github.io/Logging_LJUSDAL/knärot/A 18705-2022.png")</f>
        <v/>
      </c>
      <c r="V15">
        <f>HYPERLINK("https://klasma.github.io/Logging_LJUSDAL/klagomål/A 18705-2022.docx")</f>
        <v/>
      </c>
      <c r="W15">
        <f>HYPERLINK("https://klasma.github.io/Logging_LJUSDAL/klagomålsmail/A 18705-2022.docx")</f>
        <v/>
      </c>
      <c r="X15">
        <f>HYPERLINK("https://klasma.github.io/Logging_LJUSDAL/tillsyn/A 18705-2022.docx")</f>
        <v/>
      </c>
      <c r="Y15">
        <f>HYPERLINK("https://klasma.github.io/Logging_LJUSDAL/tillsynsmail/A 18705-2022.docx")</f>
        <v/>
      </c>
    </row>
    <row r="16" ht="15" customHeight="1">
      <c r="A16" t="inlineStr">
        <is>
          <t>A 20628-2022</t>
        </is>
      </c>
      <c r="B16" s="1" t="n">
        <v>44700</v>
      </c>
      <c r="C16" s="1" t="n">
        <v>45181</v>
      </c>
      <c r="D16" t="inlineStr">
        <is>
          <t>GÄVLEBORGS LÄN</t>
        </is>
      </c>
      <c r="E16" t="inlineStr">
        <is>
          <t>LJUSDAL</t>
        </is>
      </c>
      <c r="F16" t="inlineStr">
        <is>
          <t>Holmen skog AB</t>
        </is>
      </c>
      <c r="G16" t="n">
        <v>6.9</v>
      </c>
      <c r="H16" t="n">
        <v>4</v>
      </c>
      <c r="I16" t="n">
        <v>0</v>
      </c>
      <c r="J16" t="n">
        <v>4</v>
      </c>
      <c r="K16" t="n">
        <v>0</v>
      </c>
      <c r="L16" t="n">
        <v>0</v>
      </c>
      <c r="M16" t="n">
        <v>0</v>
      </c>
      <c r="N16" t="n">
        <v>0</v>
      </c>
      <c r="O16" t="n">
        <v>4</v>
      </c>
      <c r="P16" t="n">
        <v>0</v>
      </c>
      <c r="Q16" t="n">
        <v>6</v>
      </c>
      <c r="R16" s="2" t="inlineStr">
        <is>
          <t>Garnlav
Granticka
Talltita
Tretåig hackspett
Fläcknycklar
Revlummer</t>
        </is>
      </c>
      <c r="S16">
        <f>HYPERLINK("https://klasma.github.io/Logging_LJUSDAL/artfynd/A 20628-2022.xlsx")</f>
        <v/>
      </c>
      <c r="T16">
        <f>HYPERLINK("https://klasma.github.io/Logging_LJUSDAL/kartor/A 20628-2022.png")</f>
        <v/>
      </c>
      <c r="V16">
        <f>HYPERLINK("https://klasma.github.io/Logging_LJUSDAL/klagomål/A 20628-2022.docx")</f>
        <v/>
      </c>
      <c r="W16">
        <f>HYPERLINK("https://klasma.github.io/Logging_LJUSDAL/klagomålsmail/A 20628-2022.docx")</f>
        <v/>
      </c>
      <c r="X16">
        <f>HYPERLINK("https://klasma.github.io/Logging_LJUSDAL/tillsyn/A 20628-2022.docx")</f>
        <v/>
      </c>
      <c r="Y16">
        <f>HYPERLINK("https://klasma.github.io/Logging_LJUSDAL/tillsynsmail/A 20628-2022.docx")</f>
        <v/>
      </c>
    </row>
    <row r="17" ht="15" customHeight="1">
      <c r="A17" t="inlineStr">
        <is>
          <t>A 44518-2019</t>
        </is>
      </c>
      <c r="B17" s="1" t="n">
        <v>43711</v>
      </c>
      <c r="C17" s="1" t="n">
        <v>45181</v>
      </c>
      <c r="D17" t="inlineStr">
        <is>
          <t>GÄVLEBORGS LÄN</t>
        </is>
      </c>
      <c r="E17" t="inlineStr">
        <is>
          <t>LJUSDAL</t>
        </is>
      </c>
      <c r="F17" t="inlineStr">
        <is>
          <t>Sveaskog</t>
        </is>
      </c>
      <c r="G17" t="n">
        <v>10.4</v>
      </c>
      <c r="H17" t="n">
        <v>2</v>
      </c>
      <c r="I17" t="n">
        <v>0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5</v>
      </c>
      <c r="R17" s="2" t="inlineStr">
        <is>
          <t>Garnlav
Kolflarnlav
Mörk kolflarnlav
Fläcknycklar
Revlummer</t>
        </is>
      </c>
      <c r="S17">
        <f>HYPERLINK("https://klasma.github.io/Logging_LJUSDAL/artfynd/A 44518-2019.xlsx")</f>
        <v/>
      </c>
      <c r="T17">
        <f>HYPERLINK("https://klasma.github.io/Logging_LJUSDAL/kartor/A 44518-2019.png")</f>
        <v/>
      </c>
      <c r="V17">
        <f>HYPERLINK("https://klasma.github.io/Logging_LJUSDAL/klagomål/A 44518-2019.docx")</f>
        <v/>
      </c>
      <c r="W17">
        <f>HYPERLINK("https://klasma.github.io/Logging_LJUSDAL/klagomålsmail/A 44518-2019.docx")</f>
        <v/>
      </c>
      <c r="X17">
        <f>HYPERLINK("https://klasma.github.io/Logging_LJUSDAL/tillsyn/A 44518-2019.docx")</f>
        <v/>
      </c>
      <c r="Y17">
        <f>HYPERLINK("https://klasma.github.io/Logging_LJUSDAL/tillsynsmail/A 44518-2019.docx")</f>
        <v/>
      </c>
    </row>
    <row r="18" ht="15" customHeight="1">
      <c r="A18" t="inlineStr">
        <is>
          <t>A 69018-2021</t>
        </is>
      </c>
      <c r="B18" s="1" t="n">
        <v>44530</v>
      </c>
      <c r="C18" s="1" t="n">
        <v>45181</v>
      </c>
      <c r="D18" t="inlineStr">
        <is>
          <t>GÄVLEBORGS LÄN</t>
        </is>
      </c>
      <c r="E18" t="inlineStr">
        <is>
          <t>LJUSDAL</t>
        </is>
      </c>
      <c r="G18" t="n">
        <v>3.3</v>
      </c>
      <c r="H18" t="n">
        <v>2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5</v>
      </c>
      <c r="R18" s="2" t="inlineStr">
        <is>
          <t>Knärot
Gammelgransskål
Garnlav
Bårdlav
Revlummer</t>
        </is>
      </c>
      <c r="S18">
        <f>HYPERLINK("https://klasma.github.io/Logging_LJUSDAL/artfynd/A 69018-2021.xlsx")</f>
        <v/>
      </c>
      <c r="T18">
        <f>HYPERLINK("https://klasma.github.io/Logging_LJUSDAL/kartor/A 69018-2021.png")</f>
        <v/>
      </c>
      <c r="U18">
        <f>HYPERLINK("https://klasma.github.io/Logging_LJUSDAL/knärot/A 69018-2021.png")</f>
        <v/>
      </c>
      <c r="V18">
        <f>HYPERLINK("https://klasma.github.io/Logging_LJUSDAL/klagomål/A 69018-2021.docx")</f>
        <v/>
      </c>
      <c r="W18">
        <f>HYPERLINK("https://klasma.github.io/Logging_LJUSDAL/klagomålsmail/A 69018-2021.docx")</f>
        <v/>
      </c>
      <c r="X18">
        <f>HYPERLINK("https://klasma.github.io/Logging_LJUSDAL/tillsyn/A 69018-2021.docx")</f>
        <v/>
      </c>
      <c r="Y18">
        <f>HYPERLINK("https://klasma.github.io/Logging_LJUSDAL/tillsynsmail/A 69018-2021.docx")</f>
        <v/>
      </c>
    </row>
    <row r="19" ht="15" customHeight="1">
      <c r="A19" t="inlineStr">
        <is>
          <t>A 29834-2022</t>
        </is>
      </c>
      <c r="B19" s="1" t="n">
        <v>44755</v>
      </c>
      <c r="C19" s="1" t="n">
        <v>45181</v>
      </c>
      <c r="D19" t="inlineStr">
        <is>
          <t>GÄVLEBORGS LÄN</t>
        </is>
      </c>
      <c r="E19" t="inlineStr">
        <is>
          <t>LJUSDAL</t>
        </is>
      </c>
      <c r="F19" t="inlineStr">
        <is>
          <t>SCA</t>
        </is>
      </c>
      <c r="G19" t="n">
        <v>21.9</v>
      </c>
      <c r="H19" t="n">
        <v>2</v>
      </c>
      <c r="I19" t="n">
        <v>0</v>
      </c>
      <c r="J19" t="n">
        <v>4</v>
      </c>
      <c r="K19" t="n">
        <v>1</v>
      </c>
      <c r="L19" t="n">
        <v>0</v>
      </c>
      <c r="M19" t="n">
        <v>0</v>
      </c>
      <c r="N19" t="n">
        <v>0</v>
      </c>
      <c r="O19" t="n">
        <v>5</v>
      </c>
      <c r="P19" t="n">
        <v>1</v>
      </c>
      <c r="Q19" t="n">
        <v>5</v>
      </c>
      <c r="R19" s="2" t="inlineStr">
        <is>
          <t>Knärot
Garnlav
Mörk kolflarnlav
Tretåig hackspett
Vedskivlav</t>
        </is>
      </c>
      <c r="S19">
        <f>HYPERLINK("https://klasma.github.io/Logging_LJUSDAL/artfynd/A 29834-2022.xlsx")</f>
        <v/>
      </c>
      <c r="T19">
        <f>HYPERLINK("https://klasma.github.io/Logging_LJUSDAL/kartor/A 29834-2022.png")</f>
        <v/>
      </c>
      <c r="U19">
        <f>HYPERLINK("https://klasma.github.io/Logging_LJUSDAL/knärot/A 29834-2022.png")</f>
        <v/>
      </c>
      <c r="V19">
        <f>HYPERLINK("https://klasma.github.io/Logging_LJUSDAL/klagomål/A 29834-2022.docx")</f>
        <v/>
      </c>
      <c r="W19">
        <f>HYPERLINK("https://klasma.github.io/Logging_LJUSDAL/klagomålsmail/A 29834-2022.docx")</f>
        <v/>
      </c>
      <c r="X19">
        <f>HYPERLINK("https://klasma.github.io/Logging_LJUSDAL/tillsyn/A 29834-2022.docx")</f>
        <v/>
      </c>
      <c r="Y19">
        <f>HYPERLINK("https://klasma.github.io/Logging_LJUSDAL/tillsynsmail/A 29834-2022.docx")</f>
        <v/>
      </c>
    </row>
    <row r="20" ht="15" customHeight="1">
      <c r="A20" t="inlineStr">
        <is>
          <t>A 31463-2022</t>
        </is>
      </c>
      <c r="B20" s="1" t="n">
        <v>44774</v>
      </c>
      <c r="C20" s="1" t="n">
        <v>45181</v>
      </c>
      <c r="D20" t="inlineStr">
        <is>
          <t>GÄVLEBORGS LÄN</t>
        </is>
      </c>
      <c r="E20" t="inlineStr">
        <is>
          <t>LJUSDAL</t>
        </is>
      </c>
      <c r="F20" t="inlineStr">
        <is>
          <t>SCA</t>
        </is>
      </c>
      <c r="G20" t="n">
        <v>4.3</v>
      </c>
      <c r="H20" t="n">
        <v>2</v>
      </c>
      <c r="I20" t="n">
        <v>0</v>
      </c>
      <c r="J20" t="n">
        <v>4</v>
      </c>
      <c r="K20" t="n">
        <v>1</v>
      </c>
      <c r="L20" t="n">
        <v>0</v>
      </c>
      <c r="M20" t="n">
        <v>0</v>
      </c>
      <c r="N20" t="n">
        <v>0</v>
      </c>
      <c r="O20" t="n">
        <v>5</v>
      </c>
      <c r="P20" t="n">
        <v>1</v>
      </c>
      <c r="Q20" t="n">
        <v>5</v>
      </c>
      <c r="R20" s="2" t="inlineStr">
        <is>
          <t>Knärot
Garnlav
Kolflarnlav
Lunglav
Tretåig hackspett</t>
        </is>
      </c>
      <c r="S20">
        <f>HYPERLINK("https://klasma.github.io/Logging_LJUSDAL/artfynd/A 31463-2022.xlsx")</f>
        <v/>
      </c>
      <c r="T20">
        <f>HYPERLINK("https://klasma.github.io/Logging_LJUSDAL/kartor/A 31463-2022.png")</f>
        <v/>
      </c>
      <c r="U20">
        <f>HYPERLINK("https://klasma.github.io/Logging_LJUSDAL/knärot/A 31463-2022.png")</f>
        <v/>
      </c>
      <c r="V20">
        <f>HYPERLINK("https://klasma.github.io/Logging_LJUSDAL/klagomål/A 31463-2022.docx")</f>
        <v/>
      </c>
      <c r="W20">
        <f>HYPERLINK("https://klasma.github.io/Logging_LJUSDAL/klagomålsmail/A 31463-2022.docx")</f>
        <v/>
      </c>
      <c r="X20">
        <f>HYPERLINK("https://klasma.github.io/Logging_LJUSDAL/tillsyn/A 31463-2022.docx")</f>
        <v/>
      </c>
      <c r="Y20">
        <f>HYPERLINK("https://klasma.github.io/Logging_LJUSDAL/tillsynsmail/A 31463-2022.docx")</f>
        <v/>
      </c>
    </row>
    <row r="21" ht="15" customHeight="1">
      <c r="A21" t="inlineStr">
        <is>
          <t>A 31524-2022</t>
        </is>
      </c>
      <c r="B21" s="1" t="n">
        <v>44775</v>
      </c>
      <c r="C21" s="1" t="n">
        <v>45181</v>
      </c>
      <c r="D21" t="inlineStr">
        <is>
          <t>GÄVLEBORGS LÄN</t>
        </is>
      </c>
      <c r="E21" t="inlineStr">
        <is>
          <t>LJUSDAL</t>
        </is>
      </c>
      <c r="F21" t="inlineStr">
        <is>
          <t>Sveaskog</t>
        </is>
      </c>
      <c r="G21" t="n">
        <v>38.6</v>
      </c>
      <c r="H21" t="n">
        <v>2</v>
      </c>
      <c r="I21" t="n">
        <v>2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5</v>
      </c>
      <c r="R21" s="2" t="inlineStr">
        <is>
          <t>Garnlav
Gränsticka
Korallrot
Källmossa
Fläcknycklar</t>
        </is>
      </c>
      <c r="S21">
        <f>HYPERLINK("https://klasma.github.io/Logging_LJUSDAL/artfynd/A 31524-2022.xlsx")</f>
        <v/>
      </c>
      <c r="T21">
        <f>HYPERLINK("https://klasma.github.io/Logging_LJUSDAL/kartor/A 31524-2022.png")</f>
        <v/>
      </c>
      <c r="V21">
        <f>HYPERLINK("https://klasma.github.io/Logging_LJUSDAL/klagomål/A 31524-2022.docx")</f>
        <v/>
      </c>
      <c r="W21">
        <f>HYPERLINK("https://klasma.github.io/Logging_LJUSDAL/klagomålsmail/A 31524-2022.docx")</f>
        <v/>
      </c>
      <c r="X21">
        <f>HYPERLINK("https://klasma.github.io/Logging_LJUSDAL/tillsyn/A 31524-2022.docx")</f>
        <v/>
      </c>
      <c r="Y21">
        <f>HYPERLINK("https://klasma.github.io/Logging_LJUSDAL/tillsynsmail/A 31524-2022.docx")</f>
        <v/>
      </c>
    </row>
    <row r="22" ht="15" customHeight="1">
      <c r="A22" t="inlineStr">
        <is>
          <t>A 58628-2022</t>
        </is>
      </c>
      <c r="B22" s="1" t="n">
        <v>44902</v>
      </c>
      <c r="C22" s="1" t="n">
        <v>45181</v>
      </c>
      <c r="D22" t="inlineStr">
        <is>
          <t>GÄVLEBORGS LÄN</t>
        </is>
      </c>
      <c r="E22" t="inlineStr">
        <is>
          <t>LJUSDAL</t>
        </is>
      </c>
      <c r="G22" t="n">
        <v>2.6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Tretåig hackspett
Ullticka
Skinnlav
Stuplav</t>
        </is>
      </c>
      <c r="S22">
        <f>HYPERLINK("https://klasma.github.io/Logging_LJUSDAL/artfynd/A 58628-2022.xlsx")</f>
        <v/>
      </c>
      <c r="T22">
        <f>HYPERLINK("https://klasma.github.io/Logging_LJUSDAL/kartor/A 58628-2022.png")</f>
        <v/>
      </c>
      <c r="U22">
        <f>HYPERLINK("https://klasma.github.io/Logging_LJUSDAL/knärot/A 58628-2022.png")</f>
        <v/>
      </c>
      <c r="V22">
        <f>HYPERLINK("https://klasma.github.io/Logging_LJUSDAL/klagomål/A 58628-2022.docx")</f>
        <v/>
      </c>
      <c r="W22">
        <f>HYPERLINK("https://klasma.github.io/Logging_LJUSDAL/klagomålsmail/A 58628-2022.docx")</f>
        <v/>
      </c>
      <c r="X22">
        <f>HYPERLINK("https://klasma.github.io/Logging_LJUSDAL/tillsyn/A 58628-2022.docx")</f>
        <v/>
      </c>
      <c r="Y22">
        <f>HYPERLINK("https://klasma.github.io/Logging_LJUSDAL/tillsynsmail/A 58628-2022.docx")</f>
        <v/>
      </c>
    </row>
    <row r="23" ht="15" customHeight="1">
      <c r="A23" t="inlineStr">
        <is>
          <t>A 25585-2023</t>
        </is>
      </c>
      <c r="B23" s="1" t="n">
        <v>45089</v>
      </c>
      <c r="C23" s="1" t="n">
        <v>45181</v>
      </c>
      <c r="D23" t="inlineStr">
        <is>
          <t>GÄVLEBORGS LÄN</t>
        </is>
      </c>
      <c r="E23" t="inlineStr">
        <is>
          <t>LJUSDAL</t>
        </is>
      </c>
      <c r="G23" t="n">
        <v>6</v>
      </c>
      <c r="H23" t="n">
        <v>3</v>
      </c>
      <c r="I23" t="n">
        <v>0</v>
      </c>
      <c r="J23" t="n">
        <v>4</v>
      </c>
      <c r="K23" t="n">
        <v>1</v>
      </c>
      <c r="L23" t="n">
        <v>0</v>
      </c>
      <c r="M23" t="n">
        <v>0</v>
      </c>
      <c r="N23" t="n">
        <v>0</v>
      </c>
      <c r="O23" t="n">
        <v>5</v>
      </c>
      <c r="P23" t="n">
        <v>1</v>
      </c>
      <c r="Q23" t="n">
        <v>5</v>
      </c>
      <c r="R23" s="2" t="inlineStr">
        <is>
          <t>Knärot
Granticka
Skogshare
Spillkråka
Tretåig hackspett</t>
        </is>
      </c>
      <c r="S23">
        <f>HYPERLINK("https://klasma.github.io/Logging_LJUSDAL/artfynd/A 25585-2023.xlsx")</f>
        <v/>
      </c>
      <c r="T23">
        <f>HYPERLINK("https://klasma.github.io/Logging_LJUSDAL/kartor/A 25585-2023.png")</f>
        <v/>
      </c>
      <c r="U23">
        <f>HYPERLINK("https://klasma.github.io/Logging_LJUSDAL/knärot/A 25585-2023.png")</f>
        <v/>
      </c>
      <c r="V23">
        <f>HYPERLINK("https://klasma.github.io/Logging_LJUSDAL/klagomål/A 25585-2023.docx")</f>
        <v/>
      </c>
      <c r="W23">
        <f>HYPERLINK("https://klasma.github.io/Logging_LJUSDAL/klagomålsmail/A 25585-2023.docx")</f>
        <v/>
      </c>
      <c r="X23">
        <f>HYPERLINK("https://klasma.github.io/Logging_LJUSDAL/tillsyn/A 25585-2023.docx")</f>
        <v/>
      </c>
      <c r="Y23">
        <f>HYPERLINK("https://klasma.github.io/Logging_LJUSDAL/tillsynsmail/A 25585-2023.docx")</f>
        <v/>
      </c>
    </row>
    <row r="24" ht="15" customHeight="1">
      <c r="A24" t="inlineStr">
        <is>
          <t>A 25953-2023</t>
        </is>
      </c>
      <c r="B24" s="1" t="n">
        <v>45090</v>
      </c>
      <c r="C24" s="1" t="n">
        <v>45181</v>
      </c>
      <c r="D24" t="inlineStr">
        <is>
          <t>GÄVLEBORGS LÄN</t>
        </is>
      </c>
      <c r="E24" t="inlineStr">
        <is>
          <t>LJUSDAL</t>
        </is>
      </c>
      <c r="G24" t="n">
        <v>1.9</v>
      </c>
      <c r="H24" t="n">
        <v>3</v>
      </c>
      <c r="I24" t="n">
        <v>0</v>
      </c>
      <c r="J24" t="n">
        <v>4</v>
      </c>
      <c r="K24" t="n">
        <v>1</v>
      </c>
      <c r="L24" t="n">
        <v>0</v>
      </c>
      <c r="M24" t="n">
        <v>0</v>
      </c>
      <c r="N24" t="n">
        <v>0</v>
      </c>
      <c r="O24" t="n">
        <v>5</v>
      </c>
      <c r="P24" t="n">
        <v>1</v>
      </c>
      <c r="Q24" t="n">
        <v>5</v>
      </c>
      <c r="R24" s="2" t="inlineStr">
        <is>
          <t>Knärot
Rosenticka
Talltita
Tretåig hackspett
Ullticka</t>
        </is>
      </c>
      <c r="S24">
        <f>HYPERLINK("https://klasma.github.io/Logging_LJUSDAL/artfynd/A 25953-2023.xlsx")</f>
        <v/>
      </c>
      <c r="T24">
        <f>HYPERLINK("https://klasma.github.io/Logging_LJUSDAL/kartor/A 25953-2023.png")</f>
        <v/>
      </c>
      <c r="U24">
        <f>HYPERLINK("https://klasma.github.io/Logging_LJUSDAL/knärot/A 25953-2023.png")</f>
        <v/>
      </c>
      <c r="V24">
        <f>HYPERLINK("https://klasma.github.io/Logging_LJUSDAL/klagomål/A 25953-2023.docx")</f>
        <v/>
      </c>
      <c r="W24">
        <f>HYPERLINK("https://klasma.github.io/Logging_LJUSDAL/klagomålsmail/A 25953-2023.docx")</f>
        <v/>
      </c>
      <c r="X24">
        <f>HYPERLINK("https://klasma.github.io/Logging_LJUSDAL/tillsyn/A 25953-2023.docx")</f>
        <v/>
      </c>
      <c r="Y24">
        <f>HYPERLINK("https://klasma.github.io/Logging_LJUSDAL/tillsynsmail/A 25953-2023.docx")</f>
        <v/>
      </c>
    </row>
    <row r="25" ht="15" customHeight="1">
      <c r="A25" t="inlineStr">
        <is>
          <t>A 46239-2018</t>
        </is>
      </c>
      <c r="B25" s="1" t="n">
        <v>43367</v>
      </c>
      <c r="C25" s="1" t="n">
        <v>45181</v>
      </c>
      <c r="D25" t="inlineStr">
        <is>
          <t>GÄVLEBORGS LÄN</t>
        </is>
      </c>
      <c r="E25" t="inlineStr">
        <is>
          <t>LJUSDAL</t>
        </is>
      </c>
      <c r="G25" t="n">
        <v>113.5</v>
      </c>
      <c r="H25" t="n">
        <v>3</v>
      </c>
      <c r="I25" t="n">
        <v>0</v>
      </c>
      <c r="J25" t="n">
        <v>2</v>
      </c>
      <c r="K25" t="n">
        <v>0</v>
      </c>
      <c r="L25" t="n">
        <v>0</v>
      </c>
      <c r="M25" t="n">
        <v>1</v>
      </c>
      <c r="N25" t="n">
        <v>0</v>
      </c>
      <c r="O25" t="n">
        <v>3</v>
      </c>
      <c r="P25" t="n">
        <v>1</v>
      </c>
      <c r="Q25" t="n">
        <v>4</v>
      </c>
      <c r="R25" s="2" t="inlineStr">
        <is>
          <t>Ortolansparv
Buskskvätta
Slåtterfibbla
Nattviol</t>
        </is>
      </c>
      <c r="S25">
        <f>HYPERLINK("https://klasma.github.io/Logging_LJUSDAL/artfynd/A 46239-2018.xlsx")</f>
        <v/>
      </c>
      <c r="T25">
        <f>HYPERLINK("https://klasma.github.io/Logging_LJUSDAL/kartor/A 46239-2018.png")</f>
        <v/>
      </c>
      <c r="V25">
        <f>HYPERLINK("https://klasma.github.io/Logging_LJUSDAL/klagomål/A 46239-2018.docx")</f>
        <v/>
      </c>
      <c r="W25">
        <f>HYPERLINK("https://klasma.github.io/Logging_LJUSDAL/klagomålsmail/A 46239-2018.docx")</f>
        <v/>
      </c>
      <c r="X25">
        <f>HYPERLINK("https://klasma.github.io/Logging_LJUSDAL/tillsyn/A 46239-2018.docx")</f>
        <v/>
      </c>
      <c r="Y25">
        <f>HYPERLINK("https://klasma.github.io/Logging_LJUSDAL/tillsynsmail/A 46239-2018.docx")</f>
        <v/>
      </c>
    </row>
    <row r="26" ht="15" customHeight="1">
      <c r="A26" t="inlineStr">
        <is>
          <t>A 67528-2018</t>
        </is>
      </c>
      <c r="B26" s="1" t="n">
        <v>43432</v>
      </c>
      <c r="C26" s="1" t="n">
        <v>45181</v>
      </c>
      <c r="D26" t="inlineStr">
        <is>
          <t>GÄVLEBORGS LÄN</t>
        </is>
      </c>
      <c r="E26" t="inlineStr">
        <is>
          <t>LJUSDAL</t>
        </is>
      </c>
      <c r="F26" t="inlineStr">
        <is>
          <t>Sveaskog</t>
        </is>
      </c>
      <c r="G26" t="n">
        <v>509.1</v>
      </c>
      <c r="H26" t="n">
        <v>1</v>
      </c>
      <c r="I26" t="n">
        <v>1</v>
      </c>
      <c r="J26" t="n">
        <v>2</v>
      </c>
      <c r="K26" t="n">
        <v>0</v>
      </c>
      <c r="L26" t="n">
        <v>0</v>
      </c>
      <c r="M26" t="n">
        <v>1</v>
      </c>
      <c r="N26" t="n">
        <v>0</v>
      </c>
      <c r="O26" t="n">
        <v>3</v>
      </c>
      <c r="P26" t="n">
        <v>1</v>
      </c>
      <c r="Q26" t="n">
        <v>4</v>
      </c>
      <c r="R26" s="2" t="inlineStr">
        <is>
          <t>Ortolansparv
Brunag
Svedjenäva
Tibast</t>
        </is>
      </c>
      <c r="S26">
        <f>HYPERLINK("https://klasma.github.io/Logging_LJUSDAL/artfynd/A 67528-2018.xlsx")</f>
        <v/>
      </c>
      <c r="T26">
        <f>HYPERLINK("https://klasma.github.io/Logging_LJUSDAL/kartor/A 67528-2018.png")</f>
        <v/>
      </c>
      <c r="V26">
        <f>HYPERLINK("https://klasma.github.io/Logging_LJUSDAL/klagomål/A 67528-2018.docx")</f>
        <v/>
      </c>
      <c r="W26">
        <f>HYPERLINK("https://klasma.github.io/Logging_LJUSDAL/klagomålsmail/A 67528-2018.docx")</f>
        <v/>
      </c>
      <c r="X26">
        <f>HYPERLINK("https://klasma.github.io/Logging_LJUSDAL/tillsyn/A 67528-2018.docx")</f>
        <v/>
      </c>
      <c r="Y26">
        <f>HYPERLINK("https://klasma.github.io/Logging_LJUSDAL/tillsynsmail/A 67528-2018.docx")</f>
        <v/>
      </c>
    </row>
    <row r="27" ht="15" customHeight="1">
      <c r="A27" t="inlineStr">
        <is>
          <t>A 7569-2020</t>
        </is>
      </c>
      <c r="B27" s="1" t="n">
        <v>43872</v>
      </c>
      <c r="C27" s="1" t="n">
        <v>45181</v>
      </c>
      <c r="D27" t="inlineStr">
        <is>
          <t>GÄVLEBORGS LÄN</t>
        </is>
      </c>
      <c r="E27" t="inlineStr">
        <is>
          <t>LJUSDAL</t>
        </is>
      </c>
      <c r="G27" t="n">
        <v>5.5</v>
      </c>
      <c r="H27" t="n">
        <v>0</v>
      </c>
      <c r="I27" t="n">
        <v>0</v>
      </c>
      <c r="J27" t="n">
        <v>4</v>
      </c>
      <c r="K27" t="n">
        <v>0</v>
      </c>
      <c r="L27" t="n">
        <v>0</v>
      </c>
      <c r="M27" t="n">
        <v>0</v>
      </c>
      <c r="N27" t="n">
        <v>0</v>
      </c>
      <c r="O27" t="n">
        <v>4</v>
      </c>
      <c r="P27" t="n">
        <v>0</v>
      </c>
      <c r="Q27" t="n">
        <v>4</v>
      </c>
      <c r="R27" s="2" t="inlineStr">
        <is>
          <t>Blanksvart spiklav
Garnlav
Mörk kolflarnlav
Skrovellav</t>
        </is>
      </c>
      <c r="S27">
        <f>HYPERLINK("https://klasma.github.io/Logging_LJUSDAL/artfynd/A 7569-2020.xlsx")</f>
        <v/>
      </c>
      <c r="T27">
        <f>HYPERLINK("https://klasma.github.io/Logging_LJUSDAL/kartor/A 7569-2020.png")</f>
        <v/>
      </c>
      <c r="V27">
        <f>HYPERLINK("https://klasma.github.io/Logging_LJUSDAL/klagomål/A 7569-2020.docx")</f>
        <v/>
      </c>
      <c r="W27">
        <f>HYPERLINK("https://klasma.github.io/Logging_LJUSDAL/klagomålsmail/A 7569-2020.docx")</f>
        <v/>
      </c>
      <c r="X27">
        <f>HYPERLINK("https://klasma.github.io/Logging_LJUSDAL/tillsyn/A 7569-2020.docx")</f>
        <v/>
      </c>
      <c r="Y27">
        <f>HYPERLINK("https://klasma.github.io/Logging_LJUSDAL/tillsynsmail/A 7569-2020.docx")</f>
        <v/>
      </c>
    </row>
    <row r="28" ht="15" customHeight="1">
      <c r="A28" t="inlineStr">
        <is>
          <t>A 48181-2021</t>
        </is>
      </c>
      <c r="B28" s="1" t="n">
        <v>44449</v>
      </c>
      <c r="C28" s="1" t="n">
        <v>45181</v>
      </c>
      <c r="D28" t="inlineStr">
        <is>
          <t>GÄVLEBORGS LÄN</t>
        </is>
      </c>
      <c r="E28" t="inlineStr">
        <is>
          <t>LJUSDAL</t>
        </is>
      </c>
      <c r="F28" t="inlineStr">
        <is>
          <t>Sveaskog</t>
        </is>
      </c>
      <c r="G28" t="n">
        <v>3.9</v>
      </c>
      <c r="H28" t="n">
        <v>0</v>
      </c>
      <c r="I28" t="n">
        <v>1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4</v>
      </c>
      <c r="R28" s="2" t="inlineStr">
        <is>
          <t>Garnlav
Kolflarnlav
Lunglav
Dropptaggsvamp</t>
        </is>
      </c>
      <c r="S28">
        <f>HYPERLINK("https://klasma.github.io/Logging_LJUSDAL/artfynd/A 48181-2021.xlsx")</f>
        <v/>
      </c>
      <c r="T28">
        <f>HYPERLINK("https://klasma.github.io/Logging_LJUSDAL/kartor/A 48181-2021.png")</f>
        <v/>
      </c>
      <c r="V28">
        <f>HYPERLINK("https://klasma.github.io/Logging_LJUSDAL/klagomål/A 48181-2021.docx")</f>
        <v/>
      </c>
      <c r="W28">
        <f>HYPERLINK("https://klasma.github.io/Logging_LJUSDAL/klagomålsmail/A 48181-2021.docx")</f>
        <v/>
      </c>
      <c r="X28">
        <f>HYPERLINK("https://klasma.github.io/Logging_LJUSDAL/tillsyn/A 48181-2021.docx")</f>
        <v/>
      </c>
      <c r="Y28">
        <f>HYPERLINK("https://klasma.github.io/Logging_LJUSDAL/tillsynsmail/A 48181-2021.docx")</f>
        <v/>
      </c>
    </row>
    <row r="29" ht="15" customHeight="1">
      <c r="A29" t="inlineStr">
        <is>
          <t>A 18543-2022</t>
        </is>
      </c>
      <c r="B29" s="1" t="n">
        <v>44686</v>
      </c>
      <c r="C29" s="1" t="n">
        <v>45181</v>
      </c>
      <c r="D29" t="inlineStr">
        <is>
          <t>GÄVLEBORGS LÄN</t>
        </is>
      </c>
      <c r="E29" t="inlineStr">
        <is>
          <t>LJUSDAL</t>
        </is>
      </c>
      <c r="G29" t="n">
        <v>3.6</v>
      </c>
      <c r="H29" t="n">
        <v>1</v>
      </c>
      <c r="I29" t="n">
        <v>2</v>
      </c>
      <c r="J29" t="n">
        <v>1</v>
      </c>
      <c r="K29" t="n">
        <v>1</v>
      </c>
      <c r="L29" t="n">
        <v>0</v>
      </c>
      <c r="M29" t="n">
        <v>0</v>
      </c>
      <c r="N29" t="n">
        <v>0</v>
      </c>
      <c r="O29" t="n">
        <v>2</v>
      </c>
      <c r="P29" t="n">
        <v>1</v>
      </c>
      <c r="Q29" t="n">
        <v>4</v>
      </c>
      <c r="R29" s="2" t="inlineStr">
        <is>
          <t>Knärot
Vedtrappmossa
Bårdlav
Stuplav</t>
        </is>
      </c>
      <c r="S29">
        <f>HYPERLINK("https://klasma.github.io/Logging_LJUSDAL/artfynd/A 18543-2022.xlsx")</f>
        <v/>
      </c>
      <c r="T29">
        <f>HYPERLINK("https://klasma.github.io/Logging_LJUSDAL/kartor/A 18543-2022.png")</f>
        <v/>
      </c>
      <c r="U29">
        <f>HYPERLINK("https://klasma.github.io/Logging_LJUSDAL/knärot/A 18543-2022.png")</f>
        <v/>
      </c>
      <c r="V29">
        <f>HYPERLINK("https://klasma.github.io/Logging_LJUSDAL/klagomål/A 18543-2022.docx")</f>
        <v/>
      </c>
      <c r="W29">
        <f>HYPERLINK("https://klasma.github.io/Logging_LJUSDAL/klagomålsmail/A 18543-2022.docx")</f>
        <v/>
      </c>
      <c r="X29">
        <f>HYPERLINK("https://klasma.github.io/Logging_LJUSDAL/tillsyn/A 18543-2022.docx")</f>
        <v/>
      </c>
      <c r="Y29">
        <f>HYPERLINK("https://klasma.github.io/Logging_LJUSDAL/tillsynsmail/A 18543-2022.docx")</f>
        <v/>
      </c>
    </row>
    <row r="30" ht="15" customHeight="1">
      <c r="A30" t="inlineStr">
        <is>
          <t>A 22978-2023</t>
        </is>
      </c>
      <c r="B30" s="1" t="n">
        <v>45072</v>
      </c>
      <c r="C30" s="1" t="n">
        <v>45181</v>
      </c>
      <c r="D30" t="inlineStr">
        <is>
          <t>GÄVLEBORGS LÄN</t>
        </is>
      </c>
      <c r="E30" t="inlineStr">
        <is>
          <t>LJUSDAL</t>
        </is>
      </c>
      <c r="G30" t="n">
        <v>1.8</v>
      </c>
      <c r="H30" t="n">
        <v>2</v>
      </c>
      <c r="I30" t="n">
        <v>0</v>
      </c>
      <c r="J30" t="n">
        <v>2</v>
      </c>
      <c r="K30" t="n">
        <v>1</v>
      </c>
      <c r="L30" t="n">
        <v>0</v>
      </c>
      <c r="M30" t="n">
        <v>0</v>
      </c>
      <c r="N30" t="n">
        <v>0</v>
      </c>
      <c r="O30" t="n">
        <v>3</v>
      </c>
      <c r="P30" t="n">
        <v>1</v>
      </c>
      <c r="Q30" t="n">
        <v>4</v>
      </c>
      <c r="R30" s="2" t="inlineStr">
        <is>
          <t>Knärot
Rosenticka
Ullticka
Revlummer</t>
        </is>
      </c>
      <c r="S30">
        <f>HYPERLINK("https://klasma.github.io/Logging_LJUSDAL/artfynd/A 22978-2023.xlsx")</f>
        <v/>
      </c>
      <c r="T30">
        <f>HYPERLINK("https://klasma.github.io/Logging_LJUSDAL/kartor/A 22978-2023.png")</f>
        <v/>
      </c>
      <c r="U30">
        <f>HYPERLINK("https://klasma.github.io/Logging_LJUSDAL/knärot/A 22978-2023.png")</f>
        <v/>
      </c>
      <c r="V30">
        <f>HYPERLINK("https://klasma.github.io/Logging_LJUSDAL/klagomål/A 22978-2023.docx")</f>
        <v/>
      </c>
      <c r="W30">
        <f>HYPERLINK("https://klasma.github.io/Logging_LJUSDAL/klagomålsmail/A 22978-2023.docx")</f>
        <v/>
      </c>
      <c r="X30">
        <f>HYPERLINK("https://klasma.github.io/Logging_LJUSDAL/tillsyn/A 22978-2023.docx")</f>
        <v/>
      </c>
      <c r="Y30">
        <f>HYPERLINK("https://klasma.github.io/Logging_LJUSDAL/tillsynsmail/A 22978-2023.docx")</f>
        <v/>
      </c>
    </row>
    <row r="31" ht="15" customHeight="1">
      <c r="A31" t="inlineStr">
        <is>
          <t>A 26675-2023</t>
        </is>
      </c>
      <c r="B31" s="1" t="n">
        <v>45093</v>
      </c>
      <c r="C31" s="1" t="n">
        <v>45181</v>
      </c>
      <c r="D31" t="inlineStr">
        <is>
          <t>GÄVLEBORGS LÄN</t>
        </is>
      </c>
      <c r="E31" t="inlineStr">
        <is>
          <t>LJUSDAL</t>
        </is>
      </c>
      <c r="F31" t="inlineStr">
        <is>
          <t>Sveaskog</t>
        </is>
      </c>
      <c r="G31" t="n">
        <v>8.300000000000001</v>
      </c>
      <c r="H31" t="n">
        <v>1</v>
      </c>
      <c r="I31" t="n">
        <v>0</v>
      </c>
      <c r="J31" t="n">
        <v>4</v>
      </c>
      <c r="K31" t="n">
        <v>0</v>
      </c>
      <c r="L31" t="n">
        <v>0</v>
      </c>
      <c r="M31" t="n">
        <v>0</v>
      </c>
      <c r="N31" t="n">
        <v>0</v>
      </c>
      <c r="O31" t="n">
        <v>4</v>
      </c>
      <c r="P31" t="n">
        <v>0</v>
      </c>
      <c r="Q31" t="n">
        <v>4</v>
      </c>
      <c r="R31" s="2" t="inlineStr">
        <is>
          <t>Garnlav
Kolflarnlav
Mörk kolflarnlav
Talltita</t>
        </is>
      </c>
      <c r="S31">
        <f>HYPERLINK("https://klasma.github.io/Logging_LJUSDAL/artfynd/A 26675-2023.xlsx")</f>
        <v/>
      </c>
      <c r="T31">
        <f>HYPERLINK("https://klasma.github.io/Logging_LJUSDAL/kartor/A 26675-2023.png")</f>
        <v/>
      </c>
      <c r="V31">
        <f>HYPERLINK("https://klasma.github.io/Logging_LJUSDAL/klagomål/A 26675-2023.docx")</f>
        <v/>
      </c>
      <c r="W31">
        <f>HYPERLINK("https://klasma.github.io/Logging_LJUSDAL/klagomålsmail/A 26675-2023.docx")</f>
        <v/>
      </c>
      <c r="X31">
        <f>HYPERLINK("https://klasma.github.io/Logging_LJUSDAL/tillsyn/A 26675-2023.docx")</f>
        <v/>
      </c>
      <c r="Y31">
        <f>HYPERLINK("https://klasma.github.io/Logging_LJUSDAL/tillsynsmail/A 26675-2023.docx")</f>
        <v/>
      </c>
    </row>
    <row r="32" ht="15" customHeight="1">
      <c r="A32" t="inlineStr">
        <is>
          <t>A 43562-2018</t>
        </is>
      </c>
      <c r="B32" s="1" t="n">
        <v>43357</v>
      </c>
      <c r="C32" s="1" t="n">
        <v>45181</v>
      </c>
      <c r="D32" t="inlineStr">
        <is>
          <t>GÄVLEBORGS LÄN</t>
        </is>
      </c>
      <c r="E32" t="inlineStr">
        <is>
          <t>LJUSDAL</t>
        </is>
      </c>
      <c r="G32" t="n">
        <v>64.59999999999999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3</v>
      </c>
      <c r="R32" s="2" t="inlineStr">
        <is>
          <t>Björktrast
Rödvingetrast
Tretåig hackspett</t>
        </is>
      </c>
      <c r="S32">
        <f>HYPERLINK("https://klasma.github.io/Logging_LJUSDAL/artfynd/A 43562-2018.xlsx")</f>
        <v/>
      </c>
      <c r="T32">
        <f>HYPERLINK("https://klasma.github.io/Logging_LJUSDAL/kartor/A 43562-2018.png")</f>
        <v/>
      </c>
      <c r="V32">
        <f>HYPERLINK("https://klasma.github.io/Logging_LJUSDAL/klagomål/A 43562-2018.docx")</f>
        <v/>
      </c>
      <c r="W32">
        <f>HYPERLINK("https://klasma.github.io/Logging_LJUSDAL/klagomålsmail/A 43562-2018.docx")</f>
        <v/>
      </c>
      <c r="X32">
        <f>HYPERLINK("https://klasma.github.io/Logging_LJUSDAL/tillsyn/A 43562-2018.docx")</f>
        <v/>
      </c>
      <c r="Y32">
        <f>HYPERLINK("https://klasma.github.io/Logging_LJUSDAL/tillsynsmail/A 43562-2018.docx")</f>
        <v/>
      </c>
    </row>
    <row r="33" ht="15" customHeight="1">
      <c r="A33" t="inlineStr">
        <is>
          <t>A 29664-2019</t>
        </is>
      </c>
      <c r="B33" s="1" t="n">
        <v>43628</v>
      </c>
      <c r="C33" s="1" t="n">
        <v>45181</v>
      </c>
      <c r="D33" t="inlineStr">
        <is>
          <t>GÄVLEBORGS LÄN</t>
        </is>
      </c>
      <c r="E33" t="inlineStr">
        <is>
          <t>LJUSDAL</t>
        </is>
      </c>
      <c r="F33" t="inlineStr">
        <is>
          <t>Holmen skog AB</t>
        </is>
      </c>
      <c r="G33" t="n">
        <v>3.1</v>
      </c>
      <c r="H33" t="n">
        <v>1</v>
      </c>
      <c r="I33" t="n">
        <v>1</v>
      </c>
      <c r="J33" t="n">
        <v>1</v>
      </c>
      <c r="K33" t="n">
        <v>1</v>
      </c>
      <c r="L33" t="n">
        <v>0</v>
      </c>
      <c r="M33" t="n">
        <v>0</v>
      </c>
      <c r="N33" t="n">
        <v>0</v>
      </c>
      <c r="O33" t="n">
        <v>2</v>
      </c>
      <c r="P33" t="n">
        <v>1</v>
      </c>
      <c r="Q33" t="n">
        <v>3</v>
      </c>
      <c r="R33" s="2" t="inlineStr">
        <is>
          <t>Knärot
Ullticka
Dropptaggsvamp</t>
        </is>
      </c>
      <c r="S33">
        <f>HYPERLINK("https://klasma.github.io/Logging_LJUSDAL/artfynd/A 29664-2019.xlsx")</f>
        <v/>
      </c>
      <c r="T33">
        <f>HYPERLINK("https://klasma.github.io/Logging_LJUSDAL/kartor/A 29664-2019.png")</f>
        <v/>
      </c>
      <c r="U33">
        <f>HYPERLINK("https://klasma.github.io/Logging_LJUSDAL/knärot/A 29664-2019.png")</f>
        <v/>
      </c>
      <c r="V33">
        <f>HYPERLINK("https://klasma.github.io/Logging_LJUSDAL/klagomål/A 29664-2019.docx")</f>
        <v/>
      </c>
      <c r="W33">
        <f>HYPERLINK("https://klasma.github.io/Logging_LJUSDAL/klagomålsmail/A 29664-2019.docx")</f>
        <v/>
      </c>
      <c r="X33">
        <f>HYPERLINK("https://klasma.github.io/Logging_LJUSDAL/tillsyn/A 29664-2019.docx")</f>
        <v/>
      </c>
      <c r="Y33">
        <f>HYPERLINK("https://klasma.github.io/Logging_LJUSDAL/tillsynsmail/A 29664-2019.docx")</f>
        <v/>
      </c>
    </row>
    <row r="34" ht="15" customHeight="1">
      <c r="A34" t="inlineStr">
        <is>
          <t>A 3258-2020</t>
        </is>
      </c>
      <c r="B34" s="1" t="n">
        <v>43852</v>
      </c>
      <c r="C34" s="1" t="n">
        <v>45181</v>
      </c>
      <c r="D34" t="inlineStr">
        <is>
          <t>GÄVLEBORGS LÄN</t>
        </is>
      </c>
      <c r="E34" t="inlineStr">
        <is>
          <t>LJUSDAL</t>
        </is>
      </c>
      <c r="F34" t="inlineStr">
        <is>
          <t>Sveaskog</t>
        </is>
      </c>
      <c r="G34" t="n">
        <v>4.3</v>
      </c>
      <c r="H34" t="n">
        <v>1</v>
      </c>
      <c r="I34" t="n">
        <v>1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3</v>
      </c>
      <c r="R34" s="2" t="inlineStr">
        <is>
          <t>Knärot
Tallticka
Dropptaggsvamp</t>
        </is>
      </c>
      <c r="S34">
        <f>HYPERLINK("https://klasma.github.io/Logging_LJUSDAL/artfynd/A 3258-2020.xlsx")</f>
        <v/>
      </c>
      <c r="T34">
        <f>HYPERLINK("https://klasma.github.io/Logging_LJUSDAL/kartor/A 3258-2020.png")</f>
        <v/>
      </c>
      <c r="U34">
        <f>HYPERLINK("https://klasma.github.io/Logging_LJUSDAL/knärot/A 3258-2020.png")</f>
        <v/>
      </c>
      <c r="V34">
        <f>HYPERLINK("https://klasma.github.io/Logging_LJUSDAL/klagomål/A 3258-2020.docx")</f>
        <v/>
      </c>
      <c r="W34">
        <f>HYPERLINK("https://klasma.github.io/Logging_LJUSDAL/klagomålsmail/A 3258-2020.docx")</f>
        <v/>
      </c>
      <c r="X34">
        <f>HYPERLINK("https://klasma.github.io/Logging_LJUSDAL/tillsyn/A 3258-2020.docx")</f>
        <v/>
      </c>
      <c r="Y34">
        <f>HYPERLINK("https://klasma.github.io/Logging_LJUSDAL/tillsynsmail/A 3258-2020.docx")</f>
        <v/>
      </c>
    </row>
    <row r="35" ht="15" customHeight="1">
      <c r="A35" t="inlineStr">
        <is>
          <t>A 7558-2020</t>
        </is>
      </c>
      <c r="B35" s="1" t="n">
        <v>43872</v>
      </c>
      <c r="C35" s="1" t="n">
        <v>45181</v>
      </c>
      <c r="D35" t="inlineStr">
        <is>
          <t>GÄVLEBORGS LÄN</t>
        </is>
      </c>
      <c r="E35" t="inlineStr">
        <is>
          <t>LJUSDAL</t>
        </is>
      </c>
      <c r="G35" t="n">
        <v>2.9</v>
      </c>
      <c r="H35" t="n">
        <v>0</v>
      </c>
      <c r="I35" t="n">
        <v>1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3</v>
      </c>
      <c r="R35" s="2" t="inlineStr">
        <is>
          <t>Dvärgbägarlav
Vedskivlav
Dropptaggsvamp</t>
        </is>
      </c>
      <c r="S35">
        <f>HYPERLINK("https://klasma.github.io/Logging_LJUSDAL/artfynd/A 7558-2020.xlsx")</f>
        <v/>
      </c>
      <c r="T35">
        <f>HYPERLINK("https://klasma.github.io/Logging_LJUSDAL/kartor/A 7558-2020.png")</f>
        <v/>
      </c>
      <c r="V35">
        <f>HYPERLINK("https://klasma.github.io/Logging_LJUSDAL/klagomål/A 7558-2020.docx")</f>
        <v/>
      </c>
      <c r="W35">
        <f>HYPERLINK("https://klasma.github.io/Logging_LJUSDAL/klagomålsmail/A 7558-2020.docx")</f>
        <v/>
      </c>
      <c r="X35">
        <f>HYPERLINK("https://klasma.github.io/Logging_LJUSDAL/tillsyn/A 7558-2020.docx")</f>
        <v/>
      </c>
      <c r="Y35">
        <f>HYPERLINK("https://klasma.github.io/Logging_LJUSDAL/tillsynsmail/A 7558-2020.docx")</f>
        <v/>
      </c>
    </row>
    <row r="36" ht="15" customHeight="1">
      <c r="A36" t="inlineStr">
        <is>
          <t>A 24470-2020</t>
        </is>
      </c>
      <c r="B36" s="1" t="n">
        <v>43977</v>
      </c>
      <c r="C36" s="1" t="n">
        <v>45181</v>
      </c>
      <c r="D36" t="inlineStr">
        <is>
          <t>GÄVLEBORGS LÄN</t>
        </is>
      </c>
      <c r="E36" t="inlineStr">
        <is>
          <t>LJUSDAL</t>
        </is>
      </c>
      <c r="F36" t="inlineStr">
        <is>
          <t>Naturvårdsverket</t>
        </is>
      </c>
      <c r="G36" t="n">
        <v>2.5</v>
      </c>
      <c r="H36" t="n">
        <v>1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3</v>
      </c>
      <c r="R36" s="2" t="inlineStr">
        <is>
          <t>Garnlav
Mörk kolflarnlav
Nattviol</t>
        </is>
      </c>
      <c r="S36">
        <f>HYPERLINK("https://klasma.github.io/Logging_LJUSDAL/artfynd/A 24470-2020.xlsx")</f>
        <v/>
      </c>
      <c r="T36">
        <f>HYPERLINK("https://klasma.github.io/Logging_LJUSDAL/kartor/A 24470-2020.png")</f>
        <v/>
      </c>
      <c r="V36">
        <f>HYPERLINK("https://klasma.github.io/Logging_LJUSDAL/klagomål/A 24470-2020.docx")</f>
        <v/>
      </c>
      <c r="W36">
        <f>HYPERLINK("https://klasma.github.io/Logging_LJUSDAL/klagomålsmail/A 24470-2020.docx")</f>
        <v/>
      </c>
      <c r="X36">
        <f>HYPERLINK("https://klasma.github.io/Logging_LJUSDAL/tillsyn/A 24470-2020.docx")</f>
        <v/>
      </c>
      <c r="Y36">
        <f>HYPERLINK("https://klasma.github.io/Logging_LJUSDAL/tillsynsmail/A 24470-2020.docx")</f>
        <v/>
      </c>
    </row>
    <row r="37" ht="15" customHeight="1">
      <c r="A37" t="inlineStr">
        <is>
          <t>A 56674-2020</t>
        </is>
      </c>
      <c r="B37" s="1" t="n">
        <v>44137</v>
      </c>
      <c r="C37" s="1" t="n">
        <v>45181</v>
      </c>
      <c r="D37" t="inlineStr">
        <is>
          <t>GÄVLEBORGS LÄN</t>
        </is>
      </c>
      <c r="E37" t="inlineStr">
        <is>
          <t>LJUSDAL</t>
        </is>
      </c>
      <c r="G37" t="n">
        <v>11</v>
      </c>
      <c r="H37" t="n">
        <v>1</v>
      </c>
      <c r="I37" t="n">
        <v>2</v>
      </c>
      <c r="J37" t="n">
        <v>0</v>
      </c>
      <c r="K37" t="n">
        <v>1</v>
      </c>
      <c r="L37" t="n">
        <v>0</v>
      </c>
      <c r="M37" t="n">
        <v>0</v>
      </c>
      <c r="N37" t="n">
        <v>0</v>
      </c>
      <c r="O37" t="n">
        <v>1</v>
      </c>
      <c r="P37" t="n">
        <v>1</v>
      </c>
      <c r="Q37" t="n">
        <v>3</v>
      </c>
      <c r="R37" s="2" t="inlineStr">
        <is>
          <t>Knärot
Korallblylav
Mörk husmossa</t>
        </is>
      </c>
      <c r="S37">
        <f>HYPERLINK("https://klasma.github.io/Logging_LJUSDAL/artfynd/A 56674-2020.xlsx")</f>
        <v/>
      </c>
      <c r="T37">
        <f>HYPERLINK("https://klasma.github.io/Logging_LJUSDAL/kartor/A 56674-2020.png")</f>
        <v/>
      </c>
      <c r="U37">
        <f>HYPERLINK("https://klasma.github.io/Logging_LJUSDAL/knärot/A 56674-2020.png")</f>
        <v/>
      </c>
      <c r="V37">
        <f>HYPERLINK("https://klasma.github.io/Logging_LJUSDAL/klagomål/A 56674-2020.docx")</f>
        <v/>
      </c>
      <c r="W37">
        <f>HYPERLINK("https://klasma.github.io/Logging_LJUSDAL/klagomålsmail/A 56674-2020.docx")</f>
        <v/>
      </c>
      <c r="X37">
        <f>HYPERLINK("https://klasma.github.io/Logging_LJUSDAL/tillsyn/A 56674-2020.docx")</f>
        <v/>
      </c>
      <c r="Y37">
        <f>HYPERLINK("https://klasma.github.io/Logging_LJUSDAL/tillsynsmail/A 56674-2020.docx")</f>
        <v/>
      </c>
    </row>
    <row r="38" ht="15" customHeight="1">
      <c r="A38" t="inlineStr">
        <is>
          <t>A 59346-2020</t>
        </is>
      </c>
      <c r="B38" s="1" t="n">
        <v>44148</v>
      </c>
      <c r="C38" s="1" t="n">
        <v>45181</v>
      </c>
      <c r="D38" t="inlineStr">
        <is>
          <t>GÄVLEBORGS LÄN</t>
        </is>
      </c>
      <c r="E38" t="inlineStr">
        <is>
          <t>LJUSDAL</t>
        </is>
      </c>
      <c r="F38" t="inlineStr">
        <is>
          <t>Sveaskog</t>
        </is>
      </c>
      <c r="G38" t="n">
        <v>10.8</v>
      </c>
      <c r="H38" t="n">
        <v>0</v>
      </c>
      <c r="I38" t="n">
        <v>1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3</v>
      </c>
      <c r="R38" s="2" t="inlineStr">
        <is>
          <t>Blå taggsvamp
Lunglav
Zontaggsvamp</t>
        </is>
      </c>
      <c r="S38">
        <f>HYPERLINK("https://klasma.github.io/Logging_LJUSDAL/artfynd/A 59346-2020.xlsx")</f>
        <v/>
      </c>
      <c r="T38">
        <f>HYPERLINK("https://klasma.github.io/Logging_LJUSDAL/kartor/A 59346-2020.png")</f>
        <v/>
      </c>
      <c r="V38">
        <f>HYPERLINK("https://klasma.github.io/Logging_LJUSDAL/klagomål/A 59346-2020.docx")</f>
        <v/>
      </c>
      <c r="W38">
        <f>HYPERLINK("https://klasma.github.io/Logging_LJUSDAL/klagomålsmail/A 59346-2020.docx")</f>
        <v/>
      </c>
      <c r="X38">
        <f>HYPERLINK("https://klasma.github.io/Logging_LJUSDAL/tillsyn/A 59346-2020.docx")</f>
        <v/>
      </c>
      <c r="Y38">
        <f>HYPERLINK("https://klasma.github.io/Logging_LJUSDAL/tillsynsmail/A 59346-2020.docx")</f>
        <v/>
      </c>
    </row>
    <row r="39" ht="15" customHeight="1">
      <c r="A39" t="inlineStr">
        <is>
          <t>A 60162-2020</t>
        </is>
      </c>
      <c r="B39" s="1" t="n">
        <v>44152</v>
      </c>
      <c r="C39" s="1" t="n">
        <v>45181</v>
      </c>
      <c r="D39" t="inlineStr">
        <is>
          <t>GÄVLEBORGS LÄN</t>
        </is>
      </c>
      <c r="E39" t="inlineStr">
        <is>
          <t>LJUSDAL</t>
        </is>
      </c>
      <c r="F39" t="inlineStr">
        <is>
          <t>Sveaskog</t>
        </is>
      </c>
      <c r="G39" t="n">
        <v>8.4</v>
      </c>
      <c r="H39" t="n">
        <v>0</v>
      </c>
      <c r="I39" t="n">
        <v>0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3</v>
      </c>
      <c r="R39" s="2" t="inlineStr">
        <is>
          <t>Kolflarnlav
Lunglav
Skrovellav</t>
        </is>
      </c>
      <c r="S39">
        <f>HYPERLINK("https://klasma.github.io/Logging_LJUSDAL/artfynd/A 60162-2020.xlsx")</f>
        <v/>
      </c>
      <c r="T39">
        <f>HYPERLINK("https://klasma.github.io/Logging_LJUSDAL/kartor/A 60162-2020.png")</f>
        <v/>
      </c>
      <c r="V39">
        <f>HYPERLINK("https://klasma.github.io/Logging_LJUSDAL/klagomål/A 60162-2020.docx")</f>
        <v/>
      </c>
      <c r="W39">
        <f>HYPERLINK("https://klasma.github.io/Logging_LJUSDAL/klagomålsmail/A 60162-2020.docx")</f>
        <v/>
      </c>
      <c r="X39">
        <f>HYPERLINK("https://klasma.github.io/Logging_LJUSDAL/tillsyn/A 60162-2020.docx")</f>
        <v/>
      </c>
      <c r="Y39">
        <f>HYPERLINK("https://klasma.github.io/Logging_LJUSDAL/tillsynsmail/A 60162-2020.docx")</f>
        <v/>
      </c>
    </row>
    <row r="40" ht="15" customHeight="1">
      <c r="A40" t="inlineStr">
        <is>
          <t>A 64591-2020</t>
        </is>
      </c>
      <c r="B40" s="1" t="n">
        <v>44169</v>
      </c>
      <c r="C40" s="1" t="n">
        <v>45181</v>
      </c>
      <c r="D40" t="inlineStr">
        <is>
          <t>GÄVLEBORGS LÄN</t>
        </is>
      </c>
      <c r="E40" t="inlineStr">
        <is>
          <t>LJUSDAL</t>
        </is>
      </c>
      <c r="F40" t="inlineStr">
        <is>
          <t>Bergvik skog väst AB</t>
        </is>
      </c>
      <c r="G40" t="n">
        <v>3.5</v>
      </c>
      <c r="H40" t="n">
        <v>0</v>
      </c>
      <c r="I40" t="n">
        <v>2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3</v>
      </c>
      <c r="R40" s="2" t="inlineStr">
        <is>
          <t>Kandelabersvamp
Aspvedgnagare
Skinnlav</t>
        </is>
      </c>
      <c r="S40">
        <f>HYPERLINK("https://klasma.github.io/Logging_LJUSDAL/artfynd/A 64591-2020.xlsx")</f>
        <v/>
      </c>
      <c r="T40">
        <f>HYPERLINK("https://klasma.github.io/Logging_LJUSDAL/kartor/A 64591-2020.png")</f>
        <v/>
      </c>
      <c r="V40">
        <f>HYPERLINK("https://klasma.github.io/Logging_LJUSDAL/klagomål/A 64591-2020.docx")</f>
        <v/>
      </c>
      <c r="W40">
        <f>HYPERLINK("https://klasma.github.io/Logging_LJUSDAL/klagomålsmail/A 64591-2020.docx")</f>
        <v/>
      </c>
      <c r="X40">
        <f>HYPERLINK("https://klasma.github.io/Logging_LJUSDAL/tillsyn/A 64591-2020.docx")</f>
        <v/>
      </c>
      <c r="Y40">
        <f>HYPERLINK("https://klasma.github.io/Logging_LJUSDAL/tillsynsmail/A 64591-2020.docx")</f>
        <v/>
      </c>
    </row>
    <row r="41" ht="15" customHeight="1">
      <c r="A41" t="inlineStr">
        <is>
          <t>A 22461-2021</t>
        </is>
      </c>
      <c r="B41" s="1" t="n">
        <v>44326</v>
      </c>
      <c r="C41" s="1" t="n">
        <v>45181</v>
      </c>
      <c r="D41" t="inlineStr">
        <is>
          <t>GÄVLEBORGS LÄN</t>
        </is>
      </c>
      <c r="E41" t="inlineStr">
        <is>
          <t>LJUSDAL</t>
        </is>
      </c>
      <c r="F41" t="inlineStr">
        <is>
          <t>Sveaskog</t>
        </is>
      </c>
      <c r="G41" t="n">
        <v>7.1</v>
      </c>
      <c r="H41" t="n">
        <v>1</v>
      </c>
      <c r="I41" t="n">
        <v>1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3</v>
      </c>
      <c r="R41" s="2" t="inlineStr">
        <is>
          <t>Lunglav
Stuplav
Revlummer</t>
        </is>
      </c>
      <c r="S41">
        <f>HYPERLINK("https://klasma.github.io/Logging_LJUSDAL/artfynd/A 22461-2021.xlsx")</f>
        <v/>
      </c>
      <c r="T41">
        <f>HYPERLINK("https://klasma.github.io/Logging_LJUSDAL/kartor/A 22461-2021.png")</f>
        <v/>
      </c>
      <c r="V41">
        <f>HYPERLINK("https://klasma.github.io/Logging_LJUSDAL/klagomål/A 22461-2021.docx")</f>
        <v/>
      </c>
      <c r="W41">
        <f>HYPERLINK("https://klasma.github.io/Logging_LJUSDAL/klagomålsmail/A 22461-2021.docx")</f>
        <v/>
      </c>
      <c r="X41">
        <f>HYPERLINK("https://klasma.github.io/Logging_LJUSDAL/tillsyn/A 22461-2021.docx")</f>
        <v/>
      </c>
      <c r="Y41">
        <f>HYPERLINK("https://klasma.github.io/Logging_LJUSDAL/tillsynsmail/A 22461-2021.docx")</f>
        <v/>
      </c>
    </row>
    <row r="42" ht="15" customHeight="1">
      <c r="A42" t="inlineStr">
        <is>
          <t>A 21538-2022</t>
        </is>
      </c>
      <c r="B42" s="1" t="n">
        <v>44706</v>
      </c>
      <c r="C42" s="1" t="n">
        <v>45181</v>
      </c>
      <c r="D42" t="inlineStr">
        <is>
          <t>GÄVLEBORGS LÄN</t>
        </is>
      </c>
      <c r="E42" t="inlineStr">
        <is>
          <t>LJUSDAL</t>
        </is>
      </c>
      <c r="F42" t="inlineStr">
        <is>
          <t>Sveaskog</t>
        </is>
      </c>
      <c r="G42" t="n">
        <v>2.3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Kolflarnlav
Mörk kolflarnlav
Dropptaggsvamp</t>
        </is>
      </c>
      <c r="S42">
        <f>HYPERLINK("https://klasma.github.io/Logging_LJUSDAL/artfynd/A 21538-2022.xlsx")</f>
        <v/>
      </c>
      <c r="T42">
        <f>HYPERLINK("https://klasma.github.io/Logging_LJUSDAL/kartor/A 21538-2022.png")</f>
        <v/>
      </c>
      <c r="V42">
        <f>HYPERLINK("https://klasma.github.io/Logging_LJUSDAL/klagomål/A 21538-2022.docx")</f>
        <v/>
      </c>
      <c r="W42">
        <f>HYPERLINK("https://klasma.github.io/Logging_LJUSDAL/klagomålsmail/A 21538-2022.docx")</f>
        <v/>
      </c>
      <c r="X42">
        <f>HYPERLINK("https://klasma.github.io/Logging_LJUSDAL/tillsyn/A 21538-2022.docx")</f>
        <v/>
      </c>
      <c r="Y42">
        <f>HYPERLINK("https://klasma.github.io/Logging_LJUSDAL/tillsynsmail/A 21538-2022.docx")</f>
        <v/>
      </c>
    </row>
    <row r="43" ht="15" customHeight="1">
      <c r="A43" t="inlineStr">
        <is>
          <t>A 21797-2022</t>
        </is>
      </c>
      <c r="B43" s="1" t="n">
        <v>44708</v>
      </c>
      <c r="C43" s="1" t="n">
        <v>45181</v>
      </c>
      <c r="D43" t="inlineStr">
        <is>
          <t>GÄVLEBORGS LÄN</t>
        </is>
      </c>
      <c r="E43" t="inlineStr">
        <is>
          <t>LJUSDAL</t>
        </is>
      </c>
      <c r="F43" t="inlineStr">
        <is>
          <t>Holmen skog AB</t>
        </is>
      </c>
      <c r="G43" t="n">
        <v>2.5</v>
      </c>
      <c r="H43" t="n">
        <v>0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Ullticka
Skinnlav
Vedticka</t>
        </is>
      </c>
      <c r="S43">
        <f>HYPERLINK("https://klasma.github.io/Logging_LJUSDAL/artfynd/A 21797-2022.xlsx")</f>
        <v/>
      </c>
      <c r="T43">
        <f>HYPERLINK("https://klasma.github.io/Logging_LJUSDAL/kartor/A 21797-2022.png")</f>
        <v/>
      </c>
      <c r="V43">
        <f>HYPERLINK("https://klasma.github.io/Logging_LJUSDAL/klagomål/A 21797-2022.docx")</f>
        <v/>
      </c>
      <c r="W43">
        <f>HYPERLINK("https://klasma.github.io/Logging_LJUSDAL/klagomålsmail/A 21797-2022.docx")</f>
        <v/>
      </c>
      <c r="X43">
        <f>HYPERLINK("https://klasma.github.io/Logging_LJUSDAL/tillsyn/A 21797-2022.docx")</f>
        <v/>
      </c>
      <c r="Y43">
        <f>HYPERLINK("https://klasma.github.io/Logging_LJUSDAL/tillsynsmail/A 21797-2022.docx")</f>
        <v/>
      </c>
    </row>
    <row r="44" ht="15" customHeight="1">
      <c r="A44" t="inlineStr">
        <is>
          <t>A 26055-2022</t>
        </is>
      </c>
      <c r="B44" s="1" t="n">
        <v>44734</v>
      </c>
      <c r="C44" s="1" t="n">
        <v>45181</v>
      </c>
      <c r="D44" t="inlineStr">
        <is>
          <t>GÄVLEBORGS LÄN</t>
        </is>
      </c>
      <c r="E44" t="inlineStr">
        <is>
          <t>LJUSDAL</t>
        </is>
      </c>
      <c r="F44" t="inlineStr">
        <is>
          <t>Bergvik skog väst AB</t>
        </is>
      </c>
      <c r="G44" t="n">
        <v>23.3</v>
      </c>
      <c r="H44" t="n">
        <v>0</v>
      </c>
      <c r="I44" t="n">
        <v>0</v>
      </c>
      <c r="J44" t="n">
        <v>2</v>
      </c>
      <c r="K44" t="n">
        <v>1</v>
      </c>
      <c r="L44" t="n">
        <v>0</v>
      </c>
      <c r="M44" t="n">
        <v>0</v>
      </c>
      <c r="N44" t="n">
        <v>0</v>
      </c>
      <c r="O44" t="n">
        <v>3</v>
      </c>
      <c r="P44" t="n">
        <v>1</v>
      </c>
      <c r="Q44" t="n">
        <v>3</v>
      </c>
      <c r="R44" s="2" t="inlineStr">
        <is>
          <t>Aspfjädermossa
Stiftgelélav
Vedtrappmossa</t>
        </is>
      </c>
      <c r="S44">
        <f>HYPERLINK("https://klasma.github.io/Logging_LJUSDAL/artfynd/A 26055-2022.xlsx")</f>
        <v/>
      </c>
      <c r="T44">
        <f>HYPERLINK("https://klasma.github.io/Logging_LJUSDAL/kartor/A 26055-2022.png")</f>
        <v/>
      </c>
      <c r="V44">
        <f>HYPERLINK("https://klasma.github.io/Logging_LJUSDAL/klagomål/A 26055-2022.docx")</f>
        <v/>
      </c>
      <c r="W44">
        <f>HYPERLINK("https://klasma.github.io/Logging_LJUSDAL/klagomålsmail/A 26055-2022.docx")</f>
        <v/>
      </c>
      <c r="X44">
        <f>HYPERLINK("https://klasma.github.io/Logging_LJUSDAL/tillsyn/A 26055-2022.docx")</f>
        <v/>
      </c>
      <c r="Y44">
        <f>HYPERLINK("https://klasma.github.io/Logging_LJUSDAL/tillsynsmail/A 26055-2022.docx")</f>
        <v/>
      </c>
    </row>
    <row r="45" ht="15" customHeight="1">
      <c r="A45" t="inlineStr">
        <is>
          <t>A 40292-2022</t>
        </is>
      </c>
      <c r="B45" s="1" t="n">
        <v>44821</v>
      </c>
      <c r="C45" s="1" t="n">
        <v>45181</v>
      </c>
      <c r="D45" t="inlineStr">
        <is>
          <t>GÄVLEBORGS LÄN</t>
        </is>
      </c>
      <c r="E45" t="inlineStr">
        <is>
          <t>LJUSDAL</t>
        </is>
      </c>
      <c r="F45" t="inlineStr">
        <is>
          <t>Sveaskog</t>
        </is>
      </c>
      <c r="G45" t="n">
        <v>3.1</v>
      </c>
      <c r="H45" t="n">
        <v>0</v>
      </c>
      <c r="I45" t="n">
        <v>1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Kolflarnlav
Mörk kolflarnlav
Dropptaggsvamp</t>
        </is>
      </c>
      <c r="S45">
        <f>HYPERLINK("https://klasma.github.io/Logging_LJUSDAL/artfynd/A 40292-2022.xlsx")</f>
        <v/>
      </c>
      <c r="T45">
        <f>HYPERLINK("https://klasma.github.io/Logging_LJUSDAL/kartor/A 40292-2022.png")</f>
        <v/>
      </c>
      <c r="V45">
        <f>HYPERLINK("https://klasma.github.io/Logging_LJUSDAL/klagomål/A 40292-2022.docx")</f>
        <v/>
      </c>
      <c r="W45">
        <f>HYPERLINK("https://klasma.github.io/Logging_LJUSDAL/klagomålsmail/A 40292-2022.docx")</f>
        <v/>
      </c>
      <c r="X45">
        <f>HYPERLINK("https://klasma.github.io/Logging_LJUSDAL/tillsyn/A 40292-2022.docx")</f>
        <v/>
      </c>
      <c r="Y45">
        <f>HYPERLINK("https://klasma.github.io/Logging_LJUSDAL/tillsynsmail/A 40292-2022.docx")</f>
        <v/>
      </c>
    </row>
    <row r="46" ht="15" customHeight="1">
      <c r="A46" t="inlineStr">
        <is>
          <t>A 12105-2023</t>
        </is>
      </c>
      <c r="B46" s="1" t="n">
        <v>44998</v>
      </c>
      <c r="C46" s="1" t="n">
        <v>45181</v>
      </c>
      <c r="D46" t="inlineStr">
        <is>
          <t>GÄVLEBORGS LÄN</t>
        </is>
      </c>
      <c r="E46" t="inlineStr">
        <is>
          <t>LJUSDAL</t>
        </is>
      </c>
      <c r="G46" t="n">
        <v>11.7</v>
      </c>
      <c r="H46" t="n">
        <v>1</v>
      </c>
      <c r="I46" t="n">
        <v>2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3</v>
      </c>
      <c r="R46" s="2" t="inlineStr">
        <is>
          <t>Knärot
Korallblylav
Mörk husmossa</t>
        </is>
      </c>
      <c r="S46">
        <f>HYPERLINK("https://klasma.github.io/Logging_LJUSDAL/artfynd/A 12105-2023.xlsx")</f>
        <v/>
      </c>
      <c r="T46">
        <f>HYPERLINK("https://klasma.github.io/Logging_LJUSDAL/kartor/A 12105-2023.png")</f>
        <v/>
      </c>
      <c r="U46">
        <f>HYPERLINK("https://klasma.github.io/Logging_LJUSDAL/knärot/A 12105-2023.png")</f>
        <v/>
      </c>
      <c r="V46">
        <f>HYPERLINK("https://klasma.github.io/Logging_LJUSDAL/klagomål/A 12105-2023.docx")</f>
        <v/>
      </c>
      <c r="W46">
        <f>HYPERLINK("https://klasma.github.io/Logging_LJUSDAL/klagomålsmail/A 12105-2023.docx")</f>
        <v/>
      </c>
      <c r="X46">
        <f>HYPERLINK("https://klasma.github.io/Logging_LJUSDAL/tillsyn/A 12105-2023.docx")</f>
        <v/>
      </c>
      <c r="Y46">
        <f>HYPERLINK("https://klasma.github.io/Logging_LJUSDAL/tillsynsmail/A 12105-2023.docx")</f>
        <v/>
      </c>
    </row>
    <row r="47" ht="15" customHeight="1">
      <c r="A47" t="inlineStr">
        <is>
          <t>A 38216-2018</t>
        </is>
      </c>
      <c r="B47" s="1" t="n">
        <v>43338</v>
      </c>
      <c r="C47" s="1" t="n">
        <v>45181</v>
      </c>
      <c r="D47" t="inlineStr">
        <is>
          <t>GÄVLEBORGS LÄN</t>
        </is>
      </c>
      <c r="E47" t="inlineStr">
        <is>
          <t>LJUSDAL</t>
        </is>
      </c>
      <c r="G47" t="n">
        <v>138</v>
      </c>
      <c r="H47" t="n">
        <v>1</v>
      </c>
      <c r="I47" t="n">
        <v>0</v>
      </c>
      <c r="J47" t="n">
        <v>0</v>
      </c>
      <c r="K47" t="n">
        <v>0</v>
      </c>
      <c r="L47" t="n">
        <v>1</v>
      </c>
      <c r="M47" t="n">
        <v>0</v>
      </c>
      <c r="N47" t="n">
        <v>0</v>
      </c>
      <c r="O47" t="n">
        <v>1</v>
      </c>
      <c r="P47" t="n">
        <v>1</v>
      </c>
      <c r="Q47" t="n">
        <v>2</v>
      </c>
      <c r="R47" s="2" t="inlineStr">
        <is>
          <t>Flodpärlmussla
Myggblomster</t>
        </is>
      </c>
      <c r="S47">
        <f>HYPERLINK("https://klasma.github.io/Logging_LJUSDAL/artfynd/A 38216-2018.xlsx")</f>
        <v/>
      </c>
      <c r="T47">
        <f>HYPERLINK("https://klasma.github.io/Logging_LJUSDAL/kartor/A 38216-2018.png")</f>
        <v/>
      </c>
      <c r="V47">
        <f>HYPERLINK("https://klasma.github.io/Logging_LJUSDAL/klagomål/A 38216-2018.docx")</f>
        <v/>
      </c>
      <c r="W47">
        <f>HYPERLINK("https://klasma.github.io/Logging_LJUSDAL/klagomålsmail/A 38216-2018.docx")</f>
        <v/>
      </c>
      <c r="X47">
        <f>HYPERLINK("https://klasma.github.io/Logging_LJUSDAL/tillsyn/A 38216-2018.docx")</f>
        <v/>
      </c>
      <c r="Y47">
        <f>HYPERLINK("https://klasma.github.io/Logging_LJUSDAL/tillsynsmail/A 38216-2018.docx")</f>
        <v/>
      </c>
    </row>
    <row r="48" ht="15" customHeight="1">
      <c r="A48" t="inlineStr">
        <is>
          <t>A 42763-2018</t>
        </is>
      </c>
      <c r="B48" s="1" t="n">
        <v>43354</v>
      </c>
      <c r="C48" s="1" t="n">
        <v>45181</v>
      </c>
      <c r="D48" t="inlineStr">
        <is>
          <t>GÄVLEBORGS LÄN</t>
        </is>
      </c>
      <c r="E48" t="inlineStr">
        <is>
          <t>LJUSDAL</t>
        </is>
      </c>
      <c r="F48" t="inlineStr">
        <is>
          <t>Holmen skog AB</t>
        </is>
      </c>
      <c r="G48" t="n">
        <v>165.3</v>
      </c>
      <c r="H48" t="n">
        <v>2</v>
      </c>
      <c r="I48" t="n">
        <v>0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2</v>
      </c>
      <c r="R48" s="2" t="inlineStr">
        <is>
          <t>Drillsnäppa
Järpe</t>
        </is>
      </c>
      <c r="S48">
        <f>HYPERLINK("https://klasma.github.io/Logging_LJUSDAL/artfynd/A 42763-2018.xlsx")</f>
        <v/>
      </c>
      <c r="T48">
        <f>HYPERLINK("https://klasma.github.io/Logging_LJUSDAL/kartor/A 42763-2018.png")</f>
        <v/>
      </c>
      <c r="V48">
        <f>HYPERLINK("https://klasma.github.io/Logging_LJUSDAL/klagomål/A 42763-2018.docx")</f>
        <v/>
      </c>
      <c r="W48">
        <f>HYPERLINK("https://klasma.github.io/Logging_LJUSDAL/klagomålsmail/A 42763-2018.docx")</f>
        <v/>
      </c>
      <c r="X48">
        <f>HYPERLINK("https://klasma.github.io/Logging_LJUSDAL/tillsyn/A 42763-2018.docx")</f>
        <v/>
      </c>
      <c r="Y48">
        <f>HYPERLINK("https://klasma.github.io/Logging_LJUSDAL/tillsynsmail/A 42763-2018.docx")</f>
        <v/>
      </c>
    </row>
    <row r="49" ht="15" customHeight="1">
      <c r="A49" t="inlineStr">
        <is>
          <t>A 49899-2018</t>
        </is>
      </c>
      <c r="B49" s="1" t="n">
        <v>43377</v>
      </c>
      <c r="C49" s="1" t="n">
        <v>45181</v>
      </c>
      <c r="D49" t="inlineStr">
        <is>
          <t>GÄVLEBORGS LÄN</t>
        </is>
      </c>
      <c r="E49" t="inlineStr">
        <is>
          <t>LJUSDAL</t>
        </is>
      </c>
      <c r="G49" t="n">
        <v>43.6</v>
      </c>
      <c r="H49" t="n">
        <v>2</v>
      </c>
      <c r="I49" t="n">
        <v>0</v>
      </c>
      <c r="J49" t="n">
        <v>0</v>
      </c>
      <c r="K49" t="n">
        <v>0</v>
      </c>
      <c r="L49" t="n">
        <v>1</v>
      </c>
      <c r="M49" t="n">
        <v>0</v>
      </c>
      <c r="N49" t="n">
        <v>0</v>
      </c>
      <c r="O49" t="n">
        <v>1</v>
      </c>
      <c r="P49" t="n">
        <v>1</v>
      </c>
      <c r="Q49" t="n">
        <v>2</v>
      </c>
      <c r="R49" s="2" t="inlineStr">
        <is>
          <t>Mosippa
Mattlummer</t>
        </is>
      </c>
      <c r="S49">
        <f>HYPERLINK("https://klasma.github.io/Logging_LJUSDAL/artfynd/A 49899-2018.xlsx")</f>
        <v/>
      </c>
      <c r="T49">
        <f>HYPERLINK("https://klasma.github.io/Logging_LJUSDAL/kartor/A 49899-2018.png")</f>
        <v/>
      </c>
      <c r="V49">
        <f>HYPERLINK("https://klasma.github.io/Logging_LJUSDAL/klagomål/A 49899-2018.docx")</f>
        <v/>
      </c>
      <c r="W49">
        <f>HYPERLINK("https://klasma.github.io/Logging_LJUSDAL/klagomålsmail/A 49899-2018.docx")</f>
        <v/>
      </c>
      <c r="X49">
        <f>HYPERLINK("https://klasma.github.io/Logging_LJUSDAL/tillsyn/A 49899-2018.docx")</f>
        <v/>
      </c>
      <c r="Y49">
        <f>HYPERLINK("https://klasma.github.io/Logging_LJUSDAL/tillsynsmail/A 49899-2018.docx")</f>
        <v/>
      </c>
    </row>
    <row r="50" ht="15" customHeight="1">
      <c r="A50" t="inlineStr">
        <is>
          <t>A 50872-2018</t>
        </is>
      </c>
      <c r="B50" s="1" t="n">
        <v>43381</v>
      </c>
      <c r="C50" s="1" t="n">
        <v>45181</v>
      </c>
      <c r="D50" t="inlineStr">
        <is>
          <t>GÄVLEBORGS LÄN</t>
        </is>
      </c>
      <c r="E50" t="inlineStr">
        <is>
          <t>LJUSDAL</t>
        </is>
      </c>
      <c r="F50" t="inlineStr">
        <is>
          <t>SCA</t>
        </is>
      </c>
      <c r="G50" t="n">
        <v>19.9</v>
      </c>
      <c r="H50" t="n">
        <v>0</v>
      </c>
      <c r="I50" t="n">
        <v>1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2</v>
      </c>
      <c r="R50" s="2" t="inlineStr">
        <is>
          <t>Garnlav
Stor aspticka</t>
        </is>
      </c>
      <c r="S50">
        <f>HYPERLINK("https://klasma.github.io/Logging_LJUSDAL/artfynd/A 50872-2018.xlsx")</f>
        <v/>
      </c>
      <c r="T50">
        <f>HYPERLINK("https://klasma.github.io/Logging_LJUSDAL/kartor/A 50872-2018.png")</f>
        <v/>
      </c>
      <c r="V50">
        <f>HYPERLINK("https://klasma.github.io/Logging_LJUSDAL/klagomål/A 50872-2018.docx")</f>
        <v/>
      </c>
      <c r="W50">
        <f>HYPERLINK("https://klasma.github.io/Logging_LJUSDAL/klagomålsmail/A 50872-2018.docx")</f>
        <v/>
      </c>
      <c r="X50">
        <f>HYPERLINK("https://klasma.github.io/Logging_LJUSDAL/tillsyn/A 50872-2018.docx")</f>
        <v/>
      </c>
      <c r="Y50">
        <f>HYPERLINK("https://klasma.github.io/Logging_LJUSDAL/tillsynsmail/A 50872-2018.docx")</f>
        <v/>
      </c>
    </row>
    <row r="51" ht="15" customHeight="1">
      <c r="A51" t="inlineStr">
        <is>
          <t>A 2528-2019</t>
        </is>
      </c>
      <c r="B51" s="1" t="n">
        <v>43476</v>
      </c>
      <c r="C51" s="1" t="n">
        <v>45181</v>
      </c>
      <c r="D51" t="inlineStr">
        <is>
          <t>GÄVLEBORGS LÄN</t>
        </is>
      </c>
      <c r="E51" t="inlineStr">
        <is>
          <t>LJUSDAL</t>
        </is>
      </c>
      <c r="G51" t="n">
        <v>130.7</v>
      </c>
      <c r="H51" t="n">
        <v>2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2</v>
      </c>
      <c r="R51" s="2" t="inlineStr">
        <is>
          <t>Lopplummer
Revlummer</t>
        </is>
      </c>
      <c r="S51">
        <f>HYPERLINK("https://klasma.github.io/Logging_LJUSDAL/artfynd/A 2528-2019.xlsx")</f>
        <v/>
      </c>
      <c r="T51">
        <f>HYPERLINK("https://klasma.github.io/Logging_LJUSDAL/kartor/A 2528-2019.png")</f>
        <v/>
      </c>
      <c r="V51">
        <f>HYPERLINK("https://klasma.github.io/Logging_LJUSDAL/klagomål/A 2528-2019.docx")</f>
        <v/>
      </c>
      <c r="W51">
        <f>HYPERLINK("https://klasma.github.io/Logging_LJUSDAL/klagomålsmail/A 2528-2019.docx")</f>
        <v/>
      </c>
      <c r="X51">
        <f>HYPERLINK("https://klasma.github.io/Logging_LJUSDAL/tillsyn/A 2528-2019.docx")</f>
        <v/>
      </c>
      <c r="Y51">
        <f>HYPERLINK("https://klasma.github.io/Logging_LJUSDAL/tillsynsmail/A 2528-2019.docx")</f>
        <v/>
      </c>
    </row>
    <row r="52" ht="15" customHeight="1">
      <c r="A52" t="inlineStr">
        <is>
          <t>A 29812-2019</t>
        </is>
      </c>
      <c r="B52" s="1" t="n">
        <v>43629</v>
      </c>
      <c r="C52" s="1" t="n">
        <v>45181</v>
      </c>
      <c r="D52" t="inlineStr">
        <is>
          <t>GÄVLEBORGS LÄN</t>
        </is>
      </c>
      <c r="E52" t="inlineStr">
        <is>
          <t>LJUSDAL</t>
        </is>
      </c>
      <c r="F52" t="inlineStr">
        <is>
          <t>Holmen skog AB</t>
        </is>
      </c>
      <c r="G52" t="n">
        <v>2.4</v>
      </c>
      <c r="H52" t="n">
        <v>1</v>
      </c>
      <c r="I52" t="n">
        <v>1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2</v>
      </c>
      <c r="R52" s="2" t="inlineStr">
        <is>
          <t>Knärot
Skinnlav</t>
        </is>
      </c>
      <c r="S52">
        <f>HYPERLINK("https://klasma.github.io/Logging_LJUSDAL/artfynd/A 29812-2019.xlsx")</f>
        <v/>
      </c>
      <c r="T52">
        <f>HYPERLINK("https://klasma.github.io/Logging_LJUSDAL/kartor/A 29812-2019.png")</f>
        <v/>
      </c>
      <c r="U52">
        <f>HYPERLINK("https://klasma.github.io/Logging_LJUSDAL/knärot/A 29812-2019.png")</f>
        <v/>
      </c>
      <c r="V52">
        <f>HYPERLINK("https://klasma.github.io/Logging_LJUSDAL/klagomål/A 29812-2019.docx")</f>
        <v/>
      </c>
      <c r="W52">
        <f>HYPERLINK("https://klasma.github.io/Logging_LJUSDAL/klagomålsmail/A 29812-2019.docx")</f>
        <v/>
      </c>
      <c r="X52">
        <f>HYPERLINK("https://klasma.github.io/Logging_LJUSDAL/tillsyn/A 29812-2019.docx")</f>
        <v/>
      </c>
      <c r="Y52">
        <f>HYPERLINK("https://klasma.github.io/Logging_LJUSDAL/tillsynsmail/A 29812-2019.docx")</f>
        <v/>
      </c>
    </row>
    <row r="53" ht="15" customHeight="1">
      <c r="A53" t="inlineStr">
        <is>
          <t>A 24617-2020</t>
        </is>
      </c>
      <c r="B53" s="1" t="n">
        <v>43977</v>
      </c>
      <c r="C53" s="1" t="n">
        <v>45181</v>
      </c>
      <c r="D53" t="inlineStr">
        <is>
          <t>GÄVLEBORGS LÄN</t>
        </is>
      </c>
      <c r="E53" t="inlineStr">
        <is>
          <t>LJUSDAL</t>
        </is>
      </c>
      <c r="F53" t="inlineStr">
        <is>
          <t>Sveaskog</t>
        </is>
      </c>
      <c r="G53" t="n">
        <v>9.300000000000001</v>
      </c>
      <c r="H53" t="n">
        <v>0</v>
      </c>
      <c r="I53" t="n">
        <v>1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2</v>
      </c>
      <c r="R53" s="2" t="inlineStr">
        <is>
          <t>Kolflarnlav
Dropptaggsvamp</t>
        </is>
      </c>
      <c r="S53">
        <f>HYPERLINK("https://klasma.github.io/Logging_LJUSDAL/artfynd/A 24617-2020.xlsx")</f>
        <v/>
      </c>
      <c r="T53">
        <f>HYPERLINK("https://klasma.github.io/Logging_LJUSDAL/kartor/A 24617-2020.png")</f>
        <v/>
      </c>
      <c r="V53">
        <f>HYPERLINK("https://klasma.github.io/Logging_LJUSDAL/klagomål/A 24617-2020.docx")</f>
        <v/>
      </c>
      <c r="W53">
        <f>HYPERLINK("https://klasma.github.io/Logging_LJUSDAL/klagomålsmail/A 24617-2020.docx")</f>
        <v/>
      </c>
      <c r="X53">
        <f>HYPERLINK("https://klasma.github.io/Logging_LJUSDAL/tillsyn/A 24617-2020.docx")</f>
        <v/>
      </c>
      <c r="Y53">
        <f>HYPERLINK("https://klasma.github.io/Logging_LJUSDAL/tillsynsmail/A 24617-2020.docx")</f>
        <v/>
      </c>
    </row>
    <row r="54" ht="15" customHeight="1">
      <c r="A54" t="inlineStr">
        <is>
          <t>A 21765-2021</t>
        </is>
      </c>
      <c r="B54" s="1" t="n">
        <v>44322</v>
      </c>
      <c r="C54" s="1" t="n">
        <v>45181</v>
      </c>
      <c r="D54" t="inlineStr">
        <is>
          <t>GÄVLEBORGS LÄN</t>
        </is>
      </c>
      <c r="E54" t="inlineStr">
        <is>
          <t>LJUSDAL</t>
        </is>
      </c>
      <c r="F54" t="inlineStr">
        <is>
          <t>Sveaskog</t>
        </is>
      </c>
      <c r="G54" t="n">
        <v>1</v>
      </c>
      <c r="H54" t="n">
        <v>2</v>
      </c>
      <c r="I54" t="n">
        <v>0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2</v>
      </c>
      <c r="R54" s="2" t="inlineStr">
        <is>
          <t>Stenfalk
Ärtsångare</t>
        </is>
      </c>
      <c r="S54">
        <f>HYPERLINK("https://klasma.github.io/Logging_LJUSDAL/artfynd/A 21765-2021.xlsx")</f>
        <v/>
      </c>
      <c r="T54">
        <f>HYPERLINK("https://klasma.github.io/Logging_LJUSDAL/kartor/A 21765-2021.png")</f>
        <v/>
      </c>
      <c r="V54">
        <f>HYPERLINK("https://klasma.github.io/Logging_LJUSDAL/klagomål/A 21765-2021.docx")</f>
        <v/>
      </c>
      <c r="W54">
        <f>HYPERLINK("https://klasma.github.io/Logging_LJUSDAL/klagomålsmail/A 21765-2021.docx")</f>
        <v/>
      </c>
      <c r="X54">
        <f>HYPERLINK("https://klasma.github.io/Logging_LJUSDAL/tillsyn/A 21765-2021.docx")</f>
        <v/>
      </c>
      <c r="Y54">
        <f>HYPERLINK("https://klasma.github.io/Logging_LJUSDAL/tillsynsmail/A 21765-2021.docx")</f>
        <v/>
      </c>
    </row>
    <row r="55" ht="15" customHeight="1">
      <c r="A55" t="inlineStr">
        <is>
          <t>A 27326-2021</t>
        </is>
      </c>
      <c r="B55" s="1" t="n">
        <v>44351</v>
      </c>
      <c r="C55" s="1" t="n">
        <v>45181</v>
      </c>
      <c r="D55" t="inlineStr">
        <is>
          <t>GÄVLEBORGS LÄN</t>
        </is>
      </c>
      <c r="E55" t="inlineStr">
        <is>
          <t>LJUSDAL</t>
        </is>
      </c>
      <c r="F55" t="inlineStr">
        <is>
          <t>Sveaskog</t>
        </is>
      </c>
      <c r="G55" t="n">
        <v>11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2</v>
      </c>
      <c r="R55" s="2" t="inlineStr">
        <is>
          <t>Skarp dropptaggsvamp
Revlummer</t>
        </is>
      </c>
      <c r="S55">
        <f>HYPERLINK("https://klasma.github.io/Logging_LJUSDAL/artfynd/A 27326-2021.xlsx")</f>
        <v/>
      </c>
      <c r="T55">
        <f>HYPERLINK("https://klasma.github.io/Logging_LJUSDAL/kartor/A 27326-2021.png")</f>
        <v/>
      </c>
      <c r="V55">
        <f>HYPERLINK("https://klasma.github.io/Logging_LJUSDAL/klagomål/A 27326-2021.docx")</f>
        <v/>
      </c>
      <c r="W55">
        <f>HYPERLINK("https://klasma.github.io/Logging_LJUSDAL/klagomålsmail/A 27326-2021.docx")</f>
        <v/>
      </c>
      <c r="X55">
        <f>HYPERLINK("https://klasma.github.io/Logging_LJUSDAL/tillsyn/A 27326-2021.docx")</f>
        <v/>
      </c>
      <c r="Y55">
        <f>HYPERLINK("https://klasma.github.io/Logging_LJUSDAL/tillsynsmail/A 27326-2021.docx")</f>
        <v/>
      </c>
    </row>
    <row r="56" ht="15" customHeight="1">
      <c r="A56" t="inlineStr">
        <is>
          <t>A 28727-2021</t>
        </is>
      </c>
      <c r="B56" s="1" t="n">
        <v>44357</v>
      </c>
      <c r="C56" s="1" t="n">
        <v>45181</v>
      </c>
      <c r="D56" t="inlineStr">
        <is>
          <t>GÄVLEBORGS LÄN</t>
        </is>
      </c>
      <c r="E56" t="inlineStr">
        <is>
          <t>LJUSDAL</t>
        </is>
      </c>
      <c r="F56" t="inlineStr">
        <is>
          <t>Sveaskog</t>
        </is>
      </c>
      <c r="G56" t="n">
        <v>45.9</v>
      </c>
      <c r="H56" t="n">
        <v>2</v>
      </c>
      <c r="I56" t="n">
        <v>1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2</v>
      </c>
      <c r="R56" s="2" t="inlineStr">
        <is>
          <t>Plattlummer
Nattviol</t>
        </is>
      </c>
      <c r="S56">
        <f>HYPERLINK("https://klasma.github.io/Logging_LJUSDAL/artfynd/A 28727-2021.xlsx")</f>
        <v/>
      </c>
      <c r="T56">
        <f>HYPERLINK("https://klasma.github.io/Logging_LJUSDAL/kartor/A 28727-2021.png")</f>
        <v/>
      </c>
      <c r="V56">
        <f>HYPERLINK("https://klasma.github.io/Logging_LJUSDAL/klagomål/A 28727-2021.docx")</f>
        <v/>
      </c>
      <c r="W56">
        <f>HYPERLINK("https://klasma.github.io/Logging_LJUSDAL/klagomålsmail/A 28727-2021.docx")</f>
        <v/>
      </c>
      <c r="X56">
        <f>HYPERLINK("https://klasma.github.io/Logging_LJUSDAL/tillsyn/A 28727-2021.docx")</f>
        <v/>
      </c>
      <c r="Y56">
        <f>HYPERLINK("https://klasma.github.io/Logging_LJUSDAL/tillsynsmail/A 28727-2021.docx")</f>
        <v/>
      </c>
    </row>
    <row r="57" ht="15" customHeight="1">
      <c r="A57" t="inlineStr">
        <is>
          <t>A 44692-2021</t>
        </is>
      </c>
      <c r="B57" s="1" t="n">
        <v>44438</v>
      </c>
      <c r="C57" s="1" t="n">
        <v>45181</v>
      </c>
      <c r="D57" t="inlineStr">
        <is>
          <t>GÄVLEBORGS LÄN</t>
        </is>
      </c>
      <c r="E57" t="inlineStr">
        <is>
          <t>LJUSDAL</t>
        </is>
      </c>
      <c r="F57" t="inlineStr">
        <is>
          <t>Sveaskog</t>
        </is>
      </c>
      <c r="G57" t="n">
        <v>2.5</v>
      </c>
      <c r="H57" t="n">
        <v>0</v>
      </c>
      <c r="I57" t="n">
        <v>0</v>
      </c>
      <c r="J57" t="n">
        <v>2</v>
      </c>
      <c r="K57" t="n">
        <v>0</v>
      </c>
      <c r="L57" t="n">
        <v>0</v>
      </c>
      <c r="M57" t="n">
        <v>0</v>
      </c>
      <c r="N57" t="n">
        <v>0</v>
      </c>
      <c r="O57" t="n">
        <v>2</v>
      </c>
      <c r="P57" t="n">
        <v>0</v>
      </c>
      <c r="Q57" t="n">
        <v>2</v>
      </c>
      <c r="R57" s="2" t="inlineStr">
        <is>
          <t>Kolflarnlav
Lunglav</t>
        </is>
      </c>
      <c r="S57">
        <f>HYPERLINK("https://klasma.github.io/Logging_LJUSDAL/artfynd/A 44692-2021.xlsx")</f>
        <v/>
      </c>
      <c r="T57">
        <f>HYPERLINK("https://klasma.github.io/Logging_LJUSDAL/kartor/A 44692-2021.png")</f>
        <v/>
      </c>
      <c r="V57">
        <f>HYPERLINK("https://klasma.github.io/Logging_LJUSDAL/klagomål/A 44692-2021.docx")</f>
        <v/>
      </c>
      <c r="W57">
        <f>HYPERLINK("https://klasma.github.io/Logging_LJUSDAL/klagomålsmail/A 44692-2021.docx")</f>
        <v/>
      </c>
      <c r="X57">
        <f>HYPERLINK("https://klasma.github.io/Logging_LJUSDAL/tillsyn/A 44692-2021.docx")</f>
        <v/>
      </c>
      <c r="Y57">
        <f>HYPERLINK("https://klasma.github.io/Logging_LJUSDAL/tillsynsmail/A 44692-2021.docx")</f>
        <v/>
      </c>
    </row>
    <row r="58" ht="15" customHeight="1">
      <c r="A58" t="inlineStr">
        <is>
          <t>A 23866-2022</t>
        </is>
      </c>
      <c r="B58" s="1" t="n">
        <v>44722</v>
      </c>
      <c r="C58" s="1" t="n">
        <v>45181</v>
      </c>
      <c r="D58" t="inlineStr">
        <is>
          <t>GÄVLEBORGS LÄN</t>
        </is>
      </c>
      <c r="E58" t="inlineStr">
        <is>
          <t>LJUSDAL</t>
        </is>
      </c>
      <c r="F58" t="inlineStr">
        <is>
          <t>Sveaskog</t>
        </is>
      </c>
      <c r="G58" t="n">
        <v>2.5</v>
      </c>
      <c r="H58" t="n">
        <v>1</v>
      </c>
      <c r="I58" t="n">
        <v>0</v>
      </c>
      <c r="J58" t="n">
        <v>1</v>
      </c>
      <c r="K58" t="n">
        <v>1</v>
      </c>
      <c r="L58" t="n">
        <v>0</v>
      </c>
      <c r="M58" t="n">
        <v>0</v>
      </c>
      <c r="N58" t="n">
        <v>0</v>
      </c>
      <c r="O58" t="n">
        <v>2</v>
      </c>
      <c r="P58" t="n">
        <v>1</v>
      </c>
      <c r="Q58" t="n">
        <v>2</v>
      </c>
      <c r="R58" s="2" t="inlineStr">
        <is>
          <t>Knärot
Lunglav</t>
        </is>
      </c>
      <c r="S58">
        <f>HYPERLINK("https://klasma.github.io/Logging_LJUSDAL/artfynd/A 23866-2022.xlsx")</f>
        <v/>
      </c>
      <c r="T58">
        <f>HYPERLINK("https://klasma.github.io/Logging_LJUSDAL/kartor/A 23866-2022.png")</f>
        <v/>
      </c>
      <c r="U58">
        <f>HYPERLINK("https://klasma.github.io/Logging_LJUSDAL/knärot/A 23866-2022.png")</f>
        <v/>
      </c>
      <c r="V58">
        <f>HYPERLINK("https://klasma.github.io/Logging_LJUSDAL/klagomål/A 23866-2022.docx")</f>
        <v/>
      </c>
      <c r="W58">
        <f>HYPERLINK("https://klasma.github.io/Logging_LJUSDAL/klagomålsmail/A 23866-2022.docx")</f>
        <v/>
      </c>
      <c r="X58">
        <f>HYPERLINK("https://klasma.github.io/Logging_LJUSDAL/tillsyn/A 23866-2022.docx")</f>
        <v/>
      </c>
      <c r="Y58">
        <f>HYPERLINK("https://klasma.github.io/Logging_LJUSDAL/tillsynsmail/A 23866-2022.docx")</f>
        <v/>
      </c>
    </row>
    <row r="59" ht="15" customHeight="1">
      <c r="A59" t="inlineStr">
        <is>
          <t>A 10637-2023</t>
        </is>
      </c>
      <c r="B59" s="1" t="n">
        <v>44988</v>
      </c>
      <c r="C59" s="1" t="n">
        <v>45181</v>
      </c>
      <c r="D59" t="inlineStr">
        <is>
          <t>GÄVLEBORGS LÄN</t>
        </is>
      </c>
      <c r="E59" t="inlineStr">
        <is>
          <t>LJUSDAL</t>
        </is>
      </c>
      <c r="G59" t="n">
        <v>8.9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HYPERLINK("https://klasma.github.io/Logging_LJUSDAL/artfynd/A 10637-2023.xlsx")</f>
        <v/>
      </c>
      <c r="T59">
        <f>HYPERLINK("https://klasma.github.io/Logging_LJUSDAL/kartor/A 10637-2023.png")</f>
        <v/>
      </c>
      <c r="V59">
        <f>HYPERLINK("https://klasma.github.io/Logging_LJUSDAL/klagomål/A 10637-2023.docx")</f>
        <v/>
      </c>
      <c r="W59">
        <f>HYPERLINK("https://klasma.github.io/Logging_LJUSDAL/klagomålsmail/A 10637-2023.docx")</f>
        <v/>
      </c>
      <c r="X59">
        <f>HYPERLINK("https://klasma.github.io/Logging_LJUSDAL/tillsyn/A 10637-2023.docx")</f>
        <v/>
      </c>
      <c r="Y59">
        <f>HYPERLINK("https://klasma.github.io/Logging_LJUSDAL/tillsynsmail/A 10637-2023.docx")</f>
        <v/>
      </c>
    </row>
    <row r="60" ht="15" customHeight="1">
      <c r="A60" t="inlineStr">
        <is>
          <t>A 26487-2023</t>
        </is>
      </c>
      <c r="B60" s="1" t="n">
        <v>45092</v>
      </c>
      <c r="C60" s="1" t="n">
        <v>45181</v>
      </c>
      <c r="D60" t="inlineStr">
        <is>
          <t>GÄVLEBORGS LÄN</t>
        </is>
      </c>
      <c r="E60" t="inlineStr">
        <is>
          <t>LJUSDAL</t>
        </is>
      </c>
      <c r="F60" t="inlineStr">
        <is>
          <t>Sveaskog</t>
        </is>
      </c>
      <c r="G60" t="n">
        <v>11.2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Lunglav
Skrovellav</t>
        </is>
      </c>
      <c r="S60">
        <f>HYPERLINK("https://klasma.github.io/Logging_LJUSDAL/artfynd/A 26487-2023.xlsx")</f>
        <v/>
      </c>
      <c r="T60">
        <f>HYPERLINK("https://klasma.github.io/Logging_LJUSDAL/kartor/A 26487-2023.png")</f>
        <v/>
      </c>
      <c r="V60">
        <f>HYPERLINK("https://klasma.github.io/Logging_LJUSDAL/klagomål/A 26487-2023.docx")</f>
        <v/>
      </c>
      <c r="W60">
        <f>HYPERLINK("https://klasma.github.io/Logging_LJUSDAL/klagomålsmail/A 26487-2023.docx")</f>
        <v/>
      </c>
      <c r="X60">
        <f>HYPERLINK("https://klasma.github.io/Logging_LJUSDAL/tillsyn/A 26487-2023.docx")</f>
        <v/>
      </c>
      <c r="Y60">
        <f>HYPERLINK("https://klasma.github.io/Logging_LJUSDAL/tillsynsmail/A 26487-2023.docx")</f>
        <v/>
      </c>
    </row>
    <row r="61" ht="15" customHeight="1">
      <c r="A61" t="inlineStr">
        <is>
          <t>A 30237-2023</t>
        </is>
      </c>
      <c r="B61" s="1" t="n">
        <v>45110</v>
      </c>
      <c r="C61" s="1" t="n">
        <v>45181</v>
      </c>
      <c r="D61" t="inlineStr">
        <is>
          <t>GÄVLEBORGS LÄN</t>
        </is>
      </c>
      <c r="E61" t="inlineStr">
        <is>
          <t>LJUSDAL</t>
        </is>
      </c>
      <c r="F61" t="inlineStr">
        <is>
          <t>Sveaskog</t>
        </is>
      </c>
      <c r="G61" t="n">
        <v>1.7</v>
      </c>
      <c r="H61" t="n">
        <v>0</v>
      </c>
      <c r="I61" t="n">
        <v>0</v>
      </c>
      <c r="J61" t="n">
        <v>2</v>
      </c>
      <c r="K61" t="n">
        <v>0</v>
      </c>
      <c r="L61" t="n">
        <v>0</v>
      </c>
      <c r="M61" t="n">
        <v>0</v>
      </c>
      <c r="N61" t="n">
        <v>0</v>
      </c>
      <c r="O61" t="n">
        <v>2</v>
      </c>
      <c r="P61" t="n">
        <v>0</v>
      </c>
      <c r="Q61" t="n">
        <v>2</v>
      </c>
      <c r="R61" s="2" t="inlineStr">
        <is>
          <t>Kolflarnlav
Lunglav</t>
        </is>
      </c>
      <c r="S61">
        <f>HYPERLINK("https://klasma.github.io/Logging_LJUSDAL/artfynd/A 30237-2023.xlsx")</f>
        <v/>
      </c>
      <c r="T61">
        <f>HYPERLINK("https://klasma.github.io/Logging_LJUSDAL/kartor/A 30237-2023.png")</f>
        <v/>
      </c>
      <c r="V61">
        <f>HYPERLINK("https://klasma.github.io/Logging_LJUSDAL/klagomål/A 30237-2023.docx")</f>
        <v/>
      </c>
      <c r="W61">
        <f>HYPERLINK("https://klasma.github.io/Logging_LJUSDAL/klagomålsmail/A 30237-2023.docx")</f>
        <v/>
      </c>
      <c r="X61">
        <f>HYPERLINK("https://klasma.github.io/Logging_LJUSDAL/tillsyn/A 30237-2023.docx")</f>
        <v/>
      </c>
      <c r="Y61">
        <f>HYPERLINK("https://klasma.github.io/Logging_LJUSDAL/tillsynsmail/A 30237-2023.docx")</f>
        <v/>
      </c>
    </row>
    <row r="62" ht="15" customHeight="1">
      <c r="A62" t="inlineStr">
        <is>
          <t>A 40857-2018</t>
        </is>
      </c>
      <c r="B62" s="1" t="n">
        <v>43347</v>
      </c>
      <c r="C62" s="1" t="n">
        <v>45181</v>
      </c>
      <c r="D62" t="inlineStr">
        <is>
          <t>GÄVLEBORGS LÄN</t>
        </is>
      </c>
      <c r="E62" t="inlineStr">
        <is>
          <t>LJUSDAL</t>
        </is>
      </c>
      <c r="G62" t="n">
        <v>49.9</v>
      </c>
      <c r="H62" t="n">
        <v>0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Svedjenäva</t>
        </is>
      </c>
      <c r="S62">
        <f>HYPERLINK("https://klasma.github.io/Logging_LJUSDAL/artfynd/A 40857-2018.xlsx")</f>
        <v/>
      </c>
      <c r="T62">
        <f>HYPERLINK("https://klasma.github.io/Logging_LJUSDAL/kartor/A 40857-2018.png")</f>
        <v/>
      </c>
      <c r="V62">
        <f>HYPERLINK("https://klasma.github.io/Logging_LJUSDAL/klagomål/A 40857-2018.docx")</f>
        <v/>
      </c>
      <c r="W62">
        <f>HYPERLINK("https://klasma.github.io/Logging_LJUSDAL/klagomålsmail/A 40857-2018.docx")</f>
        <v/>
      </c>
      <c r="X62">
        <f>HYPERLINK("https://klasma.github.io/Logging_LJUSDAL/tillsyn/A 40857-2018.docx")</f>
        <v/>
      </c>
      <c r="Y62">
        <f>HYPERLINK("https://klasma.github.io/Logging_LJUSDAL/tillsynsmail/A 40857-2018.docx")</f>
        <v/>
      </c>
    </row>
    <row r="63" ht="15" customHeight="1">
      <c r="A63" t="inlineStr">
        <is>
          <t>A 43261-2018</t>
        </is>
      </c>
      <c r="B63" s="1" t="n">
        <v>43355</v>
      </c>
      <c r="C63" s="1" t="n">
        <v>45181</v>
      </c>
      <c r="D63" t="inlineStr">
        <is>
          <t>GÄVLEBORGS LÄN</t>
        </is>
      </c>
      <c r="E63" t="inlineStr">
        <is>
          <t>LJUSDAL</t>
        </is>
      </c>
      <c r="F63" t="inlineStr">
        <is>
          <t>Holmen skog AB</t>
        </is>
      </c>
      <c r="G63" t="n">
        <v>285.6</v>
      </c>
      <c r="H63" t="n">
        <v>0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Garnlav</t>
        </is>
      </c>
      <c r="S63">
        <f>HYPERLINK("https://klasma.github.io/Logging_LJUSDAL/artfynd/A 43261-2018.xlsx")</f>
        <v/>
      </c>
      <c r="T63">
        <f>HYPERLINK("https://klasma.github.io/Logging_LJUSDAL/kartor/A 43261-2018.png")</f>
        <v/>
      </c>
      <c r="V63">
        <f>HYPERLINK("https://klasma.github.io/Logging_LJUSDAL/klagomål/A 43261-2018.docx")</f>
        <v/>
      </c>
      <c r="W63">
        <f>HYPERLINK("https://klasma.github.io/Logging_LJUSDAL/klagomålsmail/A 43261-2018.docx")</f>
        <v/>
      </c>
      <c r="X63">
        <f>HYPERLINK("https://klasma.github.io/Logging_LJUSDAL/tillsyn/A 43261-2018.docx")</f>
        <v/>
      </c>
      <c r="Y63">
        <f>HYPERLINK("https://klasma.github.io/Logging_LJUSDAL/tillsynsmail/A 43261-2018.docx")</f>
        <v/>
      </c>
    </row>
    <row r="64" ht="15" customHeight="1">
      <c r="A64" t="inlineStr">
        <is>
          <t>A 46314-2018</t>
        </is>
      </c>
      <c r="B64" s="1" t="n">
        <v>43367</v>
      </c>
      <c r="C64" s="1" t="n">
        <v>45181</v>
      </c>
      <c r="D64" t="inlineStr">
        <is>
          <t>GÄVLEBORGS LÄN</t>
        </is>
      </c>
      <c r="E64" t="inlineStr">
        <is>
          <t>LJUSDAL</t>
        </is>
      </c>
      <c r="G64" t="n">
        <v>22.2</v>
      </c>
      <c r="H64" t="n">
        <v>0</v>
      </c>
      <c r="I64" t="n">
        <v>0</v>
      </c>
      <c r="J64" t="n">
        <v>1</v>
      </c>
      <c r="K64" t="n">
        <v>0</v>
      </c>
      <c r="L64" t="n">
        <v>0</v>
      </c>
      <c r="M64" t="n">
        <v>0</v>
      </c>
      <c r="N64" t="n">
        <v>0</v>
      </c>
      <c r="O64" t="n">
        <v>1</v>
      </c>
      <c r="P64" t="n">
        <v>0</v>
      </c>
      <c r="Q64" t="n">
        <v>1</v>
      </c>
      <c r="R64" s="2" t="inlineStr">
        <is>
          <t>Gropig brunbagge</t>
        </is>
      </c>
      <c r="S64">
        <f>HYPERLINK("https://klasma.github.io/Logging_LJUSDAL/artfynd/A 46314-2018.xlsx")</f>
        <v/>
      </c>
      <c r="T64">
        <f>HYPERLINK("https://klasma.github.io/Logging_LJUSDAL/kartor/A 46314-2018.png")</f>
        <v/>
      </c>
      <c r="V64">
        <f>HYPERLINK("https://klasma.github.io/Logging_LJUSDAL/klagomål/A 46314-2018.docx")</f>
        <v/>
      </c>
      <c r="W64">
        <f>HYPERLINK("https://klasma.github.io/Logging_LJUSDAL/klagomålsmail/A 46314-2018.docx")</f>
        <v/>
      </c>
      <c r="X64">
        <f>HYPERLINK("https://klasma.github.io/Logging_LJUSDAL/tillsyn/A 46314-2018.docx")</f>
        <v/>
      </c>
      <c r="Y64">
        <f>HYPERLINK("https://klasma.github.io/Logging_LJUSDAL/tillsynsmail/A 46314-2018.docx")</f>
        <v/>
      </c>
    </row>
    <row r="65" ht="15" customHeight="1">
      <c r="A65" t="inlineStr">
        <is>
          <t>A 62144-2018</t>
        </is>
      </c>
      <c r="B65" s="1" t="n">
        <v>43385</v>
      </c>
      <c r="C65" s="1" t="n">
        <v>45181</v>
      </c>
      <c r="D65" t="inlineStr">
        <is>
          <t>GÄVLEBORGS LÄN</t>
        </is>
      </c>
      <c r="E65" t="inlineStr">
        <is>
          <t>LJUSDAL</t>
        </is>
      </c>
      <c r="F65" t="inlineStr">
        <is>
          <t>Bergvik skog väst AB</t>
        </is>
      </c>
      <c r="G65" t="n">
        <v>9.1</v>
      </c>
      <c r="H65" t="n">
        <v>0</v>
      </c>
      <c r="I65" t="n">
        <v>0</v>
      </c>
      <c r="J65" t="n">
        <v>0</v>
      </c>
      <c r="K65" t="n">
        <v>1</v>
      </c>
      <c r="L65" t="n">
        <v>0</v>
      </c>
      <c r="M65" t="n">
        <v>0</v>
      </c>
      <c r="N65" t="n">
        <v>0</v>
      </c>
      <c r="O65" t="n">
        <v>1</v>
      </c>
      <c r="P65" t="n">
        <v>1</v>
      </c>
      <c r="Q65" t="n">
        <v>1</v>
      </c>
      <c r="R65" s="2" t="inlineStr">
        <is>
          <t>Gräddporing</t>
        </is>
      </c>
      <c r="S65">
        <f>HYPERLINK("https://klasma.github.io/Logging_LJUSDAL/artfynd/A 62144-2018.xlsx")</f>
        <v/>
      </c>
      <c r="T65">
        <f>HYPERLINK("https://klasma.github.io/Logging_LJUSDAL/kartor/A 62144-2018.png")</f>
        <v/>
      </c>
      <c r="V65">
        <f>HYPERLINK("https://klasma.github.io/Logging_LJUSDAL/klagomål/A 62144-2018.docx")</f>
        <v/>
      </c>
      <c r="W65">
        <f>HYPERLINK("https://klasma.github.io/Logging_LJUSDAL/klagomålsmail/A 62144-2018.docx")</f>
        <v/>
      </c>
      <c r="X65">
        <f>HYPERLINK("https://klasma.github.io/Logging_LJUSDAL/tillsyn/A 62144-2018.docx")</f>
        <v/>
      </c>
      <c r="Y65">
        <f>HYPERLINK("https://klasma.github.io/Logging_LJUSDAL/tillsynsmail/A 62144-2018.docx")</f>
        <v/>
      </c>
    </row>
    <row r="66" ht="15" customHeight="1">
      <c r="A66" t="inlineStr">
        <is>
          <t>A 52010-2018</t>
        </is>
      </c>
      <c r="B66" s="1" t="n">
        <v>43385</v>
      </c>
      <c r="C66" s="1" t="n">
        <v>45181</v>
      </c>
      <c r="D66" t="inlineStr">
        <is>
          <t>GÄVLEBORGS LÄN</t>
        </is>
      </c>
      <c r="E66" t="inlineStr">
        <is>
          <t>LJUSDAL</t>
        </is>
      </c>
      <c r="F66" t="inlineStr">
        <is>
          <t>Bergvik skog väst AB</t>
        </is>
      </c>
      <c r="G66" t="n">
        <v>9.1</v>
      </c>
      <c r="H66" t="n">
        <v>0</v>
      </c>
      <c r="I66" t="n">
        <v>0</v>
      </c>
      <c r="J66" t="n">
        <v>0</v>
      </c>
      <c r="K66" t="n">
        <v>1</v>
      </c>
      <c r="L66" t="n">
        <v>0</v>
      </c>
      <c r="M66" t="n">
        <v>0</v>
      </c>
      <c r="N66" t="n">
        <v>0</v>
      </c>
      <c r="O66" t="n">
        <v>1</v>
      </c>
      <c r="P66" t="n">
        <v>1</v>
      </c>
      <c r="Q66" t="n">
        <v>1</v>
      </c>
      <c r="R66" s="2" t="inlineStr">
        <is>
          <t>Gräddporing</t>
        </is>
      </c>
      <c r="S66">
        <f>HYPERLINK("https://klasma.github.io/Logging_LJUSDAL/artfynd/A 52010-2018.xlsx")</f>
        <v/>
      </c>
      <c r="T66">
        <f>HYPERLINK("https://klasma.github.io/Logging_LJUSDAL/kartor/A 52010-2018.png")</f>
        <v/>
      </c>
      <c r="V66">
        <f>HYPERLINK("https://klasma.github.io/Logging_LJUSDAL/klagomål/A 52010-2018.docx")</f>
        <v/>
      </c>
      <c r="W66">
        <f>HYPERLINK("https://klasma.github.io/Logging_LJUSDAL/klagomålsmail/A 52010-2018.docx")</f>
        <v/>
      </c>
      <c r="X66">
        <f>HYPERLINK("https://klasma.github.io/Logging_LJUSDAL/tillsyn/A 52010-2018.docx")</f>
        <v/>
      </c>
      <c r="Y66">
        <f>HYPERLINK("https://klasma.github.io/Logging_LJUSDAL/tillsynsmail/A 52010-2018.docx")</f>
        <v/>
      </c>
    </row>
    <row r="67" ht="15" customHeight="1">
      <c r="A67" t="inlineStr">
        <is>
          <t>A 63969-2018</t>
        </is>
      </c>
      <c r="B67" s="1" t="n">
        <v>43389</v>
      </c>
      <c r="C67" s="1" t="n">
        <v>45181</v>
      </c>
      <c r="D67" t="inlineStr">
        <is>
          <t>GÄVLEBORGS LÄN</t>
        </is>
      </c>
      <c r="E67" t="inlineStr">
        <is>
          <t>LJUSDAL</t>
        </is>
      </c>
      <c r="F67" t="inlineStr">
        <is>
          <t>Bergvik skog väst AB</t>
        </is>
      </c>
      <c r="G67" t="n">
        <v>9.1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Gräddporing</t>
        </is>
      </c>
      <c r="S67">
        <f>HYPERLINK("https://klasma.github.io/Logging_LJUSDAL/artfynd/A 63969-2018.xlsx")</f>
        <v/>
      </c>
      <c r="T67">
        <f>HYPERLINK("https://klasma.github.io/Logging_LJUSDAL/kartor/A 63969-2018.png")</f>
        <v/>
      </c>
      <c r="V67">
        <f>HYPERLINK("https://klasma.github.io/Logging_LJUSDAL/klagomål/A 63969-2018.docx")</f>
        <v/>
      </c>
      <c r="W67">
        <f>HYPERLINK("https://klasma.github.io/Logging_LJUSDAL/klagomålsmail/A 63969-2018.docx")</f>
        <v/>
      </c>
      <c r="X67">
        <f>HYPERLINK("https://klasma.github.io/Logging_LJUSDAL/tillsyn/A 63969-2018.docx")</f>
        <v/>
      </c>
      <c r="Y67">
        <f>HYPERLINK("https://klasma.github.io/Logging_LJUSDAL/tillsynsmail/A 63969-2018.docx")</f>
        <v/>
      </c>
    </row>
    <row r="68" ht="15" customHeight="1">
      <c r="A68" t="inlineStr">
        <is>
          <t>A 68968-2018</t>
        </is>
      </c>
      <c r="B68" s="1" t="n">
        <v>43445</v>
      </c>
      <c r="C68" s="1" t="n">
        <v>45181</v>
      </c>
      <c r="D68" t="inlineStr">
        <is>
          <t>GÄVLEBORGS LÄN</t>
        </is>
      </c>
      <c r="E68" t="inlineStr">
        <is>
          <t>LJUSDAL</t>
        </is>
      </c>
      <c r="F68" t="inlineStr">
        <is>
          <t>Sveaskog</t>
        </is>
      </c>
      <c r="G68" t="n">
        <v>1.3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Lunglav</t>
        </is>
      </c>
      <c r="S68">
        <f>HYPERLINK("https://klasma.github.io/Logging_LJUSDAL/artfynd/A 68968-2018.xlsx")</f>
        <v/>
      </c>
      <c r="T68">
        <f>HYPERLINK("https://klasma.github.io/Logging_LJUSDAL/kartor/A 68968-2018.png")</f>
        <v/>
      </c>
      <c r="V68">
        <f>HYPERLINK("https://klasma.github.io/Logging_LJUSDAL/klagomål/A 68968-2018.docx")</f>
        <v/>
      </c>
      <c r="W68">
        <f>HYPERLINK("https://klasma.github.io/Logging_LJUSDAL/klagomålsmail/A 68968-2018.docx")</f>
        <v/>
      </c>
      <c r="X68">
        <f>HYPERLINK("https://klasma.github.io/Logging_LJUSDAL/tillsyn/A 68968-2018.docx")</f>
        <v/>
      </c>
      <c r="Y68">
        <f>HYPERLINK("https://klasma.github.io/Logging_LJUSDAL/tillsynsmail/A 68968-2018.docx")</f>
        <v/>
      </c>
    </row>
    <row r="69" ht="15" customHeight="1">
      <c r="A69" t="inlineStr">
        <is>
          <t>A 5448-2019</t>
        </is>
      </c>
      <c r="B69" s="1" t="n">
        <v>43481</v>
      </c>
      <c r="C69" s="1" t="n">
        <v>45181</v>
      </c>
      <c r="D69" t="inlineStr">
        <is>
          <t>GÄVLEBORGS LÄN</t>
        </is>
      </c>
      <c r="E69" t="inlineStr">
        <is>
          <t>LJUSDAL</t>
        </is>
      </c>
      <c r="G69" t="n">
        <v>4.3</v>
      </c>
      <c r="H69" t="n">
        <v>1</v>
      </c>
      <c r="I69" t="n">
        <v>0</v>
      </c>
      <c r="J69" t="n">
        <v>1</v>
      </c>
      <c r="K69" t="n">
        <v>0</v>
      </c>
      <c r="L69" t="n">
        <v>0</v>
      </c>
      <c r="M69" t="n">
        <v>0</v>
      </c>
      <c r="N69" t="n">
        <v>0</v>
      </c>
      <c r="O69" t="n">
        <v>1</v>
      </c>
      <c r="P69" t="n">
        <v>0</v>
      </c>
      <c r="Q69" t="n">
        <v>1</v>
      </c>
      <c r="R69" s="2" t="inlineStr">
        <is>
          <t>Fjällvråk</t>
        </is>
      </c>
      <c r="S69">
        <f>HYPERLINK("https://klasma.github.io/Logging_LJUSDAL/artfynd/A 5448-2019.xlsx")</f>
        <v/>
      </c>
      <c r="T69">
        <f>HYPERLINK("https://klasma.github.io/Logging_LJUSDAL/kartor/A 5448-2019.png")</f>
        <v/>
      </c>
      <c r="V69">
        <f>HYPERLINK("https://klasma.github.io/Logging_LJUSDAL/klagomål/A 5448-2019.docx")</f>
        <v/>
      </c>
      <c r="W69">
        <f>HYPERLINK("https://klasma.github.io/Logging_LJUSDAL/klagomålsmail/A 5448-2019.docx")</f>
        <v/>
      </c>
      <c r="X69">
        <f>HYPERLINK("https://klasma.github.io/Logging_LJUSDAL/tillsyn/A 5448-2019.docx")</f>
        <v/>
      </c>
      <c r="Y69">
        <f>HYPERLINK("https://klasma.github.io/Logging_LJUSDAL/tillsynsmail/A 5448-2019.docx")</f>
        <v/>
      </c>
    </row>
    <row r="70" ht="15" customHeight="1">
      <c r="A70" t="inlineStr">
        <is>
          <t>A 17966-2019</t>
        </is>
      </c>
      <c r="B70" s="1" t="n">
        <v>43557</v>
      </c>
      <c r="C70" s="1" t="n">
        <v>45181</v>
      </c>
      <c r="D70" t="inlineStr">
        <is>
          <t>GÄVLEBORGS LÄN</t>
        </is>
      </c>
      <c r="E70" t="inlineStr">
        <is>
          <t>LJUSDAL</t>
        </is>
      </c>
      <c r="G70" t="n">
        <v>0.7</v>
      </c>
      <c r="H70" t="n">
        <v>1</v>
      </c>
      <c r="I70" t="n">
        <v>0</v>
      </c>
      <c r="J70" t="n">
        <v>1</v>
      </c>
      <c r="K70" t="n">
        <v>0</v>
      </c>
      <c r="L70" t="n">
        <v>0</v>
      </c>
      <c r="M70" t="n">
        <v>0</v>
      </c>
      <c r="N70" t="n">
        <v>0</v>
      </c>
      <c r="O70" t="n">
        <v>1</v>
      </c>
      <c r="P70" t="n">
        <v>0</v>
      </c>
      <c r="Q70" t="n">
        <v>1</v>
      </c>
      <c r="R70" s="2" t="inlineStr">
        <is>
          <t>Talltita</t>
        </is>
      </c>
      <c r="S70">
        <f>HYPERLINK("https://klasma.github.io/Logging_LJUSDAL/artfynd/A 17966-2019.xlsx")</f>
        <v/>
      </c>
      <c r="T70">
        <f>HYPERLINK("https://klasma.github.io/Logging_LJUSDAL/kartor/A 17966-2019.png")</f>
        <v/>
      </c>
      <c r="V70">
        <f>HYPERLINK("https://klasma.github.io/Logging_LJUSDAL/klagomål/A 17966-2019.docx")</f>
        <v/>
      </c>
      <c r="W70">
        <f>HYPERLINK("https://klasma.github.io/Logging_LJUSDAL/klagomålsmail/A 17966-2019.docx")</f>
        <v/>
      </c>
      <c r="X70">
        <f>HYPERLINK("https://klasma.github.io/Logging_LJUSDAL/tillsyn/A 17966-2019.docx")</f>
        <v/>
      </c>
      <c r="Y70">
        <f>HYPERLINK("https://klasma.github.io/Logging_LJUSDAL/tillsynsmail/A 17966-2019.docx")</f>
        <v/>
      </c>
    </row>
    <row r="71" ht="15" customHeight="1">
      <c r="A71" t="inlineStr">
        <is>
          <t>A 67154-2019</t>
        </is>
      </c>
      <c r="B71" s="1" t="n">
        <v>43811</v>
      </c>
      <c r="C71" s="1" t="n">
        <v>45181</v>
      </c>
      <c r="D71" t="inlineStr">
        <is>
          <t>GÄVLEBORGS LÄN</t>
        </is>
      </c>
      <c r="E71" t="inlineStr">
        <is>
          <t>LJUSDAL</t>
        </is>
      </c>
      <c r="G71" t="n">
        <v>12.9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Rosenticka</t>
        </is>
      </c>
      <c r="S71">
        <f>HYPERLINK("https://klasma.github.io/Logging_LJUSDAL/artfynd/A 67154-2019.xlsx")</f>
        <v/>
      </c>
      <c r="T71">
        <f>HYPERLINK("https://klasma.github.io/Logging_LJUSDAL/kartor/A 67154-2019.png")</f>
        <v/>
      </c>
      <c r="V71">
        <f>HYPERLINK("https://klasma.github.io/Logging_LJUSDAL/klagomål/A 67154-2019.docx")</f>
        <v/>
      </c>
      <c r="W71">
        <f>HYPERLINK("https://klasma.github.io/Logging_LJUSDAL/klagomålsmail/A 67154-2019.docx")</f>
        <v/>
      </c>
      <c r="X71">
        <f>HYPERLINK("https://klasma.github.io/Logging_LJUSDAL/tillsyn/A 67154-2019.docx")</f>
        <v/>
      </c>
      <c r="Y71">
        <f>HYPERLINK("https://klasma.github.io/Logging_LJUSDAL/tillsynsmail/A 67154-2019.docx")</f>
        <v/>
      </c>
    </row>
    <row r="72" ht="15" customHeight="1">
      <c r="A72" t="inlineStr">
        <is>
          <t>A 7560-2020</t>
        </is>
      </c>
      <c r="B72" s="1" t="n">
        <v>43872</v>
      </c>
      <c r="C72" s="1" t="n">
        <v>45181</v>
      </c>
      <c r="D72" t="inlineStr">
        <is>
          <t>GÄVLEBORGS LÄN</t>
        </is>
      </c>
      <c r="E72" t="inlineStr">
        <is>
          <t>LJUSDAL</t>
        </is>
      </c>
      <c r="G72" t="n">
        <v>3.9</v>
      </c>
      <c r="H72" t="n">
        <v>0</v>
      </c>
      <c r="I72" t="n">
        <v>0</v>
      </c>
      <c r="J72" t="n">
        <v>1</v>
      </c>
      <c r="K72" t="n">
        <v>0</v>
      </c>
      <c r="L72" t="n">
        <v>0</v>
      </c>
      <c r="M72" t="n">
        <v>0</v>
      </c>
      <c r="N72" t="n">
        <v>0</v>
      </c>
      <c r="O72" t="n">
        <v>1</v>
      </c>
      <c r="P72" t="n">
        <v>0</v>
      </c>
      <c r="Q72" t="n">
        <v>1</v>
      </c>
      <c r="R72" s="2" t="inlineStr">
        <is>
          <t>Blanksvart spiklav</t>
        </is>
      </c>
      <c r="S72">
        <f>HYPERLINK("https://klasma.github.io/Logging_LJUSDAL/artfynd/A 7560-2020.xlsx")</f>
        <v/>
      </c>
      <c r="T72">
        <f>HYPERLINK("https://klasma.github.io/Logging_LJUSDAL/kartor/A 7560-2020.png")</f>
        <v/>
      </c>
      <c r="V72">
        <f>HYPERLINK("https://klasma.github.io/Logging_LJUSDAL/klagomål/A 7560-2020.docx")</f>
        <v/>
      </c>
      <c r="W72">
        <f>HYPERLINK("https://klasma.github.io/Logging_LJUSDAL/klagomålsmail/A 7560-2020.docx")</f>
        <v/>
      </c>
      <c r="X72">
        <f>HYPERLINK("https://klasma.github.io/Logging_LJUSDAL/tillsyn/A 7560-2020.docx")</f>
        <v/>
      </c>
      <c r="Y72">
        <f>HYPERLINK("https://klasma.github.io/Logging_LJUSDAL/tillsynsmail/A 7560-2020.docx")</f>
        <v/>
      </c>
    </row>
    <row r="73" ht="15" customHeight="1">
      <c r="A73" t="inlineStr">
        <is>
          <t>A 19023-2020</t>
        </is>
      </c>
      <c r="B73" s="1" t="n">
        <v>43936</v>
      </c>
      <c r="C73" s="1" t="n">
        <v>45181</v>
      </c>
      <c r="D73" t="inlineStr">
        <is>
          <t>GÄVLEBORGS LÄN</t>
        </is>
      </c>
      <c r="E73" t="inlineStr">
        <is>
          <t>LJUSDAL</t>
        </is>
      </c>
      <c r="G73" t="n">
        <v>5.9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Violettgrå tagellav</t>
        </is>
      </c>
      <c r="S73">
        <f>HYPERLINK("https://klasma.github.io/Logging_LJUSDAL/artfynd/A 19023-2020.xlsx")</f>
        <v/>
      </c>
      <c r="T73">
        <f>HYPERLINK("https://klasma.github.io/Logging_LJUSDAL/kartor/A 19023-2020.png")</f>
        <v/>
      </c>
      <c r="V73">
        <f>HYPERLINK("https://klasma.github.io/Logging_LJUSDAL/klagomål/A 19023-2020.docx")</f>
        <v/>
      </c>
      <c r="W73">
        <f>HYPERLINK("https://klasma.github.io/Logging_LJUSDAL/klagomålsmail/A 19023-2020.docx")</f>
        <v/>
      </c>
      <c r="X73">
        <f>HYPERLINK("https://klasma.github.io/Logging_LJUSDAL/tillsyn/A 19023-2020.docx")</f>
        <v/>
      </c>
      <c r="Y73">
        <f>HYPERLINK("https://klasma.github.io/Logging_LJUSDAL/tillsynsmail/A 19023-2020.docx")</f>
        <v/>
      </c>
    </row>
    <row r="74" ht="15" customHeight="1">
      <c r="A74" t="inlineStr">
        <is>
          <t>A 25005-2020</t>
        </is>
      </c>
      <c r="B74" s="1" t="n">
        <v>43979</v>
      </c>
      <c r="C74" s="1" t="n">
        <v>45181</v>
      </c>
      <c r="D74" t="inlineStr">
        <is>
          <t>GÄVLEBORGS LÄN</t>
        </is>
      </c>
      <c r="E74" t="inlineStr">
        <is>
          <t>LJUSDAL</t>
        </is>
      </c>
      <c r="F74" t="inlineStr">
        <is>
          <t>Sveaskog</t>
        </is>
      </c>
      <c r="G74" t="n">
        <v>1.9</v>
      </c>
      <c r="H74" t="n">
        <v>0</v>
      </c>
      <c r="I74" t="n">
        <v>0</v>
      </c>
      <c r="J74" t="n">
        <v>1</v>
      </c>
      <c r="K74" t="n">
        <v>0</v>
      </c>
      <c r="L74" t="n">
        <v>0</v>
      </c>
      <c r="M74" t="n">
        <v>0</v>
      </c>
      <c r="N74" t="n">
        <v>0</v>
      </c>
      <c r="O74" t="n">
        <v>1</v>
      </c>
      <c r="P74" t="n">
        <v>0</v>
      </c>
      <c r="Q74" t="n">
        <v>1</v>
      </c>
      <c r="R74" s="2" t="inlineStr">
        <is>
          <t>Kolflarnlav</t>
        </is>
      </c>
      <c r="S74">
        <f>HYPERLINK("https://klasma.github.io/Logging_LJUSDAL/artfynd/A 25005-2020.xlsx")</f>
        <v/>
      </c>
      <c r="T74">
        <f>HYPERLINK("https://klasma.github.io/Logging_LJUSDAL/kartor/A 25005-2020.png")</f>
        <v/>
      </c>
      <c r="V74">
        <f>HYPERLINK("https://klasma.github.io/Logging_LJUSDAL/klagomål/A 25005-2020.docx")</f>
        <v/>
      </c>
      <c r="W74">
        <f>HYPERLINK("https://klasma.github.io/Logging_LJUSDAL/klagomålsmail/A 25005-2020.docx")</f>
        <v/>
      </c>
      <c r="X74">
        <f>HYPERLINK("https://klasma.github.io/Logging_LJUSDAL/tillsyn/A 25005-2020.docx")</f>
        <v/>
      </c>
      <c r="Y74">
        <f>HYPERLINK("https://klasma.github.io/Logging_LJUSDAL/tillsynsmail/A 25005-2020.docx")</f>
        <v/>
      </c>
    </row>
    <row r="75" ht="15" customHeight="1">
      <c r="A75" t="inlineStr">
        <is>
          <t>A 38855-2020</t>
        </is>
      </c>
      <c r="B75" s="1" t="n">
        <v>44062</v>
      </c>
      <c r="C75" s="1" t="n">
        <v>45181</v>
      </c>
      <c r="D75" t="inlineStr">
        <is>
          <t>GÄVLEBORGS LÄN</t>
        </is>
      </c>
      <c r="E75" t="inlineStr">
        <is>
          <t>LJUSDAL</t>
        </is>
      </c>
      <c r="F75" t="inlineStr">
        <is>
          <t>Holmen skog AB</t>
        </is>
      </c>
      <c r="G75" t="n">
        <v>3.8</v>
      </c>
      <c r="H75" t="n">
        <v>1</v>
      </c>
      <c r="I75" t="n">
        <v>0</v>
      </c>
      <c r="J75" t="n">
        <v>0</v>
      </c>
      <c r="K75" t="n">
        <v>1</v>
      </c>
      <c r="L75" t="n">
        <v>0</v>
      </c>
      <c r="M75" t="n">
        <v>0</v>
      </c>
      <c r="N75" t="n">
        <v>0</v>
      </c>
      <c r="O75" t="n">
        <v>1</v>
      </c>
      <c r="P75" t="n">
        <v>1</v>
      </c>
      <c r="Q75" t="n">
        <v>1</v>
      </c>
      <c r="R75" s="2" t="inlineStr">
        <is>
          <t>Knärot</t>
        </is>
      </c>
      <c r="S75">
        <f>HYPERLINK("https://klasma.github.io/Logging_LJUSDAL/artfynd/A 38855-2020.xlsx")</f>
        <v/>
      </c>
      <c r="T75">
        <f>HYPERLINK("https://klasma.github.io/Logging_LJUSDAL/kartor/A 38855-2020.png")</f>
        <v/>
      </c>
      <c r="U75">
        <f>HYPERLINK("https://klasma.github.io/Logging_LJUSDAL/knärot/A 38855-2020.png")</f>
        <v/>
      </c>
      <c r="V75">
        <f>HYPERLINK("https://klasma.github.io/Logging_LJUSDAL/klagomål/A 38855-2020.docx")</f>
        <v/>
      </c>
      <c r="W75">
        <f>HYPERLINK("https://klasma.github.io/Logging_LJUSDAL/klagomålsmail/A 38855-2020.docx")</f>
        <v/>
      </c>
      <c r="X75">
        <f>HYPERLINK("https://klasma.github.io/Logging_LJUSDAL/tillsyn/A 38855-2020.docx")</f>
        <v/>
      </c>
      <c r="Y75">
        <f>HYPERLINK("https://klasma.github.io/Logging_LJUSDAL/tillsynsmail/A 38855-2020.docx")</f>
        <v/>
      </c>
    </row>
    <row r="76" ht="15" customHeight="1">
      <c r="A76" t="inlineStr">
        <is>
          <t>A 40597-2020</t>
        </is>
      </c>
      <c r="B76" s="1" t="n">
        <v>44069</v>
      </c>
      <c r="C76" s="1" t="n">
        <v>45181</v>
      </c>
      <c r="D76" t="inlineStr">
        <is>
          <t>GÄVLEBORGS LÄN</t>
        </is>
      </c>
      <c r="E76" t="inlineStr">
        <is>
          <t>LJUSDAL</t>
        </is>
      </c>
      <c r="F76" t="inlineStr">
        <is>
          <t>Sveaskog</t>
        </is>
      </c>
      <c r="G76" t="n">
        <v>9.5</v>
      </c>
      <c r="H76" t="n">
        <v>0</v>
      </c>
      <c r="I76" t="n">
        <v>0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1</v>
      </c>
      <c r="R76" s="2" t="inlineStr">
        <is>
          <t>Lunglav</t>
        </is>
      </c>
      <c r="S76">
        <f>HYPERLINK("https://klasma.github.io/Logging_LJUSDAL/artfynd/A 40597-2020.xlsx")</f>
        <v/>
      </c>
      <c r="T76">
        <f>HYPERLINK("https://klasma.github.io/Logging_LJUSDAL/kartor/A 40597-2020.png")</f>
        <v/>
      </c>
      <c r="V76">
        <f>HYPERLINK("https://klasma.github.io/Logging_LJUSDAL/klagomål/A 40597-2020.docx")</f>
        <v/>
      </c>
      <c r="W76">
        <f>HYPERLINK("https://klasma.github.io/Logging_LJUSDAL/klagomålsmail/A 40597-2020.docx")</f>
        <v/>
      </c>
      <c r="X76">
        <f>HYPERLINK("https://klasma.github.io/Logging_LJUSDAL/tillsyn/A 40597-2020.docx")</f>
        <v/>
      </c>
      <c r="Y76">
        <f>HYPERLINK("https://klasma.github.io/Logging_LJUSDAL/tillsynsmail/A 40597-2020.docx")</f>
        <v/>
      </c>
    </row>
    <row r="77" ht="15" customHeight="1">
      <c r="A77" t="inlineStr">
        <is>
          <t>A 25490-2021</t>
        </is>
      </c>
      <c r="B77" s="1" t="n">
        <v>44342</v>
      </c>
      <c r="C77" s="1" t="n">
        <v>45181</v>
      </c>
      <c r="D77" t="inlineStr">
        <is>
          <t>GÄVLEBORGS LÄN</t>
        </is>
      </c>
      <c r="E77" t="inlineStr">
        <is>
          <t>LJUSDAL</t>
        </is>
      </c>
      <c r="G77" t="n">
        <v>6.3</v>
      </c>
      <c r="H77" t="n">
        <v>1</v>
      </c>
      <c r="I77" t="n">
        <v>0</v>
      </c>
      <c r="J77" t="n">
        <v>1</v>
      </c>
      <c r="K77" t="n">
        <v>0</v>
      </c>
      <c r="L77" t="n">
        <v>0</v>
      </c>
      <c r="M77" t="n">
        <v>0</v>
      </c>
      <c r="N77" t="n">
        <v>0</v>
      </c>
      <c r="O77" t="n">
        <v>1</v>
      </c>
      <c r="P77" t="n">
        <v>0</v>
      </c>
      <c r="Q77" t="n">
        <v>1</v>
      </c>
      <c r="R77" s="2" t="inlineStr">
        <is>
          <t>Tretåig hackspett</t>
        </is>
      </c>
      <c r="S77">
        <f>HYPERLINK("https://klasma.github.io/Logging_LJUSDAL/artfynd/A 25490-2021.xlsx")</f>
        <v/>
      </c>
      <c r="T77">
        <f>HYPERLINK("https://klasma.github.io/Logging_LJUSDAL/kartor/A 25490-2021.png")</f>
        <v/>
      </c>
      <c r="U77">
        <f>HYPERLINK("https://klasma.github.io/Logging_LJUSDAL/knärot/A 25490-2021.png")</f>
        <v/>
      </c>
      <c r="V77">
        <f>HYPERLINK("https://klasma.github.io/Logging_LJUSDAL/klagomål/A 25490-2021.docx")</f>
        <v/>
      </c>
      <c r="W77">
        <f>HYPERLINK("https://klasma.github.io/Logging_LJUSDAL/klagomålsmail/A 25490-2021.docx")</f>
        <v/>
      </c>
      <c r="X77">
        <f>HYPERLINK("https://klasma.github.io/Logging_LJUSDAL/tillsyn/A 25490-2021.docx")</f>
        <v/>
      </c>
      <c r="Y77">
        <f>HYPERLINK("https://klasma.github.io/Logging_LJUSDAL/tillsynsmail/A 25490-2021.docx")</f>
        <v/>
      </c>
    </row>
    <row r="78" ht="15" customHeight="1">
      <c r="A78" t="inlineStr">
        <is>
          <t>A 34192-2021</t>
        </is>
      </c>
      <c r="B78" s="1" t="n">
        <v>44379</v>
      </c>
      <c r="C78" s="1" t="n">
        <v>45181</v>
      </c>
      <c r="D78" t="inlineStr">
        <is>
          <t>GÄVLEBORGS LÄN</t>
        </is>
      </c>
      <c r="E78" t="inlineStr">
        <is>
          <t>LJUSDAL</t>
        </is>
      </c>
      <c r="F78" t="inlineStr">
        <is>
          <t>Sveaskog</t>
        </is>
      </c>
      <c r="G78" t="n">
        <v>14.6</v>
      </c>
      <c r="H78" t="n">
        <v>1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Mattlummer</t>
        </is>
      </c>
      <c r="S78">
        <f>HYPERLINK("https://klasma.github.io/Logging_LJUSDAL/artfynd/A 34192-2021.xlsx")</f>
        <v/>
      </c>
      <c r="T78">
        <f>HYPERLINK("https://klasma.github.io/Logging_LJUSDAL/kartor/A 34192-2021.png")</f>
        <v/>
      </c>
      <c r="V78">
        <f>HYPERLINK("https://klasma.github.io/Logging_LJUSDAL/klagomål/A 34192-2021.docx")</f>
        <v/>
      </c>
      <c r="W78">
        <f>HYPERLINK("https://klasma.github.io/Logging_LJUSDAL/klagomålsmail/A 34192-2021.docx")</f>
        <v/>
      </c>
      <c r="X78">
        <f>HYPERLINK("https://klasma.github.io/Logging_LJUSDAL/tillsyn/A 34192-2021.docx")</f>
        <v/>
      </c>
      <c r="Y78">
        <f>HYPERLINK("https://klasma.github.io/Logging_LJUSDAL/tillsynsmail/A 34192-2021.docx")</f>
        <v/>
      </c>
    </row>
    <row r="79" ht="15" customHeight="1">
      <c r="A79" t="inlineStr">
        <is>
          <t>A 38115-2021</t>
        </is>
      </c>
      <c r="B79" s="1" t="n">
        <v>44405</v>
      </c>
      <c r="C79" s="1" t="n">
        <v>45181</v>
      </c>
      <c r="D79" t="inlineStr">
        <is>
          <t>GÄVLEBORGS LÄN</t>
        </is>
      </c>
      <c r="E79" t="inlineStr">
        <is>
          <t>LJUSDAL</t>
        </is>
      </c>
      <c r="F79" t="inlineStr">
        <is>
          <t>Sveaskog</t>
        </is>
      </c>
      <c r="G79" t="n">
        <v>2.7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HYPERLINK("https://klasma.github.io/Logging_LJUSDAL/artfynd/A 38115-2021.xlsx")</f>
        <v/>
      </c>
      <c r="T79">
        <f>HYPERLINK("https://klasma.github.io/Logging_LJUSDAL/kartor/A 38115-2021.png")</f>
        <v/>
      </c>
      <c r="U79">
        <f>HYPERLINK("https://klasma.github.io/Logging_LJUSDAL/knärot/A 38115-2021.png")</f>
        <v/>
      </c>
      <c r="V79">
        <f>HYPERLINK("https://klasma.github.io/Logging_LJUSDAL/klagomål/A 38115-2021.docx")</f>
        <v/>
      </c>
      <c r="W79">
        <f>HYPERLINK("https://klasma.github.io/Logging_LJUSDAL/klagomålsmail/A 38115-2021.docx")</f>
        <v/>
      </c>
      <c r="X79">
        <f>HYPERLINK("https://klasma.github.io/Logging_LJUSDAL/tillsyn/A 38115-2021.docx")</f>
        <v/>
      </c>
      <c r="Y79">
        <f>HYPERLINK("https://klasma.github.io/Logging_LJUSDAL/tillsynsmail/A 38115-2021.docx")</f>
        <v/>
      </c>
    </row>
    <row r="80" ht="15" customHeight="1">
      <c r="A80" t="inlineStr">
        <is>
          <t>A 38388-2021</t>
        </is>
      </c>
      <c r="B80" s="1" t="n">
        <v>44406</v>
      </c>
      <c r="C80" s="1" t="n">
        <v>45181</v>
      </c>
      <c r="D80" t="inlineStr">
        <is>
          <t>GÄVLEBORGS LÄN</t>
        </is>
      </c>
      <c r="E80" t="inlineStr">
        <is>
          <t>LJUSDAL</t>
        </is>
      </c>
      <c r="F80" t="inlineStr">
        <is>
          <t>Sveaskog</t>
        </is>
      </c>
      <c r="G80" t="n">
        <v>9.199999999999999</v>
      </c>
      <c r="H80" t="n">
        <v>1</v>
      </c>
      <c r="I80" t="n">
        <v>0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1</v>
      </c>
      <c r="R80" s="2" t="inlineStr">
        <is>
          <t>Mosippa</t>
        </is>
      </c>
      <c r="S80">
        <f>HYPERLINK("https://klasma.github.io/Logging_LJUSDAL/artfynd/A 38388-2021.xlsx")</f>
        <v/>
      </c>
      <c r="T80">
        <f>HYPERLINK("https://klasma.github.io/Logging_LJUSDAL/kartor/A 38388-2021.png")</f>
        <v/>
      </c>
      <c r="V80">
        <f>HYPERLINK("https://klasma.github.io/Logging_LJUSDAL/klagomål/A 38388-2021.docx")</f>
        <v/>
      </c>
      <c r="W80">
        <f>HYPERLINK("https://klasma.github.io/Logging_LJUSDAL/klagomålsmail/A 38388-2021.docx")</f>
        <v/>
      </c>
      <c r="X80">
        <f>HYPERLINK("https://klasma.github.io/Logging_LJUSDAL/tillsyn/A 38388-2021.docx")</f>
        <v/>
      </c>
      <c r="Y80">
        <f>HYPERLINK("https://klasma.github.io/Logging_LJUSDAL/tillsynsmail/A 38388-2021.docx")</f>
        <v/>
      </c>
    </row>
    <row r="81" ht="15" customHeight="1">
      <c r="A81" t="inlineStr">
        <is>
          <t>A 43383-2021</t>
        </is>
      </c>
      <c r="B81" s="1" t="n">
        <v>44432</v>
      </c>
      <c r="C81" s="1" t="n">
        <v>45181</v>
      </c>
      <c r="D81" t="inlineStr">
        <is>
          <t>GÄVLEBORGS LÄN</t>
        </is>
      </c>
      <c r="E81" t="inlineStr">
        <is>
          <t>LJUSDAL</t>
        </is>
      </c>
      <c r="F81" t="inlineStr">
        <is>
          <t>Sveaskog</t>
        </is>
      </c>
      <c r="G81" t="n">
        <v>5.9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Violettgrå tagellav</t>
        </is>
      </c>
      <c r="S81">
        <f>HYPERLINK("https://klasma.github.io/Logging_LJUSDAL/artfynd/A 43383-2021.xlsx")</f>
        <v/>
      </c>
      <c r="T81">
        <f>HYPERLINK("https://klasma.github.io/Logging_LJUSDAL/kartor/A 43383-2021.png")</f>
        <v/>
      </c>
      <c r="V81">
        <f>HYPERLINK("https://klasma.github.io/Logging_LJUSDAL/klagomål/A 43383-2021.docx")</f>
        <v/>
      </c>
      <c r="W81">
        <f>HYPERLINK("https://klasma.github.io/Logging_LJUSDAL/klagomålsmail/A 43383-2021.docx")</f>
        <v/>
      </c>
      <c r="X81">
        <f>HYPERLINK("https://klasma.github.io/Logging_LJUSDAL/tillsyn/A 43383-2021.docx")</f>
        <v/>
      </c>
      <c r="Y81">
        <f>HYPERLINK("https://klasma.github.io/Logging_LJUSDAL/tillsynsmail/A 43383-2021.docx")</f>
        <v/>
      </c>
    </row>
    <row r="82" ht="15" customHeight="1">
      <c r="A82" t="inlineStr">
        <is>
          <t>A 44694-2021</t>
        </is>
      </c>
      <c r="B82" s="1" t="n">
        <v>44438</v>
      </c>
      <c r="C82" s="1" t="n">
        <v>45181</v>
      </c>
      <c r="D82" t="inlineStr">
        <is>
          <t>GÄVLEBORGS LÄN</t>
        </is>
      </c>
      <c r="E82" t="inlineStr">
        <is>
          <t>LJUSDAL</t>
        </is>
      </c>
      <c r="F82" t="inlineStr">
        <is>
          <t>Sveaskog</t>
        </is>
      </c>
      <c r="G82" t="n">
        <v>3.2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Granticka</t>
        </is>
      </c>
      <c r="S82">
        <f>HYPERLINK("https://klasma.github.io/Logging_LJUSDAL/artfynd/A 44694-2021.xlsx")</f>
        <v/>
      </c>
      <c r="T82">
        <f>HYPERLINK("https://klasma.github.io/Logging_LJUSDAL/kartor/A 44694-2021.png")</f>
        <v/>
      </c>
      <c r="V82">
        <f>HYPERLINK("https://klasma.github.io/Logging_LJUSDAL/klagomål/A 44694-2021.docx")</f>
        <v/>
      </c>
      <c r="W82">
        <f>HYPERLINK("https://klasma.github.io/Logging_LJUSDAL/klagomålsmail/A 44694-2021.docx")</f>
        <v/>
      </c>
      <c r="X82">
        <f>HYPERLINK("https://klasma.github.io/Logging_LJUSDAL/tillsyn/A 44694-2021.docx")</f>
        <v/>
      </c>
      <c r="Y82">
        <f>HYPERLINK("https://klasma.github.io/Logging_LJUSDAL/tillsynsmail/A 44694-2021.docx")</f>
        <v/>
      </c>
    </row>
    <row r="83" ht="15" customHeight="1">
      <c r="A83" t="inlineStr">
        <is>
          <t>A 48180-2021</t>
        </is>
      </c>
      <c r="B83" s="1" t="n">
        <v>44449</v>
      </c>
      <c r="C83" s="1" t="n">
        <v>45181</v>
      </c>
      <c r="D83" t="inlineStr">
        <is>
          <t>GÄVLEBORGS LÄN</t>
        </is>
      </c>
      <c r="E83" t="inlineStr">
        <is>
          <t>LJUSDAL</t>
        </is>
      </c>
      <c r="F83" t="inlineStr">
        <is>
          <t>Sveaskog</t>
        </is>
      </c>
      <c r="G83" t="n">
        <v>1.4</v>
      </c>
      <c r="H83" t="n">
        <v>0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1</v>
      </c>
      <c r="R83" s="2" t="inlineStr">
        <is>
          <t>Garnlav</t>
        </is>
      </c>
      <c r="S83">
        <f>HYPERLINK("https://klasma.github.io/Logging_LJUSDAL/artfynd/A 48180-2021.xlsx")</f>
        <v/>
      </c>
      <c r="T83">
        <f>HYPERLINK("https://klasma.github.io/Logging_LJUSDAL/kartor/A 48180-2021.png")</f>
        <v/>
      </c>
      <c r="V83">
        <f>HYPERLINK("https://klasma.github.io/Logging_LJUSDAL/klagomål/A 48180-2021.docx")</f>
        <v/>
      </c>
      <c r="W83">
        <f>HYPERLINK("https://klasma.github.io/Logging_LJUSDAL/klagomålsmail/A 48180-2021.docx")</f>
        <v/>
      </c>
      <c r="X83">
        <f>HYPERLINK("https://klasma.github.io/Logging_LJUSDAL/tillsyn/A 48180-2021.docx")</f>
        <v/>
      </c>
      <c r="Y83">
        <f>HYPERLINK("https://klasma.github.io/Logging_LJUSDAL/tillsynsmail/A 48180-2021.docx")</f>
        <v/>
      </c>
    </row>
    <row r="84" ht="15" customHeight="1">
      <c r="A84" t="inlineStr">
        <is>
          <t>A 56589-2021</t>
        </is>
      </c>
      <c r="B84" s="1" t="n">
        <v>44480</v>
      </c>
      <c r="C84" s="1" t="n">
        <v>45181</v>
      </c>
      <c r="D84" t="inlineStr">
        <is>
          <t>GÄVLEBORGS LÄN</t>
        </is>
      </c>
      <c r="E84" t="inlineStr">
        <is>
          <t>LJUSDAL</t>
        </is>
      </c>
      <c r="G84" t="n">
        <v>11.4</v>
      </c>
      <c r="H84" t="n">
        <v>1</v>
      </c>
      <c r="I84" t="n">
        <v>0</v>
      </c>
      <c r="J84" t="n">
        <v>0</v>
      </c>
      <c r="K84" t="n">
        <v>1</v>
      </c>
      <c r="L84" t="n">
        <v>0</v>
      </c>
      <c r="M84" t="n">
        <v>0</v>
      </c>
      <c r="N84" t="n">
        <v>0</v>
      </c>
      <c r="O84" t="n">
        <v>1</v>
      </c>
      <c r="P84" t="n">
        <v>1</v>
      </c>
      <c r="Q84" t="n">
        <v>1</v>
      </c>
      <c r="R84" s="2" t="inlineStr">
        <is>
          <t>Tallbit</t>
        </is>
      </c>
      <c r="S84">
        <f>HYPERLINK("https://klasma.github.io/Logging_LJUSDAL/artfynd/A 56589-2021.xlsx")</f>
        <v/>
      </c>
      <c r="T84">
        <f>HYPERLINK("https://klasma.github.io/Logging_LJUSDAL/kartor/A 56589-2021.png")</f>
        <v/>
      </c>
      <c r="V84">
        <f>HYPERLINK("https://klasma.github.io/Logging_LJUSDAL/klagomål/A 56589-2021.docx")</f>
        <v/>
      </c>
      <c r="W84">
        <f>HYPERLINK("https://klasma.github.io/Logging_LJUSDAL/klagomålsmail/A 56589-2021.docx")</f>
        <v/>
      </c>
      <c r="X84">
        <f>HYPERLINK("https://klasma.github.io/Logging_LJUSDAL/tillsyn/A 56589-2021.docx")</f>
        <v/>
      </c>
      <c r="Y84">
        <f>HYPERLINK("https://klasma.github.io/Logging_LJUSDAL/tillsynsmail/A 56589-2021.docx")</f>
        <v/>
      </c>
    </row>
    <row r="85" ht="15" customHeight="1">
      <c r="A85" t="inlineStr">
        <is>
          <t>A 58900-2021</t>
        </is>
      </c>
      <c r="B85" s="1" t="n">
        <v>44489</v>
      </c>
      <c r="C85" s="1" t="n">
        <v>45181</v>
      </c>
      <c r="D85" t="inlineStr">
        <is>
          <t>GÄVLEBORGS LÄN</t>
        </is>
      </c>
      <c r="E85" t="inlineStr">
        <is>
          <t>LJUSDAL</t>
        </is>
      </c>
      <c r="F85" t="inlineStr">
        <is>
          <t>Sveaskog</t>
        </is>
      </c>
      <c r="G85" t="n">
        <v>5.2</v>
      </c>
      <c r="H85" t="n">
        <v>0</v>
      </c>
      <c r="I85" t="n">
        <v>1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1</v>
      </c>
      <c r="R85" s="2" t="inlineStr">
        <is>
          <t>Skuggblåslav</t>
        </is>
      </c>
      <c r="S85">
        <f>HYPERLINK("https://klasma.github.io/Logging_LJUSDAL/artfynd/A 58900-2021.xlsx")</f>
        <v/>
      </c>
      <c r="T85">
        <f>HYPERLINK("https://klasma.github.io/Logging_LJUSDAL/kartor/A 58900-2021.png")</f>
        <v/>
      </c>
      <c r="V85">
        <f>HYPERLINK("https://klasma.github.io/Logging_LJUSDAL/klagomål/A 58900-2021.docx")</f>
        <v/>
      </c>
      <c r="W85">
        <f>HYPERLINK("https://klasma.github.io/Logging_LJUSDAL/klagomålsmail/A 58900-2021.docx")</f>
        <v/>
      </c>
      <c r="X85">
        <f>HYPERLINK("https://klasma.github.io/Logging_LJUSDAL/tillsyn/A 58900-2021.docx")</f>
        <v/>
      </c>
      <c r="Y85">
        <f>HYPERLINK("https://klasma.github.io/Logging_LJUSDAL/tillsynsmail/A 58900-2021.docx")</f>
        <v/>
      </c>
    </row>
    <row r="86" ht="15" customHeight="1">
      <c r="A86" t="inlineStr">
        <is>
          <t>A 59607-2021</t>
        </is>
      </c>
      <c r="B86" s="1" t="n">
        <v>44491</v>
      </c>
      <c r="C86" s="1" t="n">
        <v>45181</v>
      </c>
      <c r="D86" t="inlineStr">
        <is>
          <t>GÄVLEBORGS LÄN</t>
        </is>
      </c>
      <c r="E86" t="inlineStr">
        <is>
          <t>LJUSDAL</t>
        </is>
      </c>
      <c r="F86" t="inlineStr">
        <is>
          <t>Sveaskog</t>
        </is>
      </c>
      <c r="G86" t="n">
        <v>1.7</v>
      </c>
      <c r="H86" t="n">
        <v>1</v>
      </c>
      <c r="I86" t="n">
        <v>0</v>
      </c>
      <c r="J86" t="n">
        <v>0</v>
      </c>
      <c r="K86" t="n">
        <v>1</v>
      </c>
      <c r="L86" t="n">
        <v>0</v>
      </c>
      <c r="M86" t="n">
        <v>0</v>
      </c>
      <c r="N86" t="n">
        <v>0</v>
      </c>
      <c r="O86" t="n">
        <v>1</v>
      </c>
      <c r="P86" t="n">
        <v>1</v>
      </c>
      <c r="Q86" t="n">
        <v>1</v>
      </c>
      <c r="R86" s="2" t="inlineStr">
        <is>
          <t>Knärot</t>
        </is>
      </c>
      <c r="S86">
        <f>HYPERLINK("https://klasma.github.io/Logging_LJUSDAL/artfynd/A 59607-2021.xlsx")</f>
        <v/>
      </c>
      <c r="T86">
        <f>HYPERLINK("https://klasma.github.io/Logging_LJUSDAL/kartor/A 59607-2021.png")</f>
        <v/>
      </c>
      <c r="U86">
        <f>HYPERLINK("https://klasma.github.io/Logging_LJUSDAL/knärot/A 59607-2021.png")</f>
        <v/>
      </c>
      <c r="V86">
        <f>HYPERLINK("https://klasma.github.io/Logging_LJUSDAL/klagomål/A 59607-2021.docx")</f>
        <v/>
      </c>
      <c r="W86">
        <f>HYPERLINK("https://klasma.github.io/Logging_LJUSDAL/klagomålsmail/A 59607-2021.docx")</f>
        <v/>
      </c>
      <c r="X86">
        <f>HYPERLINK("https://klasma.github.io/Logging_LJUSDAL/tillsyn/A 59607-2021.docx")</f>
        <v/>
      </c>
      <c r="Y86">
        <f>HYPERLINK("https://klasma.github.io/Logging_LJUSDAL/tillsynsmail/A 59607-2021.docx")</f>
        <v/>
      </c>
    </row>
    <row r="87" ht="15" customHeight="1">
      <c r="A87" t="inlineStr">
        <is>
          <t>A 15470-2022</t>
        </is>
      </c>
      <c r="B87" s="1" t="n">
        <v>44662</v>
      </c>
      <c r="C87" s="1" t="n">
        <v>45181</v>
      </c>
      <c r="D87" t="inlineStr">
        <is>
          <t>GÄVLEBORGS LÄN</t>
        </is>
      </c>
      <c r="E87" t="inlineStr">
        <is>
          <t>LJUSDAL</t>
        </is>
      </c>
      <c r="F87" t="inlineStr">
        <is>
          <t>Kyrkan</t>
        </is>
      </c>
      <c r="G87" t="n">
        <v>35</v>
      </c>
      <c r="H87" t="n">
        <v>1</v>
      </c>
      <c r="I87" t="n">
        <v>0</v>
      </c>
      <c r="J87" t="n">
        <v>0</v>
      </c>
      <c r="K87" t="n">
        <v>1</v>
      </c>
      <c r="L87" t="n">
        <v>0</v>
      </c>
      <c r="M87" t="n">
        <v>0</v>
      </c>
      <c r="N87" t="n">
        <v>0</v>
      </c>
      <c r="O87" t="n">
        <v>1</v>
      </c>
      <c r="P87" t="n">
        <v>1</v>
      </c>
      <c r="Q87" t="n">
        <v>1</v>
      </c>
      <c r="R87" s="2" t="inlineStr">
        <is>
          <t>Knärot</t>
        </is>
      </c>
      <c r="S87">
        <f>HYPERLINK("https://klasma.github.io/Logging_LJUSDAL/artfynd/A 15470-2022.xlsx")</f>
        <v/>
      </c>
      <c r="T87">
        <f>HYPERLINK("https://klasma.github.io/Logging_LJUSDAL/kartor/A 15470-2022.png")</f>
        <v/>
      </c>
      <c r="U87">
        <f>HYPERLINK("https://klasma.github.io/Logging_LJUSDAL/knärot/A 15470-2022.png")</f>
        <v/>
      </c>
      <c r="V87">
        <f>HYPERLINK("https://klasma.github.io/Logging_LJUSDAL/klagomål/A 15470-2022.docx")</f>
        <v/>
      </c>
      <c r="W87">
        <f>HYPERLINK("https://klasma.github.io/Logging_LJUSDAL/klagomålsmail/A 15470-2022.docx")</f>
        <v/>
      </c>
      <c r="X87">
        <f>HYPERLINK("https://klasma.github.io/Logging_LJUSDAL/tillsyn/A 15470-2022.docx")</f>
        <v/>
      </c>
      <c r="Y87">
        <f>HYPERLINK("https://klasma.github.io/Logging_LJUSDAL/tillsynsmail/A 15470-2022.docx")</f>
        <v/>
      </c>
    </row>
    <row r="88" ht="15" customHeight="1">
      <c r="A88" t="inlineStr">
        <is>
          <t>A 18058-2022</t>
        </is>
      </c>
      <c r="B88" s="1" t="n">
        <v>44684</v>
      </c>
      <c r="C88" s="1" t="n">
        <v>45181</v>
      </c>
      <c r="D88" t="inlineStr">
        <is>
          <t>GÄVLEBORGS LÄN</t>
        </is>
      </c>
      <c r="E88" t="inlineStr">
        <is>
          <t>LJUSDAL</t>
        </is>
      </c>
      <c r="F88" t="inlineStr">
        <is>
          <t>Sveaskog</t>
        </is>
      </c>
      <c r="G88" t="n">
        <v>8.5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HYPERLINK("https://klasma.github.io/Logging_LJUSDAL/artfynd/A 18058-2022.xlsx")</f>
        <v/>
      </c>
      <c r="T88">
        <f>HYPERLINK("https://klasma.github.io/Logging_LJUSDAL/kartor/A 18058-2022.png")</f>
        <v/>
      </c>
      <c r="V88">
        <f>HYPERLINK("https://klasma.github.io/Logging_LJUSDAL/klagomål/A 18058-2022.docx")</f>
        <v/>
      </c>
      <c r="W88">
        <f>HYPERLINK("https://klasma.github.io/Logging_LJUSDAL/klagomålsmail/A 18058-2022.docx")</f>
        <v/>
      </c>
      <c r="X88">
        <f>HYPERLINK("https://klasma.github.io/Logging_LJUSDAL/tillsyn/A 18058-2022.docx")</f>
        <v/>
      </c>
      <c r="Y88">
        <f>HYPERLINK("https://klasma.github.io/Logging_LJUSDAL/tillsynsmail/A 18058-2022.docx")</f>
        <v/>
      </c>
    </row>
    <row r="89" ht="15" customHeight="1">
      <c r="A89" t="inlineStr">
        <is>
          <t>A 27508-2022</t>
        </is>
      </c>
      <c r="B89" s="1" t="n">
        <v>44742</v>
      </c>
      <c r="C89" s="1" t="n">
        <v>45181</v>
      </c>
      <c r="D89" t="inlineStr">
        <is>
          <t>GÄVLEBORGS LÄN</t>
        </is>
      </c>
      <c r="E89" t="inlineStr">
        <is>
          <t>LJUSDAL</t>
        </is>
      </c>
      <c r="F89" t="inlineStr">
        <is>
          <t>Kommuner</t>
        </is>
      </c>
      <c r="G89" t="n">
        <v>1.8</v>
      </c>
      <c r="H89" t="n">
        <v>0</v>
      </c>
      <c r="I89" t="n">
        <v>0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1</v>
      </c>
      <c r="R89" s="2" t="inlineStr">
        <is>
          <t>Violettgrå tagellav</t>
        </is>
      </c>
      <c r="S89">
        <f>HYPERLINK("https://klasma.github.io/Logging_LJUSDAL/artfynd/A 27508-2022.xlsx")</f>
        <v/>
      </c>
      <c r="T89">
        <f>HYPERLINK("https://klasma.github.io/Logging_LJUSDAL/kartor/A 27508-2022.png")</f>
        <v/>
      </c>
      <c r="V89">
        <f>HYPERLINK("https://klasma.github.io/Logging_LJUSDAL/klagomål/A 27508-2022.docx")</f>
        <v/>
      </c>
      <c r="W89">
        <f>HYPERLINK("https://klasma.github.io/Logging_LJUSDAL/klagomålsmail/A 27508-2022.docx")</f>
        <v/>
      </c>
      <c r="X89">
        <f>HYPERLINK("https://klasma.github.io/Logging_LJUSDAL/tillsyn/A 27508-2022.docx")</f>
        <v/>
      </c>
      <c r="Y89">
        <f>HYPERLINK("https://klasma.github.io/Logging_LJUSDAL/tillsynsmail/A 27508-2022.docx")</f>
        <v/>
      </c>
    </row>
    <row r="90" ht="15" customHeight="1">
      <c r="A90" t="inlineStr">
        <is>
          <t>A 27896-2022</t>
        </is>
      </c>
      <c r="B90" s="1" t="n">
        <v>44743</v>
      </c>
      <c r="C90" s="1" t="n">
        <v>45181</v>
      </c>
      <c r="D90" t="inlineStr">
        <is>
          <t>GÄVLEBORGS LÄN</t>
        </is>
      </c>
      <c r="E90" t="inlineStr">
        <is>
          <t>LJUSDAL</t>
        </is>
      </c>
      <c r="F90" t="inlineStr">
        <is>
          <t>Bergvik skog väst AB</t>
        </is>
      </c>
      <c r="G90" t="n">
        <v>5.4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Stiftgelélav</t>
        </is>
      </c>
      <c r="S90">
        <f>HYPERLINK("https://klasma.github.io/Logging_LJUSDAL/artfynd/A 27896-2022.xlsx")</f>
        <v/>
      </c>
      <c r="T90">
        <f>HYPERLINK("https://klasma.github.io/Logging_LJUSDAL/kartor/A 27896-2022.png")</f>
        <v/>
      </c>
      <c r="V90">
        <f>HYPERLINK("https://klasma.github.io/Logging_LJUSDAL/klagomål/A 27896-2022.docx")</f>
        <v/>
      </c>
      <c r="W90">
        <f>HYPERLINK("https://klasma.github.io/Logging_LJUSDAL/klagomålsmail/A 27896-2022.docx")</f>
        <v/>
      </c>
      <c r="X90">
        <f>HYPERLINK("https://klasma.github.io/Logging_LJUSDAL/tillsyn/A 27896-2022.docx")</f>
        <v/>
      </c>
      <c r="Y90">
        <f>HYPERLINK("https://klasma.github.io/Logging_LJUSDAL/tillsynsmail/A 27896-2022.docx")</f>
        <v/>
      </c>
    </row>
    <row r="91" ht="15" customHeight="1">
      <c r="A91" t="inlineStr">
        <is>
          <t>A 30644-2022</t>
        </is>
      </c>
      <c r="B91" s="1" t="n">
        <v>44763</v>
      </c>
      <c r="C91" s="1" t="n">
        <v>45181</v>
      </c>
      <c r="D91" t="inlineStr">
        <is>
          <t>GÄVLEBORGS LÄN</t>
        </is>
      </c>
      <c r="E91" t="inlineStr">
        <is>
          <t>LJUSDAL</t>
        </is>
      </c>
      <c r="F91" t="inlineStr">
        <is>
          <t>Sveaskog</t>
        </is>
      </c>
      <c r="G91" t="n">
        <v>8.6</v>
      </c>
      <c r="H91" t="n">
        <v>0</v>
      </c>
      <c r="I91" t="n">
        <v>0</v>
      </c>
      <c r="J91" t="n">
        <v>1</v>
      </c>
      <c r="K91" t="n">
        <v>0</v>
      </c>
      <c r="L91" t="n">
        <v>0</v>
      </c>
      <c r="M91" t="n">
        <v>0</v>
      </c>
      <c r="N91" t="n">
        <v>0</v>
      </c>
      <c r="O91" t="n">
        <v>1</v>
      </c>
      <c r="P91" t="n">
        <v>0</v>
      </c>
      <c r="Q91" t="n">
        <v>1</v>
      </c>
      <c r="R91" s="2" t="inlineStr">
        <is>
          <t>Backstarr</t>
        </is>
      </c>
      <c r="S91">
        <f>HYPERLINK("https://klasma.github.io/Logging_LJUSDAL/artfynd/A 30644-2022.xlsx")</f>
        <v/>
      </c>
      <c r="T91">
        <f>HYPERLINK("https://klasma.github.io/Logging_LJUSDAL/kartor/A 30644-2022.png")</f>
        <v/>
      </c>
      <c r="V91">
        <f>HYPERLINK("https://klasma.github.io/Logging_LJUSDAL/klagomål/A 30644-2022.docx")</f>
        <v/>
      </c>
      <c r="W91">
        <f>HYPERLINK("https://klasma.github.io/Logging_LJUSDAL/klagomålsmail/A 30644-2022.docx")</f>
        <v/>
      </c>
      <c r="X91">
        <f>HYPERLINK("https://klasma.github.io/Logging_LJUSDAL/tillsyn/A 30644-2022.docx")</f>
        <v/>
      </c>
      <c r="Y91">
        <f>HYPERLINK("https://klasma.github.io/Logging_LJUSDAL/tillsynsmail/A 30644-2022.docx")</f>
        <v/>
      </c>
    </row>
    <row r="92" ht="15" customHeight="1">
      <c r="A92" t="inlineStr">
        <is>
          <t>A 32036-2022</t>
        </is>
      </c>
      <c r="B92" s="1" t="n">
        <v>44778</v>
      </c>
      <c r="C92" s="1" t="n">
        <v>45181</v>
      </c>
      <c r="D92" t="inlineStr">
        <is>
          <t>GÄVLEBORGS LÄN</t>
        </is>
      </c>
      <c r="E92" t="inlineStr">
        <is>
          <t>LJUSDAL</t>
        </is>
      </c>
      <c r="F92" t="inlineStr">
        <is>
          <t>Sveaskog</t>
        </is>
      </c>
      <c r="G92" t="n">
        <v>2.9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Kolflarnlav</t>
        </is>
      </c>
      <c r="S92">
        <f>HYPERLINK("https://klasma.github.io/Logging_LJUSDAL/artfynd/A 32036-2022.xlsx")</f>
        <v/>
      </c>
      <c r="T92">
        <f>HYPERLINK("https://klasma.github.io/Logging_LJUSDAL/kartor/A 32036-2022.png")</f>
        <v/>
      </c>
      <c r="V92">
        <f>HYPERLINK("https://klasma.github.io/Logging_LJUSDAL/klagomål/A 32036-2022.docx")</f>
        <v/>
      </c>
      <c r="W92">
        <f>HYPERLINK("https://klasma.github.io/Logging_LJUSDAL/klagomålsmail/A 32036-2022.docx")</f>
        <v/>
      </c>
      <c r="X92">
        <f>HYPERLINK("https://klasma.github.io/Logging_LJUSDAL/tillsyn/A 32036-2022.docx")</f>
        <v/>
      </c>
      <c r="Y92">
        <f>HYPERLINK("https://klasma.github.io/Logging_LJUSDAL/tillsynsmail/A 32036-2022.docx")</f>
        <v/>
      </c>
    </row>
    <row r="93" ht="15" customHeight="1">
      <c r="A93" t="inlineStr">
        <is>
          <t>A 32783-2022</t>
        </is>
      </c>
      <c r="B93" s="1" t="n">
        <v>44784</v>
      </c>
      <c r="C93" s="1" t="n">
        <v>45181</v>
      </c>
      <c r="D93" t="inlineStr">
        <is>
          <t>GÄVLEBORGS LÄN</t>
        </is>
      </c>
      <c r="E93" t="inlineStr">
        <is>
          <t>LJUSDAL</t>
        </is>
      </c>
      <c r="F93" t="inlineStr">
        <is>
          <t>Sveaskog</t>
        </is>
      </c>
      <c r="G93" t="n">
        <v>12.7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Skarp dropptaggsvamp</t>
        </is>
      </c>
      <c r="S93">
        <f>HYPERLINK("https://klasma.github.io/Logging_LJUSDAL/artfynd/A 32783-2022.xlsx")</f>
        <v/>
      </c>
      <c r="T93">
        <f>HYPERLINK("https://klasma.github.io/Logging_LJUSDAL/kartor/A 32783-2022.png")</f>
        <v/>
      </c>
      <c r="V93">
        <f>HYPERLINK("https://klasma.github.io/Logging_LJUSDAL/klagomål/A 32783-2022.docx")</f>
        <v/>
      </c>
      <c r="W93">
        <f>HYPERLINK("https://klasma.github.io/Logging_LJUSDAL/klagomålsmail/A 32783-2022.docx")</f>
        <v/>
      </c>
      <c r="X93">
        <f>HYPERLINK("https://klasma.github.io/Logging_LJUSDAL/tillsyn/A 32783-2022.docx")</f>
        <v/>
      </c>
      <c r="Y93">
        <f>HYPERLINK("https://klasma.github.io/Logging_LJUSDAL/tillsynsmail/A 32783-2022.docx")</f>
        <v/>
      </c>
    </row>
    <row r="94" ht="15" customHeight="1">
      <c r="A94" t="inlineStr">
        <is>
          <t>A 42937-2022</t>
        </is>
      </c>
      <c r="B94" s="1" t="n">
        <v>44833</v>
      </c>
      <c r="C94" s="1" t="n">
        <v>45181</v>
      </c>
      <c r="D94" t="inlineStr">
        <is>
          <t>GÄVLEBORGS LÄN</t>
        </is>
      </c>
      <c r="E94" t="inlineStr">
        <is>
          <t>LJUSDAL</t>
        </is>
      </c>
      <c r="G94" t="n">
        <v>0.7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Lunglav</t>
        </is>
      </c>
      <c r="S94">
        <f>HYPERLINK("https://klasma.github.io/Logging_LJUSDAL/artfynd/A 42937-2022.xlsx")</f>
        <v/>
      </c>
      <c r="T94">
        <f>HYPERLINK("https://klasma.github.io/Logging_LJUSDAL/kartor/A 42937-2022.png")</f>
        <v/>
      </c>
      <c r="V94">
        <f>HYPERLINK("https://klasma.github.io/Logging_LJUSDAL/klagomål/A 42937-2022.docx")</f>
        <v/>
      </c>
      <c r="W94">
        <f>HYPERLINK("https://klasma.github.io/Logging_LJUSDAL/klagomålsmail/A 42937-2022.docx")</f>
        <v/>
      </c>
      <c r="X94">
        <f>HYPERLINK("https://klasma.github.io/Logging_LJUSDAL/tillsyn/A 42937-2022.docx")</f>
        <v/>
      </c>
      <c r="Y94">
        <f>HYPERLINK("https://klasma.github.io/Logging_LJUSDAL/tillsynsmail/A 42937-2022.docx")</f>
        <v/>
      </c>
    </row>
    <row r="95" ht="15" customHeight="1">
      <c r="A95" t="inlineStr">
        <is>
          <t>A 44116-2022</t>
        </is>
      </c>
      <c r="B95" s="1" t="n">
        <v>44839</v>
      </c>
      <c r="C95" s="1" t="n">
        <v>45181</v>
      </c>
      <c r="D95" t="inlineStr">
        <is>
          <t>GÄVLEBORGS LÄN</t>
        </is>
      </c>
      <c r="E95" t="inlineStr">
        <is>
          <t>LJUSDAL</t>
        </is>
      </c>
      <c r="F95" t="inlineStr">
        <is>
          <t>Sveaskog</t>
        </is>
      </c>
      <c r="G95" t="n">
        <v>9.199999999999999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Kolflarnlav</t>
        </is>
      </c>
      <c r="S95">
        <f>HYPERLINK("https://klasma.github.io/Logging_LJUSDAL/artfynd/A 44116-2022.xlsx")</f>
        <v/>
      </c>
      <c r="T95">
        <f>HYPERLINK("https://klasma.github.io/Logging_LJUSDAL/kartor/A 44116-2022.png")</f>
        <v/>
      </c>
      <c r="V95">
        <f>HYPERLINK("https://klasma.github.io/Logging_LJUSDAL/klagomål/A 44116-2022.docx")</f>
        <v/>
      </c>
      <c r="W95">
        <f>HYPERLINK("https://klasma.github.io/Logging_LJUSDAL/klagomålsmail/A 44116-2022.docx")</f>
        <v/>
      </c>
      <c r="X95">
        <f>HYPERLINK("https://klasma.github.io/Logging_LJUSDAL/tillsyn/A 44116-2022.docx")</f>
        <v/>
      </c>
      <c r="Y95">
        <f>HYPERLINK("https://klasma.github.io/Logging_LJUSDAL/tillsynsmail/A 44116-2022.docx")</f>
        <v/>
      </c>
    </row>
    <row r="96" ht="15" customHeight="1">
      <c r="A96" t="inlineStr">
        <is>
          <t>A 10646-2023</t>
        </is>
      </c>
      <c r="B96" s="1" t="n">
        <v>44988</v>
      </c>
      <c r="C96" s="1" t="n">
        <v>45181</v>
      </c>
      <c r="D96" t="inlineStr">
        <is>
          <t>GÄVLEBORGS LÄN</t>
        </is>
      </c>
      <c r="E96" t="inlineStr">
        <is>
          <t>LJUSDAL</t>
        </is>
      </c>
      <c r="G96" t="n">
        <v>3.5</v>
      </c>
      <c r="H96" t="n">
        <v>0</v>
      </c>
      <c r="I96" t="n">
        <v>0</v>
      </c>
      <c r="J96" t="n">
        <v>1</v>
      </c>
      <c r="K96" t="n">
        <v>0</v>
      </c>
      <c r="L96" t="n">
        <v>0</v>
      </c>
      <c r="M96" t="n">
        <v>0</v>
      </c>
      <c r="N96" t="n">
        <v>0</v>
      </c>
      <c r="O96" t="n">
        <v>1</v>
      </c>
      <c r="P96" t="n">
        <v>0</v>
      </c>
      <c r="Q96" t="n">
        <v>1</v>
      </c>
      <c r="R96" s="2" t="inlineStr">
        <is>
          <t>Garnlav</t>
        </is>
      </c>
      <c r="S96">
        <f>HYPERLINK("https://klasma.github.io/Logging_LJUSDAL/artfynd/A 10646-2023.xlsx")</f>
        <v/>
      </c>
      <c r="T96">
        <f>HYPERLINK("https://klasma.github.io/Logging_LJUSDAL/kartor/A 10646-2023.png")</f>
        <v/>
      </c>
      <c r="V96">
        <f>HYPERLINK("https://klasma.github.io/Logging_LJUSDAL/klagomål/A 10646-2023.docx")</f>
        <v/>
      </c>
      <c r="W96">
        <f>HYPERLINK("https://klasma.github.io/Logging_LJUSDAL/klagomålsmail/A 10646-2023.docx")</f>
        <v/>
      </c>
      <c r="X96">
        <f>HYPERLINK("https://klasma.github.io/Logging_LJUSDAL/tillsyn/A 10646-2023.docx")</f>
        <v/>
      </c>
      <c r="Y96">
        <f>HYPERLINK("https://klasma.github.io/Logging_LJUSDAL/tillsynsmail/A 10646-2023.docx")</f>
        <v/>
      </c>
    </row>
    <row r="97" ht="15" customHeight="1">
      <c r="A97" t="inlineStr">
        <is>
          <t>A 25114-2023</t>
        </is>
      </c>
      <c r="B97" s="1" t="n">
        <v>45086</v>
      </c>
      <c r="C97" s="1" t="n">
        <v>45181</v>
      </c>
      <c r="D97" t="inlineStr">
        <is>
          <t>GÄVLEBORGS LÄN</t>
        </is>
      </c>
      <c r="E97" t="inlineStr">
        <is>
          <t>LJUSDAL</t>
        </is>
      </c>
      <c r="G97" t="n">
        <v>0.9</v>
      </c>
      <c r="H97" t="n">
        <v>0</v>
      </c>
      <c r="I97" t="n">
        <v>1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Vedticka</t>
        </is>
      </c>
      <c r="S97">
        <f>HYPERLINK("https://klasma.github.io/Logging_LJUSDAL/artfynd/A 25114-2023.xlsx")</f>
        <v/>
      </c>
      <c r="T97">
        <f>HYPERLINK("https://klasma.github.io/Logging_LJUSDAL/kartor/A 25114-2023.png")</f>
        <v/>
      </c>
      <c r="U97">
        <f>HYPERLINK("https://klasma.github.io/Logging_LJUSDAL/knärot/A 25114-2023.png")</f>
        <v/>
      </c>
      <c r="V97">
        <f>HYPERLINK("https://klasma.github.io/Logging_LJUSDAL/klagomål/A 25114-2023.docx")</f>
        <v/>
      </c>
      <c r="W97">
        <f>HYPERLINK("https://klasma.github.io/Logging_LJUSDAL/klagomålsmail/A 25114-2023.docx")</f>
        <v/>
      </c>
      <c r="X97">
        <f>HYPERLINK("https://klasma.github.io/Logging_LJUSDAL/tillsyn/A 25114-2023.docx")</f>
        <v/>
      </c>
      <c r="Y97">
        <f>HYPERLINK("https://klasma.github.io/Logging_LJUSDAL/tillsynsmail/A 25114-2023.docx")</f>
        <v/>
      </c>
    </row>
    <row r="98" ht="15" customHeight="1">
      <c r="A98" t="inlineStr">
        <is>
          <t>A 26003-2023</t>
        </is>
      </c>
      <c r="B98" s="1" t="n">
        <v>45090</v>
      </c>
      <c r="C98" s="1" t="n">
        <v>45181</v>
      </c>
      <c r="D98" t="inlineStr">
        <is>
          <t>GÄVLEBORGS LÄN</t>
        </is>
      </c>
      <c r="E98" t="inlineStr">
        <is>
          <t>LJUSDAL</t>
        </is>
      </c>
      <c r="F98" t="inlineStr">
        <is>
          <t>SCA</t>
        </is>
      </c>
      <c r="G98" t="n">
        <v>19.8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HYPERLINK("https://klasma.github.io/Logging_LJUSDAL/artfynd/A 26003-2023.xlsx")</f>
        <v/>
      </c>
      <c r="T98">
        <f>HYPERLINK("https://klasma.github.io/Logging_LJUSDAL/kartor/A 26003-2023.png")</f>
        <v/>
      </c>
      <c r="V98">
        <f>HYPERLINK("https://klasma.github.io/Logging_LJUSDAL/klagomål/A 26003-2023.docx")</f>
        <v/>
      </c>
      <c r="W98">
        <f>HYPERLINK("https://klasma.github.io/Logging_LJUSDAL/klagomålsmail/A 26003-2023.docx")</f>
        <v/>
      </c>
      <c r="X98">
        <f>HYPERLINK("https://klasma.github.io/Logging_LJUSDAL/tillsyn/A 26003-2023.docx")</f>
        <v/>
      </c>
      <c r="Y98">
        <f>HYPERLINK("https://klasma.github.io/Logging_LJUSDAL/tillsynsmail/A 26003-2023.docx")</f>
        <v/>
      </c>
    </row>
    <row r="99" ht="15" customHeight="1">
      <c r="A99" t="inlineStr">
        <is>
          <t>A 26538-2023</t>
        </is>
      </c>
      <c r="B99" s="1" t="n">
        <v>45092</v>
      </c>
      <c r="C99" s="1" t="n">
        <v>45181</v>
      </c>
      <c r="D99" t="inlineStr">
        <is>
          <t>GÄVLEBORGS LÄN</t>
        </is>
      </c>
      <c r="E99" t="inlineStr">
        <is>
          <t>LJUSDAL</t>
        </is>
      </c>
      <c r="F99" t="inlineStr">
        <is>
          <t>Sveaskog</t>
        </is>
      </c>
      <c r="G99" t="n">
        <v>22.1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Lunglav</t>
        </is>
      </c>
      <c r="S99">
        <f>HYPERLINK("https://klasma.github.io/Logging_LJUSDAL/artfynd/A 26538-2023.xlsx")</f>
        <v/>
      </c>
      <c r="T99">
        <f>HYPERLINK("https://klasma.github.io/Logging_LJUSDAL/kartor/A 26538-2023.png")</f>
        <v/>
      </c>
      <c r="V99">
        <f>HYPERLINK("https://klasma.github.io/Logging_LJUSDAL/klagomål/A 26538-2023.docx")</f>
        <v/>
      </c>
      <c r="W99">
        <f>HYPERLINK("https://klasma.github.io/Logging_LJUSDAL/klagomålsmail/A 26538-2023.docx")</f>
        <v/>
      </c>
      <c r="X99">
        <f>HYPERLINK("https://klasma.github.io/Logging_LJUSDAL/tillsyn/A 26538-2023.docx")</f>
        <v/>
      </c>
      <c r="Y99">
        <f>HYPERLINK("https://klasma.github.io/Logging_LJUSDAL/tillsynsmail/A 26538-2023.docx")</f>
        <v/>
      </c>
    </row>
    <row r="100" ht="15" customHeight="1">
      <c r="A100" t="inlineStr">
        <is>
          <t>A 32171-2023</t>
        </is>
      </c>
      <c r="B100" s="1" t="n">
        <v>45107</v>
      </c>
      <c r="C100" s="1" t="n">
        <v>45181</v>
      </c>
      <c r="D100" t="inlineStr">
        <is>
          <t>GÄVLEBORGS LÄN</t>
        </is>
      </c>
      <c r="E100" t="inlineStr">
        <is>
          <t>LJUSDAL</t>
        </is>
      </c>
      <c r="G100" t="n">
        <v>1.5</v>
      </c>
      <c r="H100" t="n">
        <v>1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Talltita</t>
        </is>
      </c>
      <c r="S100">
        <f>HYPERLINK("https://klasma.github.io/Logging_LJUSDAL/artfynd/A 32171-2023.xlsx")</f>
        <v/>
      </c>
      <c r="T100">
        <f>HYPERLINK("https://klasma.github.io/Logging_LJUSDAL/kartor/A 32171-2023.png")</f>
        <v/>
      </c>
      <c r="V100">
        <f>HYPERLINK("https://klasma.github.io/Logging_LJUSDAL/klagomål/A 32171-2023.docx")</f>
        <v/>
      </c>
      <c r="W100">
        <f>HYPERLINK("https://klasma.github.io/Logging_LJUSDAL/klagomålsmail/A 32171-2023.docx")</f>
        <v/>
      </c>
      <c r="X100">
        <f>HYPERLINK("https://klasma.github.io/Logging_LJUSDAL/tillsyn/A 32171-2023.docx")</f>
        <v/>
      </c>
      <c r="Y100">
        <f>HYPERLINK("https://klasma.github.io/Logging_LJUSDAL/tillsynsmail/A 32171-2023.docx")</f>
        <v/>
      </c>
    </row>
    <row r="101" ht="15" customHeight="1">
      <c r="A101" t="inlineStr">
        <is>
          <t>A 38400-2023</t>
        </is>
      </c>
      <c r="B101" s="1" t="n">
        <v>45162</v>
      </c>
      <c r="C101" s="1" t="n">
        <v>45181</v>
      </c>
      <c r="D101" t="inlineStr">
        <is>
          <t>GÄVLEBORGS LÄN</t>
        </is>
      </c>
      <c r="E101" t="inlineStr">
        <is>
          <t>LJUSDAL</t>
        </is>
      </c>
      <c r="G101" t="n">
        <v>7</v>
      </c>
      <c r="H101" t="n">
        <v>1</v>
      </c>
      <c r="I101" t="n">
        <v>0</v>
      </c>
      <c r="J101" t="n">
        <v>0</v>
      </c>
      <c r="K101" t="n">
        <v>1</v>
      </c>
      <c r="L101" t="n">
        <v>0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Knärot</t>
        </is>
      </c>
      <c r="S101">
        <f>HYPERLINK("https://klasma.github.io/Logging_LJUSDAL/artfynd/A 38400-2023.xlsx")</f>
        <v/>
      </c>
      <c r="T101">
        <f>HYPERLINK("https://klasma.github.io/Logging_LJUSDAL/kartor/A 38400-2023.png")</f>
        <v/>
      </c>
      <c r="U101">
        <f>HYPERLINK("https://klasma.github.io/Logging_LJUSDAL/knärot/A 38400-2023.png")</f>
        <v/>
      </c>
      <c r="V101">
        <f>HYPERLINK("https://klasma.github.io/Logging_LJUSDAL/klagomål/A 38400-2023.docx")</f>
        <v/>
      </c>
      <c r="W101">
        <f>HYPERLINK("https://klasma.github.io/Logging_LJUSDAL/klagomålsmail/A 38400-2023.docx")</f>
        <v/>
      </c>
      <c r="X101">
        <f>HYPERLINK("https://klasma.github.io/Logging_LJUSDAL/tillsyn/A 38400-2023.docx")</f>
        <v/>
      </c>
      <c r="Y101">
        <f>HYPERLINK("https://klasma.github.io/Logging_LJUSDAL/tillsynsmail/A 38400-2023.docx")</f>
        <v/>
      </c>
    </row>
    <row r="102" ht="15" customHeight="1">
      <c r="A102" t="inlineStr">
        <is>
          <t>A 34409-2018</t>
        </is>
      </c>
      <c r="B102" s="1" t="n">
        <v>43319</v>
      </c>
      <c r="C102" s="1" t="n">
        <v>45181</v>
      </c>
      <c r="D102" t="inlineStr">
        <is>
          <t>GÄVLEBORGS LÄN</t>
        </is>
      </c>
      <c r="E102" t="inlineStr">
        <is>
          <t>LJUSDAL</t>
        </is>
      </c>
      <c r="F102" t="inlineStr">
        <is>
          <t>Allmännings- och besparingsskogar</t>
        </is>
      </c>
      <c r="G102" t="n">
        <v>13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34564-2018</t>
        </is>
      </c>
      <c r="B103" s="1" t="n">
        <v>43320</v>
      </c>
      <c r="C103" s="1" t="n">
        <v>45181</v>
      </c>
      <c r="D103" t="inlineStr">
        <is>
          <t>GÄVLEBORGS LÄN</t>
        </is>
      </c>
      <c r="E103" t="inlineStr">
        <is>
          <t>LJUSDAL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36371-2018</t>
        </is>
      </c>
      <c r="B104" s="1" t="n">
        <v>43329</v>
      </c>
      <c r="C104" s="1" t="n">
        <v>45181</v>
      </c>
      <c r="D104" t="inlineStr">
        <is>
          <t>GÄVLEBORGS LÄN</t>
        </is>
      </c>
      <c r="E104" t="inlineStr">
        <is>
          <t>LJUSDAL</t>
        </is>
      </c>
      <c r="G104" t="n">
        <v>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36427-2018</t>
        </is>
      </c>
      <c r="B105" s="1" t="n">
        <v>43329</v>
      </c>
      <c r="C105" s="1" t="n">
        <v>45181</v>
      </c>
      <c r="D105" t="inlineStr">
        <is>
          <t>GÄVLEBORGS LÄN</t>
        </is>
      </c>
      <c r="E105" t="inlineStr">
        <is>
          <t>LJUSDAL</t>
        </is>
      </c>
      <c r="F105" t="inlineStr">
        <is>
          <t>Bergvik skog väst AB</t>
        </is>
      </c>
      <c r="G105" t="n">
        <v>6.1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36482-2018</t>
        </is>
      </c>
      <c r="B106" s="1" t="n">
        <v>43329</v>
      </c>
      <c r="C106" s="1" t="n">
        <v>45181</v>
      </c>
      <c r="D106" t="inlineStr">
        <is>
          <t>GÄVLEBORGS LÄN</t>
        </is>
      </c>
      <c r="E106" t="inlineStr">
        <is>
          <t>LJUSDAL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36368-2018</t>
        </is>
      </c>
      <c r="B107" s="1" t="n">
        <v>43329</v>
      </c>
      <c r="C107" s="1" t="n">
        <v>45181</v>
      </c>
      <c r="D107" t="inlineStr">
        <is>
          <t>GÄVLEBORGS LÄN</t>
        </is>
      </c>
      <c r="E107" t="inlineStr">
        <is>
          <t>LJUSDAL</t>
        </is>
      </c>
      <c r="G107" t="n">
        <v>21.5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36416-2018</t>
        </is>
      </c>
      <c r="B108" s="1" t="n">
        <v>43329</v>
      </c>
      <c r="C108" s="1" t="n">
        <v>45181</v>
      </c>
      <c r="D108" t="inlineStr">
        <is>
          <t>GÄVLEBORGS LÄN</t>
        </is>
      </c>
      <c r="E108" t="inlineStr">
        <is>
          <t>LJUSDAL</t>
        </is>
      </c>
      <c r="G108" t="n">
        <v>11.5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37182-2018</t>
        </is>
      </c>
      <c r="B109" s="1" t="n">
        <v>43333</v>
      </c>
      <c r="C109" s="1" t="n">
        <v>45181</v>
      </c>
      <c r="D109" t="inlineStr">
        <is>
          <t>GÄVLEBORGS LÄN</t>
        </is>
      </c>
      <c r="E109" t="inlineStr">
        <is>
          <t>LJUSDAL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37362-2018</t>
        </is>
      </c>
      <c r="B110" s="1" t="n">
        <v>43334</v>
      </c>
      <c r="C110" s="1" t="n">
        <v>45181</v>
      </c>
      <c r="D110" t="inlineStr">
        <is>
          <t>GÄVLEBORGS LÄN</t>
        </is>
      </c>
      <c r="E110" t="inlineStr">
        <is>
          <t>LJUSDAL</t>
        </is>
      </c>
      <c r="G110" t="n">
        <v>38.3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39690-2018</t>
        </is>
      </c>
      <c r="B111" s="1" t="n">
        <v>43342</v>
      </c>
      <c r="C111" s="1" t="n">
        <v>45181</v>
      </c>
      <c r="D111" t="inlineStr">
        <is>
          <t>GÄVLEBORGS LÄN</t>
        </is>
      </c>
      <c r="E111" t="inlineStr">
        <is>
          <t>LJUSDAL</t>
        </is>
      </c>
      <c r="F111" t="inlineStr">
        <is>
          <t>Sveaskog</t>
        </is>
      </c>
      <c r="G111" t="n">
        <v>5.2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40927-2018</t>
        </is>
      </c>
      <c r="B112" s="1" t="n">
        <v>43347</v>
      </c>
      <c r="C112" s="1" t="n">
        <v>45181</v>
      </c>
      <c r="D112" t="inlineStr">
        <is>
          <t>GÄVLEBORGS LÄN</t>
        </is>
      </c>
      <c r="E112" t="inlineStr">
        <is>
          <t>LJUSDAL</t>
        </is>
      </c>
      <c r="G112" t="n">
        <v>42.1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41240-2018</t>
        </is>
      </c>
      <c r="B113" s="1" t="n">
        <v>43348</v>
      </c>
      <c r="C113" s="1" t="n">
        <v>45181</v>
      </c>
      <c r="D113" t="inlineStr">
        <is>
          <t>GÄVLEBORGS LÄN</t>
        </is>
      </c>
      <c r="E113" t="inlineStr">
        <is>
          <t>LJUSDAL</t>
        </is>
      </c>
      <c r="G113" t="n">
        <v>33.6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41077-2018</t>
        </is>
      </c>
      <c r="B114" s="1" t="n">
        <v>43348</v>
      </c>
      <c r="C114" s="1" t="n">
        <v>45181</v>
      </c>
      <c r="D114" t="inlineStr">
        <is>
          <t>GÄVLEBORGS LÄN</t>
        </is>
      </c>
      <c r="E114" t="inlineStr">
        <is>
          <t>LJUSDAL</t>
        </is>
      </c>
      <c r="F114" t="inlineStr">
        <is>
          <t>Bergvik skog väst AB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41422-2018</t>
        </is>
      </c>
      <c r="B115" s="1" t="n">
        <v>43349</v>
      </c>
      <c r="C115" s="1" t="n">
        <v>45181</v>
      </c>
      <c r="D115" t="inlineStr">
        <is>
          <t>GÄVLEBORGS LÄN</t>
        </is>
      </c>
      <c r="E115" t="inlineStr">
        <is>
          <t>LJUSDAL</t>
        </is>
      </c>
      <c r="G115" t="n">
        <v>13.7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41434-2018</t>
        </is>
      </c>
      <c r="B116" s="1" t="n">
        <v>43349</v>
      </c>
      <c r="C116" s="1" t="n">
        <v>45181</v>
      </c>
      <c r="D116" t="inlineStr">
        <is>
          <t>GÄVLEBORGS LÄN</t>
        </is>
      </c>
      <c r="E116" t="inlineStr">
        <is>
          <t>LJUSDAL</t>
        </is>
      </c>
      <c r="G116" t="n">
        <v>23.3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41430-2018</t>
        </is>
      </c>
      <c r="B117" s="1" t="n">
        <v>43349</v>
      </c>
      <c r="C117" s="1" t="n">
        <v>45181</v>
      </c>
      <c r="D117" t="inlineStr">
        <is>
          <t>GÄVLEBORGS LÄN</t>
        </is>
      </c>
      <c r="E117" t="inlineStr">
        <is>
          <t>LJUSDAL</t>
        </is>
      </c>
      <c r="G117" t="n">
        <v>92.5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42164-2018</t>
        </is>
      </c>
      <c r="B118" s="1" t="n">
        <v>43353</v>
      </c>
      <c r="C118" s="1" t="n">
        <v>45181</v>
      </c>
      <c r="D118" t="inlineStr">
        <is>
          <t>GÄVLEBORGS LÄN</t>
        </is>
      </c>
      <c r="E118" t="inlineStr">
        <is>
          <t>LJUSDAL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42287-2018</t>
        </is>
      </c>
      <c r="B119" s="1" t="n">
        <v>43353</v>
      </c>
      <c r="C119" s="1" t="n">
        <v>45181</v>
      </c>
      <c r="D119" t="inlineStr">
        <is>
          <t>GÄVLEBORGS LÄN</t>
        </is>
      </c>
      <c r="E119" t="inlineStr">
        <is>
          <t>LJUSDAL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42785-2018</t>
        </is>
      </c>
      <c r="B120" s="1" t="n">
        <v>43354</v>
      </c>
      <c r="C120" s="1" t="n">
        <v>45181</v>
      </c>
      <c r="D120" t="inlineStr">
        <is>
          <t>GÄVLEBORGS LÄN</t>
        </is>
      </c>
      <c r="E120" t="inlineStr">
        <is>
          <t>LJUSDAL</t>
        </is>
      </c>
      <c r="F120" t="inlineStr">
        <is>
          <t>Holmen skog AB</t>
        </is>
      </c>
      <c r="G120" t="n">
        <v>166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43119-2018</t>
        </is>
      </c>
      <c r="B121" s="1" t="n">
        <v>43355</v>
      </c>
      <c r="C121" s="1" t="n">
        <v>45181</v>
      </c>
      <c r="D121" t="inlineStr">
        <is>
          <t>GÄVLEBORGS LÄN</t>
        </is>
      </c>
      <c r="E121" t="inlineStr">
        <is>
          <t>LJUSDAL</t>
        </is>
      </c>
      <c r="F121" t="inlineStr">
        <is>
          <t>Allmännings- och besparingsskogar</t>
        </is>
      </c>
      <c r="G121" t="n">
        <v>38.3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43114-2018</t>
        </is>
      </c>
      <c r="B122" s="1" t="n">
        <v>43355</v>
      </c>
      <c r="C122" s="1" t="n">
        <v>45181</v>
      </c>
      <c r="D122" t="inlineStr">
        <is>
          <t>GÄVLEBORGS LÄN</t>
        </is>
      </c>
      <c r="E122" t="inlineStr">
        <is>
          <t>LJUSDAL</t>
        </is>
      </c>
      <c r="F122" t="inlineStr">
        <is>
          <t>Allmännings- och besparingsskogar</t>
        </is>
      </c>
      <c r="G122" t="n">
        <v>10.9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47068-2018</t>
        </is>
      </c>
      <c r="B123" s="1" t="n">
        <v>43369</v>
      </c>
      <c r="C123" s="1" t="n">
        <v>45181</v>
      </c>
      <c r="D123" t="inlineStr">
        <is>
          <t>GÄVLEBORGS LÄN</t>
        </is>
      </c>
      <c r="E123" t="inlineStr">
        <is>
          <t>LJUSDAL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47801-2018</t>
        </is>
      </c>
      <c r="B124" s="1" t="n">
        <v>43369</v>
      </c>
      <c r="C124" s="1" t="n">
        <v>45181</v>
      </c>
      <c r="D124" t="inlineStr">
        <is>
          <t>GÄVLEBORGS LÄN</t>
        </is>
      </c>
      <c r="E124" t="inlineStr">
        <is>
          <t>LJUSDAL</t>
        </is>
      </c>
      <c r="F124" t="inlineStr">
        <is>
          <t>Allmännings- och besparingsskogar</t>
        </is>
      </c>
      <c r="G124" t="n">
        <v>20.9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47720-2018</t>
        </is>
      </c>
      <c r="B125" s="1" t="n">
        <v>43370</v>
      </c>
      <c r="C125" s="1" t="n">
        <v>45181</v>
      </c>
      <c r="D125" t="inlineStr">
        <is>
          <t>GÄVLEBORGS LÄN</t>
        </is>
      </c>
      <c r="E125" t="inlineStr">
        <is>
          <t>LJUSDAL</t>
        </is>
      </c>
      <c r="F125" t="inlineStr">
        <is>
          <t>Kyrkan</t>
        </is>
      </c>
      <c r="G125" t="n">
        <v>17.1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49454-2018</t>
        </is>
      </c>
      <c r="B126" s="1" t="n">
        <v>43376</v>
      </c>
      <c r="C126" s="1" t="n">
        <v>45181</v>
      </c>
      <c r="D126" t="inlineStr">
        <is>
          <t>GÄVLEBORGS LÄN</t>
        </is>
      </c>
      <c r="E126" t="inlineStr">
        <is>
          <t>LJUSDAL</t>
        </is>
      </c>
      <c r="G126" t="n">
        <v>72.2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49766-2018</t>
        </is>
      </c>
      <c r="B127" s="1" t="n">
        <v>43377</v>
      </c>
      <c r="C127" s="1" t="n">
        <v>45181</v>
      </c>
      <c r="D127" t="inlineStr">
        <is>
          <t>GÄVLEBORGS LÄN</t>
        </is>
      </c>
      <c r="E127" t="inlineStr">
        <is>
          <t>LJUSDAL</t>
        </is>
      </c>
      <c r="F127" t="inlineStr">
        <is>
          <t>Sveaskog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50744-2018</t>
        </is>
      </c>
      <c r="B128" s="1" t="n">
        <v>43381</v>
      </c>
      <c r="C128" s="1" t="n">
        <v>45181</v>
      </c>
      <c r="D128" t="inlineStr">
        <is>
          <t>GÄVLEBORGS LÄN</t>
        </is>
      </c>
      <c r="E128" t="inlineStr">
        <is>
          <t>LJUSDAL</t>
        </is>
      </c>
      <c r="G128" t="n">
        <v>54.3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50737-2018</t>
        </is>
      </c>
      <c r="B129" s="1" t="n">
        <v>43381</v>
      </c>
      <c r="C129" s="1" t="n">
        <v>45181</v>
      </c>
      <c r="D129" t="inlineStr">
        <is>
          <t>GÄVLEBORGS LÄN</t>
        </is>
      </c>
      <c r="E129" t="inlineStr">
        <is>
          <t>LJUSDAL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51986-2018</t>
        </is>
      </c>
      <c r="B130" s="1" t="n">
        <v>43381</v>
      </c>
      <c r="C130" s="1" t="n">
        <v>45181</v>
      </c>
      <c r="D130" t="inlineStr">
        <is>
          <t>GÄVLEBORGS LÄN</t>
        </is>
      </c>
      <c r="E130" t="inlineStr">
        <is>
          <t>LJUSDAL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50800-2018</t>
        </is>
      </c>
      <c r="B131" s="1" t="n">
        <v>43381</v>
      </c>
      <c r="C131" s="1" t="n">
        <v>45181</v>
      </c>
      <c r="D131" t="inlineStr">
        <is>
          <t>GÄVLEBORGS LÄN</t>
        </is>
      </c>
      <c r="E131" t="inlineStr">
        <is>
          <t>LJUSDAL</t>
        </is>
      </c>
      <c r="G131" t="n">
        <v>54.9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51014-2018</t>
        </is>
      </c>
      <c r="B132" s="1" t="n">
        <v>43382</v>
      </c>
      <c r="C132" s="1" t="n">
        <v>45181</v>
      </c>
      <c r="D132" t="inlineStr">
        <is>
          <t>GÄVLEBORGS LÄN</t>
        </is>
      </c>
      <c r="E132" t="inlineStr">
        <is>
          <t>LJUSDAL</t>
        </is>
      </c>
      <c r="F132" t="inlineStr">
        <is>
          <t>Sveaskog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51016-2018</t>
        </is>
      </c>
      <c r="B133" s="1" t="n">
        <v>43382</v>
      </c>
      <c r="C133" s="1" t="n">
        <v>45181</v>
      </c>
      <c r="D133" t="inlineStr">
        <is>
          <t>GÄVLEBORGS LÄN</t>
        </is>
      </c>
      <c r="E133" t="inlineStr">
        <is>
          <t>LJUSDAL</t>
        </is>
      </c>
      <c r="F133" t="inlineStr">
        <is>
          <t>Sveaskog</t>
        </is>
      </c>
      <c r="G133" t="n">
        <v>1.4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62146-2018</t>
        </is>
      </c>
      <c r="B134" s="1" t="n">
        <v>43385</v>
      </c>
      <c r="C134" s="1" t="n">
        <v>45181</v>
      </c>
      <c r="D134" t="inlineStr">
        <is>
          <t>GÄVLEBORGS LÄN</t>
        </is>
      </c>
      <c r="E134" t="inlineStr">
        <is>
          <t>LJUSDAL</t>
        </is>
      </c>
      <c r="F134" t="inlineStr">
        <is>
          <t>Bergvik skog väst AB</t>
        </is>
      </c>
      <c r="G134" t="n">
        <v>13.6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52041-2018</t>
        </is>
      </c>
      <c r="B135" s="1" t="n">
        <v>43385</v>
      </c>
      <c r="C135" s="1" t="n">
        <v>45181</v>
      </c>
      <c r="D135" t="inlineStr">
        <is>
          <t>GÄVLEBORGS LÄN</t>
        </is>
      </c>
      <c r="E135" t="inlineStr">
        <is>
          <t>LJUSDAL</t>
        </is>
      </c>
      <c r="F135" t="inlineStr">
        <is>
          <t>Holmen skog AB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63970-2018</t>
        </is>
      </c>
      <c r="B136" s="1" t="n">
        <v>43389</v>
      </c>
      <c r="C136" s="1" t="n">
        <v>45181</v>
      </c>
      <c r="D136" t="inlineStr">
        <is>
          <t>GÄVLEBORGS LÄN</t>
        </is>
      </c>
      <c r="E136" t="inlineStr">
        <is>
          <t>LJUSDAL</t>
        </is>
      </c>
      <c r="F136" t="inlineStr">
        <is>
          <t>Bergvik skog väst AB</t>
        </is>
      </c>
      <c r="G136" t="n">
        <v>13.6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53763-2018</t>
        </is>
      </c>
      <c r="B137" s="1" t="n">
        <v>43391</v>
      </c>
      <c r="C137" s="1" t="n">
        <v>45181</v>
      </c>
      <c r="D137" t="inlineStr">
        <is>
          <t>GÄVLEBORGS LÄN</t>
        </is>
      </c>
      <c r="E137" t="inlineStr">
        <is>
          <t>LJUSDAL</t>
        </is>
      </c>
      <c r="G137" t="n">
        <v>4.5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53768-2018</t>
        </is>
      </c>
      <c r="B138" s="1" t="n">
        <v>43391</v>
      </c>
      <c r="C138" s="1" t="n">
        <v>45181</v>
      </c>
      <c r="D138" t="inlineStr">
        <is>
          <t>GÄVLEBORGS LÄN</t>
        </is>
      </c>
      <c r="E138" t="inlineStr">
        <is>
          <t>LJUSDAL</t>
        </is>
      </c>
      <c r="G138" t="n">
        <v>15.8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54680-2018</t>
        </is>
      </c>
      <c r="B139" s="1" t="n">
        <v>43395</v>
      </c>
      <c r="C139" s="1" t="n">
        <v>45181</v>
      </c>
      <c r="D139" t="inlineStr">
        <is>
          <t>GÄVLEBORGS LÄN</t>
        </is>
      </c>
      <c r="E139" t="inlineStr">
        <is>
          <t>LJUSDAL</t>
        </is>
      </c>
      <c r="G139" t="n">
        <v>221.6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57064-2018</t>
        </is>
      </c>
      <c r="B140" s="1" t="n">
        <v>43403</v>
      </c>
      <c r="C140" s="1" t="n">
        <v>45181</v>
      </c>
      <c r="D140" t="inlineStr">
        <is>
          <t>GÄVLEBORGS LÄN</t>
        </is>
      </c>
      <c r="E140" t="inlineStr">
        <is>
          <t>LJUSDAL</t>
        </is>
      </c>
      <c r="F140" t="inlineStr">
        <is>
          <t>Allmännings- och besparingsskogar</t>
        </is>
      </c>
      <c r="G140" t="n">
        <v>42.9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58491-2018</t>
        </is>
      </c>
      <c r="B141" s="1" t="n">
        <v>43409</v>
      </c>
      <c r="C141" s="1" t="n">
        <v>45181</v>
      </c>
      <c r="D141" t="inlineStr">
        <is>
          <t>GÄVLEBORGS LÄN</t>
        </is>
      </c>
      <c r="E141" t="inlineStr">
        <is>
          <t>LJUSDAL</t>
        </is>
      </c>
      <c r="G141" t="n">
        <v>2.9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58520-2018</t>
        </is>
      </c>
      <c r="B142" s="1" t="n">
        <v>43409</v>
      </c>
      <c r="C142" s="1" t="n">
        <v>45181</v>
      </c>
      <c r="D142" t="inlineStr">
        <is>
          <t>GÄVLEBORGS LÄN</t>
        </is>
      </c>
      <c r="E142" t="inlineStr">
        <is>
          <t>LJUSDAL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58622-2018</t>
        </is>
      </c>
      <c r="B143" s="1" t="n">
        <v>43410</v>
      </c>
      <c r="C143" s="1" t="n">
        <v>45181</v>
      </c>
      <c r="D143" t="inlineStr">
        <is>
          <t>GÄVLEBORGS LÄN</t>
        </is>
      </c>
      <c r="E143" t="inlineStr">
        <is>
          <t>LJUSDAL</t>
        </is>
      </c>
      <c r="G143" t="n">
        <v>30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58847-2018</t>
        </is>
      </c>
      <c r="B144" s="1" t="n">
        <v>43410</v>
      </c>
      <c r="C144" s="1" t="n">
        <v>45181</v>
      </c>
      <c r="D144" t="inlineStr">
        <is>
          <t>GÄVLEBORGS LÄN</t>
        </is>
      </c>
      <c r="E144" t="inlineStr">
        <is>
          <t>LJUSDAL</t>
        </is>
      </c>
      <c r="F144" t="inlineStr">
        <is>
          <t>Sveaskog</t>
        </is>
      </c>
      <c r="G144" t="n">
        <v>3.4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58854-2018</t>
        </is>
      </c>
      <c r="B145" s="1" t="n">
        <v>43410</v>
      </c>
      <c r="C145" s="1" t="n">
        <v>45181</v>
      </c>
      <c r="D145" t="inlineStr">
        <is>
          <t>GÄVLEBORGS LÄN</t>
        </is>
      </c>
      <c r="E145" t="inlineStr">
        <is>
          <t>LJUSDAL</t>
        </is>
      </c>
      <c r="F145" t="inlineStr">
        <is>
          <t>Sveaskog</t>
        </is>
      </c>
      <c r="G145" t="n">
        <v>3.3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59089-2018</t>
        </is>
      </c>
      <c r="B146" s="1" t="n">
        <v>43411</v>
      </c>
      <c r="C146" s="1" t="n">
        <v>45181</v>
      </c>
      <c r="D146" t="inlineStr">
        <is>
          <t>GÄVLEBORGS LÄN</t>
        </is>
      </c>
      <c r="E146" t="inlineStr">
        <is>
          <t>LJUSDAL</t>
        </is>
      </c>
      <c r="G146" t="n">
        <v>33.1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60010-2018</t>
        </is>
      </c>
      <c r="B147" s="1" t="n">
        <v>43412</v>
      </c>
      <c r="C147" s="1" t="n">
        <v>45181</v>
      </c>
      <c r="D147" t="inlineStr">
        <is>
          <t>GÄVLEBORGS LÄN</t>
        </is>
      </c>
      <c r="E147" t="inlineStr">
        <is>
          <t>LJUSDAL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60093-2018</t>
        </is>
      </c>
      <c r="B148" s="1" t="n">
        <v>43412</v>
      </c>
      <c r="C148" s="1" t="n">
        <v>45181</v>
      </c>
      <c r="D148" t="inlineStr">
        <is>
          <t>GÄVLEBORGS LÄN</t>
        </is>
      </c>
      <c r="E148" t="inlineStr">
        <is>
          <t>LJUSDAL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60097-2018</t>
        </is>
      </c>
      <c r="B149" s="1" t="n">
        <v>43412</v>
      </c>
      <c r="C149" s="1" t="n">
        <v>45181</v>
      </c>
      <c r="D149" t="inlineStr">
        <is>
          <t>GÄVLEBORGS LÄN</t>
        </is>
      </c>
      <c r="E149" t="inlineStr">
        <is>
          <t>LJUSDAL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62366-2018</t>
        </is>
      </c>
      <c r="B150" s="1" t="n">
        <v>43416</v>
      </c>
      <c r="C150" s="1" t="n">
        <v>45181</v>
      </c>
      <c r="D150" t="inlineStr">
        <is>
          <t>GÄVLEBORGS LÄN</t>
        </is>
      </c>
      <c r="E150" t="inlineStr">
        <is>
          <t>LJUSDAL</t>
        </is>
      </c>
      <c r="F150" t="inlineStr">
        <is>
          <t>Bergvik skog väst AB</t>
        </is>
      </c>
      <c r="G150" t="n">
        <v>11.4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62364-2018</t>
        </is>
      </c>
      <c r="B151" s="1" t="n">
        <v>43416</v>
      </c>
      <c r="C151" s="1" t="n">
        <v>45181</v>
      </c>
      <c r="D151" t="inlineStr">
        <is>
          <t>GÄVLEBORGS LÄN</t>
        </is>
      </c>
      <c r="E151" t="inlineStr">
        <is>
          <t>LJUSDAL</t>
        </is>
      </c>
      <c r="F151" t="inlineStr">
        <is>
          <t>Bergvik skog väst AB</t>
        </is>
      </c>
      <c r="G151" t="n">
        <v>11.4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64500-2018</t>
        </is>
      </c>
      <c r="B152" s="1" t="n">
        <v>43419</v>
      </c>
      <c r="C152" s="1" t="n">
        <v>45181</v>
      </c>
      <c r="D152" t="inlineStr">
        <is>
          <t>GÄVLEBORGS LÄN</t>
        </is>
      </c>
      <c r="E152" t="inlineStr">
        <is>
          <t>LJUSDAL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59474-2018</t>
        </is>
      </c>
      <c r="B153" s="1" t="n">
        <v>43419</v>
      </c>
      <c r="C153" s="1" t="n">
        <v>45181</v>
      </c>
      <c r="D153" t="inlineStr">
        <is>
          <t>GÄVLEBORGS LÄN</t>
        </is>
      </c>
      <c r="E153" t="inlineStr">
        <is>
          <t>LJUSDAL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60355-2018</t>
        </is>
      </c>
      <c r="B154" s="1" t="n">
        <v>43420</v>
      </c>
      <c r="C154" s="1" t="n">
        <v>45181</v>
      </c>
      <c r="D154" t="inlineStr">
        <is>
          <t>GÄVLEBORGS LÄN</t>
        </is>
      </c>
      <c r="E154" t="inlineStr">
        <is>
          <t>LJUSDAL</t>
        </is>
      </c>
      <c r="G154" t="n">
        <v>0.8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60332-2018</t>
        </is>
      </c>
      <c r="B155" s="1" t="n">
        <v>43420</v>
      </c>
      <c r="C155" s="1" t="n">
        <v>45181</v>
      </c>
      <c r="D155" t="inlineStr">
        <is>
          <t>GÄVLEBORGS LÄN</t>
        </is>
      </c>
      <c r="E155" t="inlineStr">
        <is>
          <t>LJUSDAL</t>
        </is>
      </c>
      <c r="G155" t="n">
        <v>17.1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61608-2018</t>
        </is>
      </c>
      <c r="B156" s="1" t="n">
        <v>43424</v>
      </c>
      <c r="C156" s="1" t="n">
        <v>45181</v>
      </c>
      <c r="D156" t="inlineStr">
        <is>
          <t>GÄVLEBORGS LÄN</t>
        </is>
      </c>
      <c r="E156" t="inlineStr">
        <is>
          <t>LJUSDAL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61702-2018</t>
        </is>
      </c>
      <c r="B157" s="1" t="n">
        <v>43425</v>
      </c>
      <c r="C157" s="1" t="n">
        <v>45181</v>
      </c>
      <c r="D157" t="inlineStr">
        <is>
          <t>GÄVLEBORGS LÄN</t>
        </is>
      </c>
      <c r="E157" t="inlineStr">
        <is>
          <t>LJUSDAL</t>
        </is>
      </c>
      <c r="F157" t="inlineStr">
        <is>
          <t>Holmen skog AB</t>
        </is>
      </c>
      <c r="G157" t="n">
        <v>14.5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61734-2018</t>
        </is>
      </c>
      <c r="B158" s="1" t="n">
        <v>43425</v>
      </c>
      <c r="C158" s="1" t="n">
        <v>45181</v>
      </c>
      <c r="D158" t="inlineStr">
        <is>
          <t>GÄVLEBORGS LÄN</t>
        </is>
      </c>
      <c r="E158" t="inlineStr">
        <is>
          <t>LJUSDAL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61668-2018</t>
        </is>
      </c>
      <c r="B159" s="1" t="n">
        <v>43425</v>
      </c>
      <c r="C159" s="1" t="n">
        <v>45181</v>
      </c>
      <c r="D159" t="inlineStr">
        <is>
          <t>GÄVLEBORGS LÄN</t>
        </is>
      </c>
      <c r="E159" t="inlineStr">
        <is>
          <t>LJUSDAL</t>
        </is>
      </c>
      <c r="F159" t="inlineStr">
        <is>
          <t>Holmen skog AB</t>
        </is>
      </c>
      <c r="G159" t="n">
        <v>3.6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61733-2018</t>
        </is>
      </c>
      <c r="B160" s="1" t="n">
        <v>43425</v>
      </c>
      <c r="C160" s="1" t="n">
        <v>45181</v>
      </c>
      <c r="D160" t="inlineStr">
        <is>
          <t>GÄVLEBORGS LÄN</t>
        </is>
      </c>
      <c r="E160" t="inlineStr">
        <is>
          <t>LJUSDAL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63445-2018</t>
        </is>
      </c>
      <c r="B161" s="1" t="n">
        <v>43427</v>
      </c>
      <c r="C161" s="1" t="n">
        <v>45181</v>
      </c>
      <c r="D161" t="inlineStr">
        <is>
          <t>GÄVLEBORGS LÄN</t>
        </is>
      </c>
      <c r="E161" t="inlineStr">
        <is>
          <t>LJUSDAL</t>
        </is>
      </c>
      <c r="F161" t="inlineStr">
        <is>
          <t>Sveaskog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64219-2018</t>
        </is>
      </c>
      <c r="B162" s="1" t="n">
        <v>43430</v>
      </c>
      <c r="C162" s="1" t="n">
        <v>45181</v>
      </c>
      <c r="D162" t="inlineStr">
        <is>
          <t>GÄVLEBORGS LÄN</t>
        </is>
      </c>
      <c r="E162" t="inlineStr">
        <is>
          <t>LJUSDAL</t>
        </is>
      </c>
      <c r="F162" t="inlineStr">
        <is>
          <t>Sveaskog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64757-2018</t>
        </is>
      </c>
      <c r="B163" s="1" t="n">
        <v>43431</v>
      </c>
      <c r="C163" s="1" t="n">
        <v>45181</v>
      </c>
      <c r="D163" t="inlineStr">
        <is>
          <t>GÄVLEBORGS LÄN</t>
        </is>
      </c>
      <c r="E163" t="inlineStr">
        <is>
          <t>LJUSDAL</t>
        </is>
      </c>
      <c r="F163" t="inlineStr">
        <is>
          <t>Sveaskog</t>
        </is>
      </c>
      <c r="G163" t="n">
        <v>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64784-2018</t>
        </is>
      </c>
      <c r="B164" s="1" t="n">
        <v>43431</v>
      </c>
      <c r="C164" s="1" t="n">
        <v>45181</v>
      </c>
      <c r="D164" t="inlineStr">
        <is>
          <t>GÄVLEBORGS LÄN</t>
        </is>
      </c>
      <c r="E164" t="inlineStr">
        <is>
          <t>LJUSDAL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67526-2018</t>
        </is>
      </c>
      <c r="B165" s="1" t="n">
        <v>43432</v>
      </c>
      <c r="C165" s="1" t="n">
        <v>45181</v>
      </c>
      <c r="D165" t="inlineStr">
        <is>
          <t>GÄVLEBORGS LÄN</t>
        </is>
      </c>
      <c r="E165" t="inlineStr">
        <is>
          <t>LJUSDAL</t>
        </is>
      </c>
      <c r="F165" t="inlineStr">
        <is>
          <t>Sveaskog</t>
        </is>
      </c>
      <c r="G165" t="n">
        <v>69.90000000000001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65033-2018</t>
        </is>
      </c>
      <c r="B166" s="1" t="n">
        <v>43432</v>
      </c>
      <c r="C166" s="1" t="n">
        <v>45181</v>
      </c>
      <c r="D166" t="inlineStr">
        <is>
          <t>GÄVLEBORGS LÄN</t>
        </is>
      </c>
      <c r="E166" t="inlineStr">
        <is>
          <t>LJUSDAL</t>
        </is>
      </c>
      <c r="G166" t="n">
        <v>13.1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65056-2018</t>
        </is>
      </c>
      <c r="B167" s="1" t="n">
        <v>43432</v>
      </c>
      <c r="C167" s="1" t="n">
        <v>45181</v>
      </c>
      <c r="D167" t="inlineStr">
        <is>
          <t>GÄVLEBORGS LÄN</t>
        </is>
      </c>
      <c r="E167" t="inlineStr">
        <is>
          <t>LJUSDAL</t>
        </is>
      </c>
      <c r="F167" t="inlineStr">
        <is>
          <t>Bergvik skog väst AB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66126-2018</t>
        </is>
      </c>
      <c r="B168" s="1" t="n">
        <v>43434</v>
      </c>
      <c r="C168" s="1" t="n">
        <v>45181</v>
      </c>
      <c r="D168" t="inlineStr">
        <is>
          <t>GÄVLEBORGS LÄN</t>
        </is>
      </c>
      <c r="E168" t="inlineStr">
        <is>
          <t>LJUSDAL</t>
        </is>
      </c>
      <c r="F168" t="inlineStr">
        <is>
          <t>Sveaskog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66533-2018</t>
        </is>
      </c>
      <c r="B169" s="1" t="n">
        <v>43437</v>
      </c>
      <c r="C169" s="1" t="n">
        <v>45181</v>
      </c>
      <c r="D169" t="inlineStr">
        <is>
          <t>GÄVLEBORGS LÄN</t>
        </is>
      </c>
      <c r="E169" t="inlineStr">
        <is>
          <t>LJUSDAL</t>
        </is>
      </c>
      <c r="F169" t="inlineStr">
        <is>
          <t>Bergvik skog väst AB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67159-2018</t>
        </is>
      </c>
      <c r="B170" s="1" t="n">
        <v>43438</v>
      </c>
      <c r="C170" s="1" t="n">
        <v>45181</v>
      </c>
      <c r="D170" t="inlineStr">
        <is>
          <t>GÄVLEBORGS LÄN</t>
        </is>
      </c>
      <c r="E170" t="inlineStr">
        <is>
          <t>LJUSDAL</t>
        </is>
      </c>
      <c r="F170" t="inlineStr">
        <is>
          <t>Sveaskog</t>
        </is>
      </c>
      <c r="G170" t="n">
        <v>27.6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67524-2018</t>
        </is>
      </c>
      <c r="B171" s="1" t="n">
        <v>43439</v>
      </c>
      <c r="C171" s="1" t="n">
        <v>45181</v>
      </c>
      <c r="D171" t="inlineStr">
        <is>
          <t>GÄVLEBORGS LÄN</t>
        </is>
      </c>
      <c r="E171" t="inlineStr">
        <is>
          <t>LJUSDAL</t>
        </is>
      </c>
      <c r="G171" t="n">
        <v>7.6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67513-2018</t>
        </is>
      </c>
      <c r="B172" s="1" t="n">
        <v>43439</v>
      </c>
      <c r="C172" s="1" t="n">
        <v>45181</v>
      </c>
      <c r="D172" t="inlineStr">
        <is>
          <t>GÄVLEBORGS LÄN</t>
        </is>
      </c>
      <c r="E172" t="inlineStr">
        <is>
          <t>LJUSDAL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67538-2018</t>
        </is>
      </c>
      <c r="B173" s="1" t="n">
        <v>43439</v>
      </c>
      <c r="C173" s="1" t="n">
        <v>45181</v>
      </c>
      <c r="D173" t="inlineStr">
        <is>
          <t>GÄVLEBORGS LÄN</t>
        </is>
      </c>
      <c r="E173" t="inlineStr">
        <is>
          <t>LJUSDAL</t>
        </is>
      </c>
      <c r="G173" t="n">
        <v>12.7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68264-2018</t>
        </is>
      </c>
      <c r="B174" s="1" t="n">
        <v>43441</v>
      </c>
      <c r="C174" s="1" t="n">
        <v>45181</v>
      </c>
      <c r="D174" t="inlineStr">
        <is>
          <t>GÄVLEBORGS LÄN</t>
        </is>
      </c>
      <c r="E174" t="inlineStr">
        <is>
          <t>LJUSDAL</t>
        </is>
      </c>
      <c r="F174" t="inlineStr">
        <is>
          <t>Bergvik skog väst AB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68129-2018</t>
        </is>
      </c>
      <c r="B175" s="1" t="n">
        <v>43441</v>
      </c>
      <c r="C175" s="1" t="n">
        <v>45181</v>
      </c>
      <c r="D175" t="inlineStr">
        <is>
          <t>GÄVLEBORGS LÄN</t>
        </is>
      </c>
      <c r="E175" t="inlineStr">
        <is>
          <t>LJUSDAL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68824-2018</t>
        </is>
      </c>
      <c r="B176" s="1" t="n">
        <v>43444</v>
      </c>
      <c r="C176" s="1" t="n">
        <v>45181</v>
      </c>
      <c r="D176" t="inlineStr">
        <is>
          <t>GÄVLEBORGS LÄN</t>
        </is>
      </c>
      <c r="E176" t="inlineStr">
        <is>
          <t>LJUSDAL</t>
        </is>
      </c>
      <c r="G176" t="n">
        <v>4.5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68840-2018</t>
        </is>
      </c>
      <c r="B177" s="1" t="n">
        <v>43444</v>
      </c>
      <c r="C177" s="1" t="n">
        <v>45181</v>
      </c>
      <c r="D177" t="inlineStr">
        <is>
          <t>GÄVLEBORGS LÄN</t>
        </is>
      </c>
      <c r="E177" t="inlineStr">
        <is>
          <t>LJUSDAL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68578-2018</t>
        </is>
      </c>
      <c r="B178" s="1" t="n">
        <v>43444</v>
      </c>
      <c r="C178" s="1" t="n">
        <v>45181</v>
      </c>
      <c r="D178" t="inlineStr">
        <is>
          <t>GÄVLEBORGS LÄN</t>
        </is>
      </c>
      <c r="E178" t="inlineStr">
        <is>
          <t>LJUSDAL</t>
        </is>
      </c>
      <c r="G178" t="n">
        <v>4.4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68549-2018</t>
        </is>
      </c>
      <c r="B179" s="1" t="n">
        <v>43444</v>
      </c>
      <c r="C179" s="1" t="n">
        <v>45181</v>
      </c>
      <c r="D179" t="inlineStr">
        <is>
          <t>GÄVLEBORGS LÄN</t>
        </is>
      </c>
      <c r="E179" t="inlineStr">
        <is>
          <t>LJUSDAL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69225-2018</t>
        </is>
      </c>
      <c r="B180" s="1" t="n">
        <v>43445</v>
      </c>
      <c r="C180" s="1" t="n">
        <v>45181</v>
      </c>
      <c r="D180" t="inlineStr">
        <is>
          <t>GÄVLEBORGS LÄN</t>
        </is>
      </c>
      <c r="E180" t="inlineStr">
        <is>
          <t>LJUSDAL</t>
        </is>
      </c>
      <c r="F180" t="inlineStr">
        <is>
          <t>Bergvik skog väst AB</t>
        </is>
      </c>
      <c r="G180" t="n">
        <v>4.8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68990-2018</t>
        </is>
      </c>
      <c r="B181" s="1" t="n">
        <v>43445</v>
      </c>
      <c r="C181" s="1" t="n">
        <v>45181</v>
      </c>
      <c r="D181" t="inlineStr">
        <is>
          <t>GÄVLEBORGS LÄN</t>
        </is>
      </c>
      <c r="E181" t="inlineStr">
        <is>
          <t>LJUSDAL</t>
        </is>
      </c>
      <c r="F181" t="inlineStr">
        <is>
          <t>Sveaskog</t>
        </is>
      </c>
      <c r="G181" t="n">
        <v>19.4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70153-2018</t>
        </is>
      </c>
      <c r="B182" s="1" t="n">
        <v>43448</v>
      </c>
      <c r="C182" s="1" t="n">
        <v>45181</v>
      </c>
      <c r="D182" t="inlineStr">
        <is>
          <t>GÄVLEBORGS LÄN</t>
        </is>
      </c>
      <c r="E182" t="inlineStr">
        <is>
          <t>LJUSDAL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70149-2018</t>
        </is>
      </c>
      <c r="B183" s="1" t="n">
        <v>43448</v>
      </c>
      <c r="C183" s="1" t="n">
        <v>45181</v>
      </c>
      <c r="D183" t="inlineStr">
        <is>
          <t>GÄVLEBORGS LÄN</t>
        </is>
      </c>
      <c r="E183" t="inlineStr">
        <is>
          <t>LJUSDAL</t>
        </is>
      </c>
      <c r="F183" t="inlineStr">
        <is>
          <t>Sveaskog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70165-2018</t>
        </is>
      </c>
      <c r="B184" s="1" t="n">
        <v>43448</v>
      </c>
      <c r="C184" s="1" t="n">
        <v>45181</v>
      </c>
      <c r="D184" t="inlineStr">
        <is>
          <t>GÄVLEBORGS LÄN</t>
        </is>
      </c>
      <c r="E184" t="inlineStr">
        <is>
          <t>LJUSDAL</t>
        </is>
      </c>
      <c r="F184" t="inlineStr">
        <is>
          <t>Sveaskog</t>
        </is>
      </c>
      <c r="G184" t="n">
        <v>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70283-2018</t>
        </is>
      </c>
      <c r="B185" s="1" t="n">
        <v>43449</v>
      </c>
      <c r="C185" s="1" t="n">
        <v>45181</v>
      </c>
      <c r="D185" t="inlineStr">
        <is>
          <t>GÄVLEBORGS LÄN</t>
        </is>
      </c>
      <c r="E185" t="inlineStr">
        <is>
          <t>LJUSDAL</t>
        </is>
      </c>
      <c r="G185" t="n">
        <v>2.2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70865-2018</t>
        </is>
      </c>
      <c r="B186" s="1" t="n">
        <v>43452</v>
      </c>
      <c r="C186" s="1" t="n">
        <v>45181</v>
      </c>
      <c r="D186" t="inlineStr">
        <is>
          <t>GÄVLEBORGS LÄN</t>
        </is>
      </c>
      <c r="E186" t="inlineStr">
        <is>
          <t>LJUSDAL</t>
        </is>
      </c>
      <c r="G186" t="n">
        <v>11.7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71032-2018</t>
        </is>
      </c>
      <c r="B187" s="1" t="n">
        <v>43452</v>
      </c>
      <c r="C187" s="1" t="n">
        <v>45181</v>
      </c>
      <c r="D187" t="inlineStr">
        <is>
          <t>GÄVLEBORGS LÄN</t>
        </is>
      </c>
      <c r="E187" t="inlineStr">
        <is>
          <t>LJUSDAL</t>
        </is>
      </c>
      <c r="F187" t="inlineStr">
        <is>
          <t>Holmen skog AB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71237-2018</t>
        </is>
      </c>
      <c r="B188" s="1" t="n">
        <v>43453</v>
      </c>
      <c r="C188" s="1" t="n">
        <v>45181</v>
      </c>
      <c r="D188" t="inlineStr">
        <is>
          <t>GÄVLEBORGS LÄN</t>
        </is>
      </c>
      <c r="E188" t="inlineStr">
        <is>
          <t>LJUSDAL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643-2019</t>
        </is>
      </c>
      <c r="B189" s="1" t="n">
        <v>43455</v>
      </c>
      <c r="C189" s="1" t="n">
        <v>45181</v>
      </c>
      <c r="D189" t="inlineStr">
        <is>
          <t>GÄVLEBORGS LÄN</t>
        </is>
      </c>
      <c r="E189" t="inlineStr">
        <is>
          <t>LJUSDAL</t>
        </is>
      </c>
      <c r="F189" t="inlineStr">
        <is>
          <t>Sveaskog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72126-2018</t>
        </is>
      </c>
      <c r="B190" s="1" t="n">
        <v>43455</v>
      </c>
      <c r="C190" s="1" t="n">
        <v>45181</v>
      </c>
      <c r="D190" t="inlineStr">
        <is>
          <t>GÄVLEBORGS LÄN</t>
        </is>
      </c>
      <c r="E190" t="inlineStr">
        <is>
          <t>LJUSDAL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422-2019</t>
        </is>
      </c>
      <c r="B191" s="1" t="n">
        <v>43468</v>
      </c>
      <c r="C191" s="1" t="n">
        <v>45181</v>
      </c>
      <c r="D191" t="inlineStr">
        <is>
          <t>GÄVLEBORGS LÄN</t>
        </is>
      </c>
      <c r="E191" t="inlineStr">
        <is>
          <t>LJUSDAL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496-2019</t>
        </is>
      </c>
      <c r="B192" s="1" t="n">
        <v>43469</v>
      </c>
      <c r="C192" s="1" t="n">
        <v>45181</v>
      </c>
      <c r="D192" t="inlineStr">
        <is>
          <t>GÄVLEBORGS LÄN</t>
        </is>
      </c>
      <c r="E192" t="inlineStr">
        <is>
          <t>LJUSDAL</t>
        </is>
      </c>
      <c r="G192" t="n">
        <v>3.4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927-2019</t>
        </is>
      </c>
      <c r="B193" s="1" t="n">
        <v>43472</v>
      </c>
      <c r="C193" s="1" t="n">
        <v>45181</v>
      </c>
      <c r="D193" t="inlineStr">
        <is>
          <t>GÄVLEBORGS LÄN</t>
        </is>
      </c>
      <c r="E193" t="inlineStr">
        <is>
          <t>LJUSDAL</t>
        </is>
      </c>
      <c r="G193" t="n">
        <v>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869-2019</t>
        </is>
      </c>
      <c r="B194" s="1" t="n">
        <v>43472</v>
      </c>
      <c r="C194" s="1" t="n">
        <v>45181</v>
      </c>
      <c r="D194" t="inlineStr">
        <is>
          <t>GÄVLEBORGS LÄN</t>
        </is>
      </c>
      <c r="E194" t="inlineStr">
        <is>
          <t>LJUSDAL</t>
        </is>
      </c>
      <c r="F194" t="inlineStr">
        <is>
          <t>Bergvik skog väst AB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874-2019</t>
        </is>
      </c>
      <c r="B195" s="1" t="n">
        <v>43472</v>
      </c>
      <c r="C195" s="1" t="n">
        <v>45181</v>
      </c>
      <c r="D195" t="inlineStr">
        <is>
          <t>GÄVLEBORGS LÄN</t>
        </is>
      </c>
      <c r="E195" t="inlineStr">
        <is>
          <t>LJUSDAL</t>
        </is>
      </c>
      <c r="F195" t="inlineStr">
        <is>
          <t>Bergvik skog väst AB</t>
        </is>
      </c>
      <c r="G195" t="n">
        <v>0.1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1744-2019</t>
        </is>
      </c>
      <c r="B196" s="1" t="n">
        <v>43474</v>
      </c>
      <c r="C196" s="1" t="n">
        <v>45181</v>
      </c>
      <c r="D196" t="inlineStr">
        <is>
          <t>GÄVLEBORGS LÄN</t>
        </is>
      </c>
      <c r="E196" t="inlineStr">
        <is>
          <t>LJUSDAL</t>
        </is>
      </c>
      <c r="F196" t="inlineStr">
        <is>
          <t>Bergvik skog väst AB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3655-2019</t>
        </is>
      </c>
      <c r="B197" s="1" t="n">
        <v>43481</v>
      </c>
      <c r="C197" s="1" t="n">
        <v>45181</v>
      </c>
      <c r="D197" t="inlineStr">
        <is>
          <t>GÄVLEBORGS LÄN</t>
        </is>
      </c>
      <c r="E197" t="inlineStr">
        <is>
          <t>LJUSDAL</t>
        </is>
      </c>
      <c r="G197" t="n">
        <v>16.5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4222-2019</t>
        </is>
      </c>
      <c r="B198" s="1" t="n">
        <v>43483</v>
      </c>
      <c r="C198" s="1" t="n">
        <v>45181</v>
      </c>
      <c r="D198" t="inlineStr">
        <is>
          <t>GÄVLEBORGS LÄN</t>
        </is>
      </c>
      <c r="E198" t="inlineStr">
        <is>
          <t>LJUSDAL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4556-2019</t>
        </is>
      </c>
      <c r="B199" s="1" t="n">
        <v>43486</v>
      </c>
      <c r="C199" s="1" t="n">
        <v>45181</v>
      </c>
      <c r="D199" t="inlineStr">
        <is>
          <t>GÄVLEBORGS LÄN</t>
        </is>
      </c>
      <c r="E199" t="inlineStr">
        <is>
          <t>LJUSDAL</t>
        </is>
      </c>
      <c r="F199" t="inlineStr">
        <is>
          <t>Kyrkan</t>
        </is>
      </c>
      <c r="G199" t="n">
        <v>17.3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5057-2019</t>
        </is>
      </c>
      <c r="B200" s="1" t="n">
        <v>43487</v>
      </c>
      <c r="C200" s="1" t="n">
        <v>45181</v>
      </c>
      <c r="D200" t="inlineStr">
        <is>
          <t>GÄVLEBORGS LÄN</t>
        </is>
      </c>
      <c r="E200" t="inlineStr">
        <is>
          <t>LJUSDAL</t>
        </is>
      </c>
      <c r="G200" t="n">
        <v>12.1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7093-2019</t>
        </is>
      </c>
      <c r="B201" s="1" t="n">
        <v>43489</v>
      </c>
      <c r="C201" s="1" t="n">
        <v>45181</v>
      </c>
      <c r="D201" t="inlineStr">
        <is>
          <t>GÄVLEBORGS LÄN</t>
        </is>
      </c>
      <c r="E201" t="inlineStr">
        <is>
          <t>LJUSDAL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5777-2019</t>
        </is>
      </c>
      <c r="B202" s="1" t="n">
        <v>43490</v>
      </c>
      <c r="C202" s="1" t="n">
        <v>45181</v>
      </c>
      <c r="D202" t="inlineStr">
        <is>
          <t>GÄVLEBORGS LÄN</t>
        </is>
      </c>
      <c r="E202" t="inlineStr">
        <is>
          <t>LJUSDAL</t>
        </is>
      </c>
      <c r="F202" t="inlineStr">
        <is>
          <t>Bergvik skog väst AB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6119-2019</t>
        </is>
      </c>
      <c r="B203" s="1" t="n">
        <v>43493</v>
      </c>
      <c r="C203" s="1" t="n">
        <v>45181</v>
      </c>
      <c r="D203" t="inlineStr">
        <is>
          <t>GÄVLEBORGS LÄN</t>
        </is>
      </c>
      <c r="E203" t="inlineStr">
        <is>
          <t>LJUSDAL</t>
        </is>
      </c>
      <c r="G203" t="n">
        <v>23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7375-2019</t>
        </is>
      </c>
      <c r="B204" s="1" t="n">
        <v>43497</v>
      </c>
      <c r="C204" s="1" t="n">
        <v>45181</v>
      </c>
      <c r="D204" t="inlineStr">
        <is>
          <t>GÄVLEBORGS LÄN</t>
        </is>
      </c>
      <c r="E204" t="inlineStr">
        <is>
          <t>LJUSDAL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8005-2019</t>
        </is>
      </c>
      <c r="B205" s="1" t="n">
        <v>43501</v>
      </c>
      <c r="C205" s="1" t="n">
        <v>45181</v>
      </c>
      <c r="D205" t="inlineStr">
        <is>
          <t>GÄVLEBORGS LÄN</t>
        </is>
      </c>
      <c r="E205" t="inlineStr">
        <is>
          <t>LJUSDAL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9629-2019</t>
        </is>
      </c>
      <c r="B206" s="1" t="n">
        <v>43508</v>
      </c>
      <c r="C206" s="1" t="n">
        <v>45181</v>
      </c>
      <c r="D206" t="inlineStr">
        <is>
          <t>GÄVLEBORGS LÄN</t>
        </is>
      </c>
      <c r="E206" t="inlineStr">
        <is>
          <t>LJUSDAL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9646-2019</t>
        </is>
      </c>
      <c r="B207" s="1" t="n">
        <v>43508</v>
      </c>
      <c r="C207" s="1" t="n">
        <v>45181</v>
      </c>
      <c r="D207" t="inlineStr">
        <is>
          <t>GÄVLEBORGS LÄN</t>
        </is>
      </c>
      <c r="E207" t="inlineStr">
        <is>
          <t>LJUSDAL</t>
        </is>
      </c>
      <c r="G207" t="n">
        <v>15.8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10086-2019</t>
        </is>
      </c>
      <c r="B208" s="1" t="n">
        <v>43510</v>
      </c>
      <c r="C208" s="1" t="n">
        <v>45181</v>
      </c>
      <c r="D208" t="inlineStr">
        <is>
          <t>GÄVLEBORGS LÄN</t>
        </is>
      </c>
      <c r="E208" t="inlineStr">
        <is>
          <t>LJUSDAL</t>
        </is>
      </c>
      <c r="G208" t="n">
        <v>12.2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10088-2019</t>
        </is>
      </c>
      <c r="B209" s="1" t="n">
        <v>43510</v>
      </c>
      <c r="C209" s="1" t="n">
        <v>45181</v>
      </c>
      <c r="D209" t="inlineStr">
        <is>
          <t>GÄVLEBORGS LÄN</t>
        </is>
      </c>
      <c r="E209" t="inlineStr">
        <is>
          <t>LJUSDAL</t>
        </is>
      </c>
      <c r="G209" t="n">
        <v>2.4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10782-2019</t>
        </is>
      </c>
      <c r="B210" s="1" t="n">
        <v>43514</v>
      </c>
      <c r="C210" s="1" t="n">
        <v>45181</v>
      </c>
      <c r="D210" t="inlineStr">
        <is>
          <t>GÄVLEBORGS LÄN</t>
        </is>
      </c>
      <c r="E210" t="inlineStr">
        <is>
          <t>LJUSDAL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10785-2019</t>
        </is>
      </c>
      <c r="B211" s="1" t="n">
        <v>43514</v>
      </c>
      <c r="C211" s="1" t="n">
        <v>45181</v>
      </c>
      <c r="D211" t="inlineStr">
        <is>
          <t>GÄVLEBORGS LÄN</t>
        </is>
      </c>
      <c r="E211" t="inlineStr">
        <is>
          <t>LJUSDAL</t>
        </is>
      </c>
      <c r="G211" t="n">
        <v>5.8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11045-2019</t>
        </is>
      </c>
      <c r="B212" s="1" t="n">
        <v>43515</v>
      </c>
      <c r="C212" s="1" t="n">
        <v>45181</v>
      </c>
      <c r="D212" t="inlineStr">
        <is>
          <t>GÄVLEBORGS LÄN</t>
        </is>
      </c>
      <c r="E212" t="inlineStr">
        <is>
          <t>LJUSDAL</t>
        </is>
      </c>
      <c r="F212" t="inlineStr">
        <is>
          <t>Kommuner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11212-2019</t>
        </is>
      </c>
      <c r="B213" s="1" t="n">
        <v>43516</v>
      </c>
      <c r="C213" s="1" t="n">
        <v>45181</v>
      </c>
      <c r="D213" t="inlineStr">
        <is>
          <t>GÄVLEBORGS LÄN</t>
        </is>
      </c>
      <c r="E213" t="inlineStr">
        <is>
          <t>LJUSDAL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11216-2019</t>
        </is>
      </c>
      <c r="B214" s="1" t="n">
        <v>43516</v>
      </c>
      <c r="C214" s="1" t="n">
        <v>45181</v>
      </c>
      <c r="D214" t="inlineStr">
        <is>
          <t>GÄVLEBORGS LÄN</t>
        </is>
      </c>
      <c r="E214" t="inlineStr">
        <is>
          <t>LJUSDAL</t>
        </is>
      </c>
      <c r="G214" t="n">
        <v>8.6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11363-2019</t>
        </is>
      </c>
      <c r="B215" s="1" t="n">
        <v>43517</v>
      </c>
      <c r="C215" s="1" t="n">
        <v>45181</v>
      </c>
      <c r="D215" t="inlineStr">
        <is>
          <t>GÄVLEBORGS LÄN</t>
        </is>
      </c>
      <c r="E215" t="inlineStr">
        <is>
          <t>LJUSDAL</t>
        </is>
      </c>
      <c r="G215" t="n">
        <v>8.1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11359-2019</t>
        </is>
      </c>
      <c r="B216" s="1" t="n">
        <v>43517</v>
      </c>
      <c r="C216" s="1" t="n">
        <v>45181</v>
      </c>
      <c r="D216" t="inlineStr">
        <is>
          <t>GÄVLEBORGS LÄN</t>
        </is>
      </c>
      <c r="E216" t="inlineStr">
        <is>
          <t>LJUSDAL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11908-2019</t>
        </is>
      </c>
      <c r="B217" s="1" t="n">
        <v>43521</v>
      </c>
      <c r="C217" s="1" t="n">
        <v>45181</v>
      </c>
      <c r="D217" t="inlineStr">
        <is>
          <t>GÄVLEBORGS LÄN</t>
        </is>
      </c>
      <c r="E217" t="inlineStr">
        <is>
          <t>LJUSDAL</t>
        </is>
      </c>
      <c r="G217" t="n">
        <v>6.6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11988-2019</t>
        </is>
      </c>
      <c r="B218" s="1" t="n">
        <v>43521</v>
      </c>
      <c r="C218" s="1" t="n">
        <v>45181</v>
      </c>
      <c r="D218" t="inlineStr">
        <is>
          <t>GÄVLEBORGS LÄN</t>
        </is>
      </c>
      <c r="E218" t="inlineStr">
        <is>
          <t>LJUSDAL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12676-2019</t>
        </is>
      </c>
      <c r="B219" s="1" t="n">
        <v>43524</v>
      </c>
      <c r="C219" s="1" t="n">
        <v>45181</v>
      </c>
      <c r="D219" t="inlineStr">
        <is>
          <t>GÄVLEBORGS LÄN</t>
        </is>
      </c>
      <c r="E219" t="inlineStr">
        <is>
          <t>LJUSDAL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12669-2019</t>
        </is>
      </c>
      <c r="B220" s="1" t="n">
        <v>43524</v>
      </c>
      <c r="C220" s="1" t="n">
        <v>45181</v>
      </c>
      <c r="D220" t="inlineStr">
        <is>
          <t>GÄVLEBORGS LÄN</t>
        </is>
      </c>
      <c r="E220" t="inlineStr">
        <is>
          <t>LJUSDAL</t>
        </is>
      </c>
      <c r="G220" t="n">
        <v>3.2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12559-2019</t>
        </is>
      </c>
      <c r="B221" s="1" t="n">
        <v>43524</v>
      </c>
      <c r="C221" s="1" t="n">
        <v>45181</v>
      </c>
      <c r="D221" t="inlineStr">
        <is>
          <t>GÄVLEBORGS LÄN</t>
        </is>
      </c>
      <c r="E221" t="inlineStr">
        <is>
          <t>LJUSDAL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12778-2019</t>
        </is>
      </c>
      <c r="B222" s="1" t="n">
        <v>43525</v>
      </c>
      <c r="C222" s="1" t="n">
        <v>45181</v>
      </c>
      <c r="D222" t="inlineStr">
        <is>
          <t>GÄVLEBORGS LÄN</t>
        </is>
      </c>
      <c r="E222" t="inlineStr">
        <is>
          <t>LJUSDAL</t>
        </is>
      </c>
      <c r="G222" t="n">
        <v>10.6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12779-2019</t>
        </is>
      </c>
      <c r="B223" s="1" t="n">
        <v>43525</v>
      </c>
      <c r="C223" s="1" t="n">
        <v>45181</v>
      </c>
      <c r="D223" t="inlineStr">
        <is>
          <t>GÄVLEBORGS LÄN</t>
        </is>
      </c>
      <c r="E223" t="inlineStr">
        <is>
          <t>LJUSDAL</t>
        </is>
      </c>
      <c r="G223" t="n">
        <v>7.9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13125-2019</t>
        </is>
      </c>
      <c r="B224" s="1" t="n">
        <v>43528</v>
      </c>
      <c r="C224" s="1" t="n">
        <v>45181</v>
      </c>
      <c r="D224" t="inlineStr">
        <is>
          <t>GÄVLEBORGS LÄN</t>
        </is>
      </c>
      <c r="E224" t="inlineStr">
        <is>
          <t>LJUSDAL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14285-2019</t>
        </is>
      </c>
      <c r="B225" s="1" t="n">
        <v>43535</v>
      </c>
      <c r="C225" s="1" t="n">
        <v>45181</v>
      </c>
      <c r="D225" t="inlineStr">
        <is>
          <t>GÄVLEBORGS LÄN</t>
        </is>
      </c>
      <c r="E225" t="inlineStr">
        <is>
          <t>LJUSDAL</t>
        </is>
      </c>
      <c r="G225" t="n">
        <v>0.1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14226-2019</t>
        </is>
      </c>
      <c r="B226" s="1" t="n">
        <v>43536</v>
      </c>
      <c r="C226" s="1" t="n">
        <v>45181</v>
      </c>
      <c r="D226" t="inlineStr">
        <is>
          <t>GÄVLEBORGS LÄN</t>
        </is>
      </c>
      <c r="E226" t="inlineStr">
        <is>
          <t>LJUSDAL</t>
        </is>
      </c>
      <c r="G226" t="n">
        <v>5.1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15284-2019</t>
        </is>
      </c>
      <c r="B227" s="1" t="n">
        <v>43542</v>
      </c>
      <c r="C227" s="1" t="n">
        <v>45181</v>
      </c>
      <c r="D227" t="inlineStr">
        <is>
          <t>GÄVLEBORGS LÄN</t>
        </is>
      </c>
      <c r="E227" t="inlineStr">
        <is>
          <t>LJUSDAL</t>
        </is>
      </c>
      <c r="G227" t="n">
        <v>0.1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16669-2019</t>
        </is>
      </c>
      <c r="B228" s="1" t="n">
        <v>43549</v>
      </c>
      <c r="C228" s="1" t="n">
        <v>45181</v>
      </c>
      <c r="D228" t="inlineStr">
        <is>
          <t>GÄVLEBORGS LÄN</t>
        </is>
      </c>
      <c r="E228" t="inlineStr">
        <is>
          <t>LJUSDAL</t>
        </is>
      </c>
      <c r="G228" t="n">
        <v>16.3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16677-2019</t>
        </is>
      </c>
      <c r="B229" s="1" t="n">
        <v>43549</v>
      </c>
      <c r="C229" s="1" t="n">
        <v>45181</v>
      </c>
      <c r="D229" t="inlineStr">
        <is>
          <t>GÄVLEBORGS LÄN</t>
        </is>
      </c>
      <c r="E229" t="inlineStr">
        <is>
          <t>LJUSDAL</t>
        </is>
      </c>
      <c r="G229" t="n">
        <v>12.9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16957-2019</t>
        </is>
      </c>
      <c r="B230" s="1" t="n">
        <v>43550</v>
      </c>
      <c r="C230" s="1" t="n">
        <v>45181</v>
      </c>
      <c r="D230" t="inlineStr">
        <is>
          <t>GÄVLEBORGS LÄN</t>
        </is>
      </c>
      <c r="E230" t="inlineStr">
        <is>
          <t>LJUSDAL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17312-2019</t>
        </is>
      </c>
      <c r="B231" s="1" t="n">
        <v>43552</v>
      </c>
      <c r="C231" s="1" t="n">
        <v>45181</v>
      </c>
      <c r="D231" t="inlineStr">
        <is>
          <t>GÄVLEBORGS LÄN</t>
        </is>
      </c>
      <c r="E231" t="inlineStr">
        <is>
          <t>LJUSDAL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17298-2019</t>
        </is>
      </c>
      <c r="B232" s="1" t="n">
        <v>43552</v>
      </c>
      <c r="C232" s="1" t="n">
        <v>45181</v>
      </c>
      <c r="D232" t="inlineStr">
        <is>
          <t>GÄVLEBORGS LÄN</t>
        </is>
      </c>
      <c r="E232" t="inlineStr">
        <is>
          <t>LJUSDAL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17300-2019</t>
        </is>
      </c>
      <c r="B233" s="1" t="n">
        <v>43552</v>
      </c>
      <c r="C233" s="1" t="n">
        <v>45181</v>
      </c>
      <c r="D233" t="inlineStr">
        <is>
          <t>GÄVLEBORGS LÄN</t>
        </is>
      </c>
      <c r="E233" t="inlineStr">
        <is>
          <t>LJUSDAL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17979-2019</t>
        </is>
      </c>
      <c r="B234" s="1" t="n">
        <v>43557</v>
      </c>
      <c r="C234" s="1" t="n">
        <v>45181</v>
      </c>
      <c r="D234" t="inlineStr">
        <is>
          <t>GÄVLEBORGS LÄN</t>
        </is>
      </c>
      <c r="E234" t="inlineStr">
        <is>
          <t>LJUSDAL</t>
        </is>
      </c>
      <c r="G234" t="n">
        <v>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18020-2019</t>
        </is>
      </c>
      <c r="B235" s="1" t="n">
        <v>43557</v>
      </c>
      <c r="C235" s="1" t="n">
        <v>45181</v>
      </c>
      <c r="D235" t="inlineStr">
        <is>
          <t>GÄVLEBORGS LÄN</t>
        </is>
      </c>
      <c r="E235" t="inlineStr">
        <is>
          <t>LJUSDAL</t>
        </is>
      </c>
      <c r="F235" t="inlineStr">
        <is>
          <t>Kyrkan</t>
        </is>
      </c>
      <c r="G235" t="n">
        <v>43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21091-2019</t>
        </is>
      </c>
      <c r="B236" s="1" t="n">
        <v>43578</v>
      </c>
      <c r="C236" s="1" t="n">
        <v>45181</v>
      </c>
      <c r="D236" t="inlineStr">
        <is>
          <t>GÄVLEBORGS LÄN</t>
        </is>
      </c>
      <c r="E236" t="inlineStr">
        <is>
          <t>LJUSDAL</t>
        </is>
      </c>
      <c r="G236" t="n">
        <v>14.8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  <c r="U236">
        <f>HYPERLINK("https://klasma.github.io/Logging_LJUSDAL/knärot/A 21091-2019.png")</f>
        <v/>
      </c>
      <c r="V236">
        <f>HYPERLINK("https://klasma.github.io/Logging_LJUSDAL/klagomål/A 21091-2019.docx")</f>
        <v/>
      </c>
      <c r="W236">
        <f>HYPERLINK("https://klasma.github.io/Logging_LJUSDAL/klagomålsmail/A 21091-2019.docx")</f>
        <v/>
      </c>
      <c r="X236">
        <f>HYPERLINK("https://klasma.github.io/Logging_LJUSDAL/tillsyn/A 21091-2019.docx")</f>
        <v/>
      </c>
      <c r="Y236">
        <f>HYPERLINK("https://klasma.github.io/Logging_LJUSDAL/tillsynsmail/A 21091-2019.docx")</f>
        <v/>
      </c>
    </row>
    <row r="237" ht="15" customHeight="1">
      <c r="A237" t="inlineStr">
        <is>
          <t>A 21761-2019</t>
        </is>
      </c>
      <c r="B237" s="1" t="n">
        <v>43581</v>
      </c>
      <c r="C237" s="1" t="n">
        <v>45181</v>
      </c>
      <c r="D237" t="inlineStr">
        <is>
          <t>GÄVLEBORGS LÄN</t>
        </is>
      </c>
      <c r="E237" t="inlineStr">
        <is>
          <t>LJUSDAL</t>
        </is>
      </c>
      <c r="F237" t="inlineStr">
        <is>
          <t>Holmen skog AB</t>
        </is>
      </c>
      <c r="G237" t="n">
        <v>6.8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21836-2019</t>
        </is>
      </c>
      <c r="B238" s="1" t="n">
        <v>43584</v>
      </c>
      <c r="C238" s="1" t="n">
        <v>45181</v>
      </c>
      <c r="D238" t="inlineStr">
        <is>
          <t>GÄVLEBORGS LÄN</t>
        </is>
      </c>
      <c r="E238" t="inlineStr">
        <is>
          <t>LJUSDAL</t>
        </is>
      </c>
      <c r="F238" t="inlineStr">
        <is>
          <t>Sveaskog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24505-2019</t>
        </is>
      </c>
      <c r="B239" s="1" t="n">
        <v>43600</v>
      </c>
      <c r="C239" s="1" t="n">
        <v>45181</v>
      </c>
      <c r="D239" t="inlineStr">
        <is>
          <t>GÄVLEBORGS LÄN</t>
        </is>
      </c>
      <c r="E239" t="inlineStr">
        <is>
          <t>LJUSDAL</t>
        </is>
      </c>
      <c r="F239" t="inlineStr">
        <is>
          <t>Kyrkan</t>
        </is>
      </c>
      <c r="G239" t="n">
        <v>43.9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24504-2019</t>
        </is>
      </c>
      <c r="B240" s="1" t="n">
        <v>43600</v>
      </c>
      <c r="C240" s="1" t="n">
        <v>45181</v>
      </c>
      <c r="D240" t="inlineStr">
        <is>
          <t>GÄVLEBORGS LÄN</t>
        </is>
      </c>
      <c r="E240" t="inlineStr">
        <is>
          <t>LJUSDAL</t>
        </is>
      </c>
      <c r="F240" t="inlineStr">
        <is>
          <t>Kyrkan</t>
        </is>
      </c>
      <c r="G240" t="n">
        <v>43.9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24715-2019</t>
        </is>
      </c>
      <c r="B241" s="1" t="n">
        <v>43601</v>
      </c>
      <c r="C241" s="1" t="n">
        <v>45181</v>
      </c>
      <c r="D241" t="inlineStr">
        <is>
          <t>GÄVLEBORGS LÄN</t>
        </is>
      </c>
      <c r="E241" t="inlineStr">
        <is>
          <t>LJUSDAL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24728-2019</t>
        </is>
      </c>
      <c r="B242" s="1" t="n">
        <v>43601</v>
      </c>
      <c r="C242" s="1" t="n">
        <v>45181</v>
      </c>
      <c r="D242" t="inlineStr">
        <is>
          <t>GÄVLEBORGS LÄN</t>
        </is>
      </c>
      <c r="E242" t="inlineStr">
        <is>
          <t>LJUSDAL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26079-2019</t>
        </is>
      </c>
      <c r="B243" s="1" t="n">
        <v>43605</v>
      </c>
      <c r="C243" s="1" t="n">
        <v>45181</v>
      </c>
      <c r="D243" t="inlineStr">
        <is>
          <t>GÄVLEBORGS LÄN</t>
        </is>
      </c>
      <c r="E243" t="inlineStr">
        <is>
          <t>LJUSDAL</t>
        </is>
      </c>
      <c r="G243" t="n">
        <v>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25597-2019</t>
        </is>
      </c>
      <c r="B244" s="1" t="n">
        <v>43607</v>
      </c>
      <c r="C244" s="1" t="n">
        <v>45181</v>
      </c>
      <c r="D244" t="inlineStr">
        <is>
          <t>GÄVLEBORGS LÄN</t>
        </is>
      </c>
      <c r="E244" t="inlineStr">
        <is>
          <t>LJUSDAL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26451-2019</t>
        </is>
      </c>
      <c r="B245" s="1" t="n">
        <v>43612</v>
      </c>
      <c r="C245" s="1" t="n">
        <v>45181</v>
      </c>
      <c r="D245" t="inlineStr">
        <is>
          <t>GÄVLEBORGS LÄN</t>
        </is>
      </c>
      <c r="E245" t="inlineStr">
        <is>
          <t>LJUSDAL</t>
        </is>
      </c>
      <c r="F245" t="inlineStr">
        <is>
          <t>Sveaskog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26840-2019</t>
        </is>
      </c>
      <c r="B246" s="1" t="n">
        <v>43613</v>
      </c>
      <c r="C246" s="1" t="n">
        <v>45181</v>
      </c>
      <c r="D246" t="inlineStr">
        <is>
          <t>GÄVLEBORGS LÄN</t>
        </is>
      </c>
      <c r="E246" t="inlineStr">
        <is>
          <t>LJUSDAL</t>
        </is>
      </c>
      <c r="F246" t="inlineStr">
        <is>
          <t>Bergvik skog väst AB</t>
        </is>
      </c>
      <c r="G246" t="n">
        <v>13.8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27298-2019</t>
        </is>
      </c>
      <c r="B247" s="1" t="n">
        <v>43616</v>
      </c>
      <c r="C247" s="1" t="n">
        <v>45181</v>
      </c>
      <c r="D247" t="inlineStr">
        <is>
          <t>GÄVLEBORGS LÄN</t>
        </is>
      </c>
      <c r="E247" t="inlineStr">
        <is>
          <t>LJUSDAL</t>
        </is>
      </c>
      <c r="F247" t="inlineStr">
        <is>
          <t>Bergvik skog väst AB</t>
        </is>
      </c>
      <c r="G247" t="n">
        <v>6.9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27477-2019</t>
        </is>
      </c>
      <c r="B248" s="1" t="n">
        <v>43619</v>
      </c>
      <c r="C248" s="1" t="n">
        <v>45181</v>
      </c>
      <c r="D248" t="inlineStr">
        <is>
          <t>GÄVLEBORGS LÄN</t>
        </is>
      </c>
      <c r="E248" t="inlineStr">
        <is>
          <t>LJUSDAL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27493-2019</t>
        </is>
      </c>
      <c r="B249" s="1" t="n">
        <v>43619</v>
      </c>
      <c r="C249" s="1" t="n">
        <v>45181</v>
      </c>
      <c r="D249" t="inlineStr">
        <is>
          <t>GÄVLEBORGS LÄN</t>
        </is>
      </c>
      <c r="E249" t="inlineStr">
        <is>
          <t>LJUSDAL</t>
        </is>
      </c>
      <c r="F249" t="inlineStr">
        <is>
          <t>Bergvik skog väst AB</t>
        </is>
      </c>
      <c r="G249" t="n">
        <v>33.6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27506-2019</t>
        </is>
      </c>
      <c r="B250" s="1" t="n">
        <v>43619</v>
      </c>
      <c r="C250" s="1" t="n">
        <v>45181</v>
      </c>
      <c r="D250" t="inlineStr">
        <is>
          <t>GÄVLEBORGS LÄN</t>
        </is>
      </c>
      <c r="E250" t="inlineStr">
        <is>
          <t>LJUSDAL</t>
        </is>
      </c>
      <c r="F250" t="inlineStr">
        <is>
          <t>Holmen skog AB</t>
        </is>
      </c>
      <c r="G250" t="n">
        <v>25.6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27558-2019</t>
        </is>
      </c>
      <c r="B251" s="1" t="n">
        <v>43619</v>
      </c>
      <c r="C251" s="1" t="n">
        <v>45181</v>
      </c>
      <c r="D251" t="inlineStr">
        <is>
          <t>GÄVLEBORGS LÄN</t>
        </is>
      </c>
      <c r="E251" t="inlineStr">
        <is>
          <t>LJUSDAL</t>
        </is>
      </c>
      <c r="F251" t="inlineStr">
        <is>
          <t>Bergvik skog väst AB</t>
        </is>
      </c>
      <c r="G251" t="n">
        <v>12.9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27640-2019</t>
        </is>
      </c>
      <c r="B252" s="1" t="n">
        <v>43619</v>
      </c>
      <c r="C252" s="1" t="n">
        <v>45181</v>
      </c>
      <c r="D252" t="inlineStr">
        <is>
          <t>GÄVLEBORGS LÄN</t>
        </is>
      </c>
      <c r="E252" t="inlineStr">
        <is>
          <t>LJUSDAL</t>
        </is>
      </c>
      <c r="F252" t="inlineStr">
        <is>
          <t>Bergvik skog väst AB</t>
        </is>
      </c>
      <c r="G252" t="n">
        <v>34.8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27784-2019</t>
        </is>
      </c>
      <c r="B253" s="1" t="n">
        <v>43620</v>
      </c>
      <c r="C253" s="1" t="n">
        <v>45181</v>
      </c>
      <c r="D253" t="inlineStr">
        <is>
          <t>GÄVLEBORGS LÄN</t>
        </is>
      </c>
      <c r="E253" t="inlineStr">
        <is>
          <t>LJUSDAL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29044-2019</t>
        </is>
      </c>
      <c r="B254" s="1" t="n">
        <v>43628</v>
      </c>
      <c r="C254" s="1" t="n">
        <v>45181</v>
      </c>
      <c r="D254" t="inlineStr">
        <is>
          <t>GÄVLEBORGS LÄN</t>
        </is>
      </c>
      <c r="E254" t="inlineStr">
        <is>
          <t>LJUSDAL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29660-2019</t>
        </is>
      </c>
      <c r="B255" s="1" t="n">
        <v>43628</v>
      </c>
      <c r="C255" s="1" t="n">
        <v>45181</v>
      </c>
      <c r="D255" t="inlineStr">
        <is>
          <t>GÄVLEBORGS LÄN</t>
        </is>
      </c>
      <c r="E255" t="inlineStr">
        <is>
          <t>LJUSDAL</t>
        </is>
      </c>
      <c r="F255" t="inlineStr">
        <is>
          <t>Holmen skog AB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28875-2019</t>
        </is>
      </c>
      <c r="B256" s="1" t="n">
        <v>43628</v>
      </c>
      <c r="C256" s="1" t="n">
        <v>45181</v>
      </c>
      <c r="D256" t="inlineStr">
        <is>
          <t>GÄVLEBORGS LÄN</t>
        </is>
      </c>
      <c r="E256" t="inlineStr">
        <is>
          <t>LJUSDAL</t>
        </is>
      </c>
      <c r="F256" t="inlineStr">
        <is>
          <t>Sveaskog</t>
        </is>
      </c>
      <c r="G256" t="n">
        <v>5.8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29267-2019</t>
        </is>
      </c>
      <c r="B257" s="1" t="n">
        <v>43629</v>
      </c>
      <c r="C257" s="1" t="n">
        <v>45181</v>
      </c>
      <c r="D257" t="inlineStr">
        <is>
          <t>GÄVLEBORGS LÄN</t>
        </is>
      </c>
      <c r="E257" t="inlineStr">
        <is>
          <t>LJUSDAL</t>
        </is>
      </c>
      <c r="G257" t="n">
        <v>4.7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29414-2019</t>
        </is>
      </c>
      <c r="B258" s="1" t="n">
        <v>43629</v>
      </c>
      <c r="C258" s="1" t="n">
        <v>45181</v>
      </c>
      <c r="D258" t="inlineStr">
        <is>
          <t>GÄVLEBORGS LÄN</t>
        </is>
      </c>
      <c r="E258" t="inlineStr">
        <is>
          <t>LJUSDAL</t>
        </is>
      </c>
      <c r="F258" t="inlineStr">
        <is>
          <t>Holmen skog AB</t>
        </is>
      </c>
      <c r="G258" t="n">
        <v>3.5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29559-2019</t>
        </is>
      </c>
      <c r="B259" s="1" t="n">
        <v>43630</v>
      </c>
      <c r="C259" s="1" t="n">
        <v>45181</v>
      </c>
      <c r="D259" t="inlineStr">
        <is>
          <t>GÄVLEBORGS LÄN</t>
        </is>
      </c>
      <c r="E259" t="inlineStr">
        <is>
          <t>LJUSDAL</t>
        </is>
      </c>
      <c r="F259" t="inlineStr">
        <is>
          <t>Bergvik skog väst AB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29590-2019</t>
        </is>
      </c>
      <c r="B260" s="1" t="n">
        <v>43630</v>
      </c>
      <c r="C260" s="1" t="n">
        <v>45181</v>
      </c>
      <c r="D260" t="inlineStr">
        <is>
          <t>GÄVLEBORGS LÄN</t>
        </is>
      </c>
      <c r="E260" t="inlineStr">
        <is>
          <t>LJUSDAL</t>
        </is>
      </c>
      <c r="F260" t="inlineStr">
        <is>
          <t>Bergvik skog väst AB</t>
        </is>
      </c>
      <c r="G260" t="n">
        <v>2.1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30729-2019</t>
        </is>
      </c>
      <c r="B261" s="1" t="n">
        <v>43636</v>
      </c>
      <c r="C261" s="1" t="n">
        <v>45181</v>
      </c>
      <c r="D261" t="inlineStr">
        <is>
          <t>GÄVLEBORGS LÄN</t>
        </is>
      </c>
      <c r="E261" t="inlineStr">
        <is>
          <t>LJUSDAL</t>
        </is>
      </c>
      <c r="F261" t="inlineStr">
        <is>
          <t>Sveaskog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30727-2019</t>
        </is>
      </c>
      <c r="B262" s="1" t="n">
        <v>43636</v>
      </c>
      <c r="C262" s="1" t="n">
        <v>45181</v>
      </c>
      <c r="D262" t="inlineStr">
        <is>
          <t>GÄVLEBORGS LÄN</t>
        </is>
      </c>
      <c r="E262" t="inlineStr">
        <is>
          <t>LJUSDAL</t>
        </is>
      </c>
      <c r="F262" t="inlineStr">
        <is>
          <t>Sveaskog</t>
        </is>
      </c>
      <c r="G262" t="n">
        <v>9.699999999999999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31812-2019</t>
        </is>
      </c>
      <c r="B263" s="1" t="n">
        <v>43641</v>
      </c>
      <c r="C263" s="1" t="n">
        <v>45181</v>
      </c>
      <c r="D263" t="inlineStr">
        <is>
          <t>GÄVLEBORGS LÄN</t>
        </is>
      </c>
      <c r="E263" t="inlineStr">
        <is>
          <t>LJUSDAL</t>
        </is>
      </c>
      <c r="G263" t="n">
        <v>6.6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31843-2019</t>
        </is>
      </c>
      <c r="B264" s="1" t="n">
        <v>43642</v>
      </c>
      <c r="C264" s="1" t="n">
        <v>45181</v>
      </c>
      <c r="D264" t="inlineStr">
        <is>
          <t>GÄVLEBORGS LÄN</t>
        </is>
      </c>
      <c r="E264" t="inlineStr">
        <is>
          <t>LJUSDAL</t>
        </is>
      </c>
      <c r="F264" t="inlineStr">
        <is>
          <t>Holmen skog AB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31769-2019</t>
        </is>
      </c>
      <c r="B265" s="1" t="n">
        <v>43642</v>
      </c>
      <c r="C265" s="1" t="n">
        <v>45181</v>
      </c>
      <c r="D265" t="inlineStr">
        <is>
          <t>GÄVLEBORGS LÄN</t>
        </is>
      </c>
      <c r="E265" t="inlineStr">
        <is>
          <t>LJUSDAL</t>
        </is>
      </c>
      <c r="F265" t="inlineStr">
        <is>
          <t>Holmen skog AB</t>
        </is>
      </c>
      <c r="G265" t="n">
        <v>14.4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32436-2019</t>
        </is>
      </c>
      <c r="B266" s="1" t="n">
        <v>43644</v>
      </c>
      <c r="C266" s="1" t="n">
        <v>45181</v>
      </c>
      <c r="D266" t="inlineStr">
        <is>
          <t>GÄVLEBORGS LÄN</t>
        </is>
      </c>
      <c r="E266" t="inlineStr">
        <is>
          <t>LJUSDAL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33306-2019</t>
        </is>
      </c>
      <c r="B267" s="1" t="n">
        <v>43650</v>
      </c>
      <c r="C267" s="1" t="n">
        <v>45181</v>
      </c>
      <c r="D267" t="inlineStr">
        <is>
          <t>GÄVLEBORGS LÄN</t>
        </is>
      </c>
      <c r="E267" t="inlineStr">
        <is>
          <t>LJUSDAL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33661-2019</t>
        </is>
      </c>
      <c r="B268" s="1" t="n">
        <v>43651</v>
      </c>
      <c r="C268" s="1" t="n">
        <v>45181</v>
      </c>
      <c r="D268" t="inlineStr">
        <is>
          <t>GÄVLEBORGS LÄN</t>
        </is>
      </c>
      <c r="E268" t="inlineStr">
        <is>
          <t>LJUSDAL</t>
        </is>
      </c>
      <c r="F268" t="inlineStr">
        <is>
          <t>Sveaskog</t>
        </is>
      </c>
      <c r="G268" t="n">
        <v>6.3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33662-2019</t>
        </is>
      </c>
      <c r="B269" s="1" t="n">
        <v>43651</v>
      </c>
      <c r="C269" s="1" t="n">
        <v>45181</v>
      </c>
      <c r="D269" t="inlineStr">
        <is>
          <t>GÄVLEBORGS LÄN</t>
        </is>
      </c>
      <c r="E269" t="inlineStr">
        <is>
          <t>LJUSDAL</t>
        </is>
      </c>
      <c r="F269" t="inlineStr">
        <is>
          <t>Sveaskog</t>
        </is>
      </c>
      <c r="G269" t="n">
        <v>1.7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34197-2019</t>
        </is>
      </c>
      <c r="B270" s="1" t="n">
        <v>43655</v>
      </c>
      <c r="C270" s="1" t="n">
        <v>45181</v>
      </c>
      <c r="D270" t="inlineStr">
        <is>
          <t>GÄVLEBORGS LÄN</t>
        </is>
      </c>
      <c r="E270" t="inlineStr">
        <is>
          <t>LJUSDAL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34398-2019</t>
        </is>
      </c>
      <c r="B271" s="1" t="n">
        <v>43656</v>
      </c>
      <c r="C271" s="1" t="n">
        <v>45181</v>
      </c>
      <c r="D271" t="inlineStr">
        <is>
          <t>GÄVLEBORGS LÄN</t>
        </is>
      </c>
      <c r="E271" t="inlineStr">
        <is>
          <t>LJUSDAL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35107-2019</t>
        </is>
      </c>
      <c r="B272" s="1" t="n">
        <v>43661</v>
      </c>
      <c r="C272" s="1" t="n">
        <v>45181</v>
      </c>
      <c r="D272" t="inlineStr">
        <is>
          <t>GÄVLEBORGS LÄN</t>
        </is>
      </c>
      <c r="E272" t="inlineStr">
        <is>
          <t>LJUSDAL</t>
        </is>
      </c>
      <c r="G272" t="n">
        <v>2.8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35016-2019</t>
        </is>
      </c>
      <c r="B273" s="1" t="n">
        <v>43661</v>
      </c>
      <c r="C273" s="1" t="n">
        <v>45181</v>
      </c>
      <c r="D273" t="inlineStr">
        <is>
          <t>GÄVLEBORGS LÄN</t>
        </is>
      </c>
      <c r="E273" t="inlineStr">
        <is>
          <t>LJUSDAL</t>
        </is>
      </c>
      <c r="G273" t="n">
        <v>4.5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35034-2019</t>
        </is>
      </c>
      <c r="B274" s="1" t="n">
        <v>43661</v>
      </c>
      <c r="C274" s="1" t="n">
        <v>45181</v>
      </c>
      <c r="D274" t="inlineStr">
        <is>
          <t>GÄVLEBORGS LÄN</t>
        </is>
      </c>
      <c r="E274" t="inlineStr">
        <is>
          <t>LJUSDAL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35295-2019</t>
        </is>
      </c>
      <c r="B275" s="1" t="n">
        <v>43662</v>
      </c>
      <c r="C275" s="1" t="n">
        <v>45181</v>
      </c>
      <c r="D275" t="inlineStr">
        <is>
          <t>GÄVLEBORGS LÄN</t>
        </is>
      </c>
      <c r="E275" t="inlineStr">
        <is>
          <t>LJUSDAL</t>
        </is>
      </c>
      <c r="F275" t="inlineStr">
        <is>
          <t>Kommuner</t>
        </is>
      </c>
      <c r="G275" t="n">
        <v>5.5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35347-2019</t>
        </is>
      </c>
      <c r="B276" s="1" t="n">
        <v>43663</v>
      </c>
      <c r="C276" s="1" t="n">
        <v>45181</v>
      </c>
      <c r="D276" t="inlineStr">
        <is>
          <t>GÄVLEBORGS LÄN</t>
        </is>
      </c>
      <c r="E276" t="inlineStr">
        <is>
          <t>LJUSDAL</t>
        </is>
      </c>
      <c r="G276" t="n">
        <v>3.4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35354-2019</t>
        </is>
      </c>
      <c r="B277" s="1" t="n">
        <v>43663</v>
      </c>
      <c r="C277" s="1" t="n">
        <v>45181</v>
      </c>
      <c r="D277" t="inlineStr">
        <is>
          <t>GÄVLEBORGS LÄN</t>
        </is>
      </c>
      <c r="E277" t="inlineStr">
        <is>
          <t>LJUSDAL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35805-2019</t>
        </is>
      </c>
      <c r="B278" s="1" t="n">
        <v>43665</v>
      </c>
      <c r="C278" s="1" t="n">
        <v>45181</v>
      </c>
      <c r="D278" t="inlineStr">
        <is>
          <t>GÄVLEBORGS LÄN</t>
        </is>
      </c>
      <c r="E278" t="inlineStr">
        <is>
          <t>LJUSDAL</t>
        </is>
      </c>
      <c r="G278" t="n">
        <v>3.4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35859-2019</t>
        </is>
      </c>
      <c r="B279" s="1" t="n">
        <v>43665</v>
      </c>
      <c r="C279" s="1" t="n">
        <v>45181</v>
      </c>
      <c r="D279" t="inlineStr">
        <is>
          <t>GÄVLEBORGS LÄN</t>
        </is>
      </c>
      <c r="E279" t="inlineStr">
        <is>
          <t>LJUSDAL</t>
        </is>
      </c>
      <c r="F279" t="inlineStr">
        <is>
          <t>Kommuner</t>
        </is>
      </c>
      <c r="G279" t="n">
        <v>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36040-2019</t>
        </is>
      </c>
      <c r="B280" s="1" t="n">
        <v>43668</v>
      </c>
      <c r="C280" s="1" t="n">
        <v>45181</v>
      </c>
      <c r="D280" t="inlineStr">
        <is>
          <t>GÄVLEBORGS LÄN</t>
        </is>
      </c>
      <c r="E280" t="inlineStr">
        <is>
          <t>LJUSDAL</t>
        </is>
      </c>
      <c r="G280" t="n">
        <v>7.9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36039-2019</t>
        </is>
      </c>
      <c r="B281" s="1" t="n">
        <v>43668</v>
      </c>
      <c r="C281" s="1" t="n">
        <v>45181</v>
      </c>
      <c r="D281" t="inlineStr">
        <is>
          <t>GÄVLEBORGS LÄN</t>
        </is>
      </c>
      <c r="E281" t="inlineStr">
        <is>
          <t>LJUSDAL</t>
        </is>
      </c>
      <c r="F281" t="inlineStr">
        <is>
          <t>Bergvik skog väst AB</t>
        </is>
      </c>
      <c r="G281" t="n">
        <v>6.6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36190-2019</t>
        </is>
      </c>
      <c r="B282" s="1" t="n">
        <v>43669</v>
      </c>
      <c r="C282" s="1" t="n">
        <v>45181</v>
      </c>
      <c r="D282" t="inlineStr">
        <is>
          <t>GÄVLEBORGS LÄN</t>
        </is>
      </c>
      <c r="E282" t="inlineStr">
        <is>
          <t>LJUSDAL</t>
        </is>
      </c>
      <c r="G282" t="n">
        <v>53.2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37326-2019</t>
        </is>
      </c>
      <c r="B283" s="1" t="n">
        <v>43677</v>
      </c>
      <c r="C283" s="1" t="n">
        <v>45181</v>
      </c>
      <c r="D283" t="inlineStr">
        <is>
          <t>GÄVLEBORGS LÄN</t>
        </is>
      </c>
      <c r="E283" t="inlineStr">
        <is>
          <t>LJUSDAL</t>
        </is>
      </c>
      <c r="G283" t="n">
        <v>9.199999999999999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37676-2019</t>
        </is>
      </c>
      <c r="B284" s="1" t="n">
        <v>43679</v>
      </c>
      <c r="C284" s="1" t="n">
        <v>45181</v>
      </c>
      <c r="D284" t="inlineStr">
        <is>
          <t>GÄVLEBORGS LÄN</t>
        </is>
      </c>
      <c r="E284" t="inlineStr">
        <is>
          <t>LJUSDAL</t>
        </is>
      </c>
      <c r="G284" t="n">
        <v>11.6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37537-2019</t>
        </is>
      </c>
      <c r="B285" s="1" t="n">
        <v>43679</v>
      </c>
      <c r="C285" s="1" t="n">
        <v>45181</v>
      </c>
      <c r="D285" t="inlineStr">
        <is>
          <t>GÄVLEBORGS LÄN</t>
        </is>
      </c>
      <c r="E285" t="inlineStr">
        <is>
          <t>LJUSDAL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38756-2019</t>
        </is>
      </c>
      <c r="B286" s="1" t="n">
        <v>43686</v>
      </c>
      <c r="C286" s="1" t="n">
        <v>45181</v>
      </c>
      <c r="D286" t="inlineStr">
        <is>
          <t>GÄVLEBORGS LÄN</t>
        </is>
      </c>
      <c r="E286" t="inlineStr">
        <is>
          <t>LJUSDAL</t>
        </is>
      </c>
      <c r="G286" t="n">
        <v>51.7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40196-2019</t>
        </is>
      </c>
      <c r="B287" s="1" t="n">
        <v>43691</v>
      </c>
      <c r="C287" s="1" t="n">
        <v>45181</v>
      </c>
      <c r="D287" t="inlineStr">
        <is>
          <t>GÄVLEBORGS LÄN</t>
        </is>
      </c>
      <c r="E287" t="inlineStr">
        <is>
          <t>LJUSDAL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39762-2019</t>
        </is>
      </c>
      <c r="B288" s="1" t="n">
        <v>43692</v>
      </c>
      <c r="C288" s="1" t="n">
        <v>45181</v>
      </c>
      <c r="D288" t="inlineStr">
        <is>
          <t>GÄVLEBORGS LÄN</t>
        </is>
      </c>
      <c r="E288" t="inlineStr">
        <is>
          <t>LJUSDAL</t>
        </is>
      </c>
      <c r="G288" t="n">
        <v>11.3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40071-2019</t>
        </is>
      </c>
      <c r="B289" s="1" t="n">
        <v>43693</v>
      </c>
      <c r="C289" s="1" t="n">
        <v>45181</v>
      </c>
      <c r="D289" t="inlineStr">
        <is>
          <t>GÄVLEBORGS LÄN</t>
        </is>
      </c>
      <c r="E289" t="inlineStr">
        <is>
          <t>LJUSDAL</t>
        </is>
      </c>
      <c r="F289" t="inlineStr">
        <is>
          <t>Sveaskog</t>
        </is>
      </c>
      <c r="G289" t="n">
        <v>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40190-2019</t>
        </is>
      </c>
      <c r="B290" s="1" t="n">
        <v>43693</v>
      </c>
      <c r="C290" s="1" t="n">
        <v>45181</v>
      </c>
      <c r="D290" t="inlineStr">
        <is>
          <t>GÄVLEBORGS LÄN</t>
        </is>
      </c>
      <c r="E290" t="inlineStr">
        <is>
          <t>LJUSDAL</t>
        </is>
      </c>
      <c r="F290" t="inlineStr">
        <is>
          <t>Sveaskog</t>
        </is>
      </c>
      <c r="G290" t="n">
        <v>9.199999999999999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40184-2019</t>
        </is>
      </c>
      <c r="B291" s="1" t="n">
        <v>43693</v>
      </c>
      <c r="C291" s="1" t="n">
        <v>45181</v>
      </c>
      <c r="D291" t="inlineStr">
        <is>
          <t>GÄVLEBORGS LÄN</t>
        </is>
      </c>
      <c r="E291" t="inlineStr">
        <is>
          <t>LJUSDAL</t>
        </is>
      </c>
      <c r="F291" t="inlineStr">
        <is>
          <t>Bergvik skog väst AB</t>
        </is>
      </c>
      <c r="G291" t="n">
        <v>1.7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40707-2019</t>
        </is>
      </c>
      <c r="B292" s="1" t="n">
        <v>43697</v>
      </c>
      <c r="C292" s="1" t="n">
        <v>45181</v>
      </c>
      <c r="D292" t="inlineStr">
        <is>
          <t>GÄVLEBORGS LÄN</t>
        </is>
      </c>
      <c r="E292" t="inlineStr">
        <is>
          <t>LJUSDAL</t>
        </is>
      </c>
      <c r="F292" t="inlineStr">
        <is>
          <t>Sveaskog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41111-2019</t>
        </is>
      </c>
      <c r="B293" s="1" t="n">
        <v>43698</v>
      </c>
      <c r="C293" s="1" t="n">
        <v>45181</v>
      </c>
      <c r="D293" t="inlineStr">
        <is>
          <t>GÄVLEBORGS LÄN</t>
        </is>
      </c>
      <c r="E293" t="inlineStr">
        <is>
          <t>LJUSDAL</t>
        </is>
      </c>
      <c r="G293" t="n">
        <v>3.1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41212-2019</t>
        </is>
      </c>
      <c r="B294" s="1" t="n">
        <v>43698</v>
      </c>
      <c r="C294" s="1" t="n">
        <v>45181</v>
      </c>
      <c r="D294" t="inlineStr">
        <is>
          <t>GÄVLEBORGS LÄN</t>
        </is>
      </c>
      <c r="E294" t="inlineStr">
        <is>
          <t>LJUSDAL</t>
        </is>
      </c>
      <c r="F294" t="inlineStr">
        <is>
          <t>Allmännings- och besparingsskogar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44374-2019</t>
        </is>
      </c>
      <c r="B295" s="1" t="n">
        <v>43700</v>
      </c>
      <c r="C295" s="1" t="n">
        <v>45181</v>
      </c>
      <c r="D295" t="inlineStr">
        <is>
          <t>GÄVLEBORGS LÄN</t>
        </is>
      </c>
      <c r="E295" t="inlineStr">
        <is>
          <t>LJUSDAL</t>
        </is>
      </c>
      <c r="G295" t="n">
        <v>6.9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41852-2019</t>
        </is>
      </c>
      <c r="B296" s="1" t="n">
        <v>43700</v>
      </c>
      <c r="C296" s="1" t="n">
        <v>45181</v>
      </c>
      <c r="D296" t="inlineStr">
        <is>
          <t>GÄVLEBORGS LÄN</t>
        </is>
      </c>
      <c r="E296" t="inlineStr">
        <is>
          <t>LJUSDAL</t>
        </is>
      </c>
      <c r="F296" t="inlineStr">
        <is>
          <t>Sveaskog</t>
        </is>
      </c>
      <c r="G296" t="n">
        <v>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41917-2019</t>
        </is>
      </c>
      <c r="B297" s="1" t="n">
        <v>43700</v>
      </c>
      <c r="C297" s="1" t="n">
        <v>45181</v>
      </c>
      <c r="D297" t="inlineStr">
        <is>
          <t>GÄVLEBORGS LÄN</t>
        </is>
      </c>
      <c r="E297" t="inlineStr">
        <is>
          <t>LJUSDAL</t>
        </is>
      </c>
      <c r="G297" t="n">
        <v>12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42445-2019</t>
        </is>
      </c>
      <c r="B298" s="1" t="n">
        <v>43704</v>
      </c>
      <c r="C298" s="1" t="n">
        <v>45181</v>
      </c>
      <c r="D298" t="inlineStr">
        <is>
          <t>GÄVLEBORGS LÄN</t>
        </is>
      </c>
      <c r="E298" t="inlineStr">
        <is>
          <t>LJUSDAL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42868-2019</t>
        </is>
      </c>
      <c r="B299" s="1" t="n">
        <v>43705</v>
      </c>
      <c r="C299" s="1" t="n">
        <v>45181</v>
      </c>
      <c r="D299" t="inlineStr">
        <is>
          <t>GÄVLEBORGS LÄN</t>
        </is>
      </c>
      <c r="E299" t="inlineStr">
        <is>
          <t>LJUSDAL</t>
        </is>
      </c>
      <c r="F299" t="inlineStr">
        <is>
          <t>Sveaskog</t>
        </is>
      </c>
      <c r="G299" t="n">
        <v>9.800000000000001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44062-2019</t>
        </is>
      </c>
      <c r="B300" s="1" t="n">
        <v>43710</v>
      </c>
      <c r="C300" s="1" t="n">
        <v>45181</v>
      </c>
      <c r="D300" t="inlineStr">
        <is>
          <t>GÄVLEBORGS LÄN</t>
        </is>
      </c>
      <c r="E300" t="inlineStr">
        <is>
          <t>LJUSDAL</t>
        </is>
      </c>
      <c r="F300" t="inlineStr">
        <is>
          <t>Sveaskog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44275-2019</t>
        </is>
      </c>
      <c r="B301" s="1" t="n">
        <v>43710</v>
      </c>
      <c r="C301" s="1" t="n">
        <v>45181</v>
      </c>
      <c r="D301" t="inlineStr">
        <is>
          <t>GÄVLEBORGS LÄN</t>
        </is>
      </c>
      <c r="E301" t="inlineStr">
        <is>
          <t>LJUSDAL</t>
        </is>
      </c>
      <c r="F301" t="inlineStr">
        <is>
          <t>Sveaskog</t>
        </is>
      </c>
      <c r="G301" t="n">
        <v>25.1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44066-2019</t>
        </is>
      </c>
      <c r="B302" s="1" t="n">
        <v>43710</v>
      </c>
      <c r="C302" s="1" t="n">
        <v>45181</v>
      </c>
      <c r="D302" t="inlineStr">
        <is>
          <t>GÄVLEBORGS LÄN</t>
        </is>
      </c>
      <c r="E302" t="inlineStr">
        <is>
          <t>LJUSDAL</t>
        </is>
      </c>
      <c r="F302" t="inlineStr">
        <is>
          <t>Holmen skog AB</t>
        </is>
      </c>
      <c r="G302" t="n">
        <v>19.6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44847-2019</t>
        </is>
      </c>
      <c r="B303" s="1" t="n">
        <v>43712</v>
      </c>
      <c r="C303" s="1" t="n">
        <v>45181</v>
      </c>
      <c r="D303" t="inlineStr">
        <is>
          <t>GÄVLEBORGS LÄN</t>
        </is>
      </c>
      <c r="E303" t="inlineStr">
        <is>
          <t>LJUSDAL</t>
        </is>
      </c>
      <c r="G303" t="n">
        <v>1.9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44904-2019</t>
        </is>
      </c>
      <c r="B304" s="1" t="n">
        <v>43713</v>
      </c>
      <c r="C304" s="1" t="n">
        <v>45181</v>
      </c>
      <c r="D304" t="inlineStr">
        <is>
          <t>GÄVLEBORGS LÄN</t>
        </is>
      </c>
      <c r="E304" t="inlineStr">
        <is>
          <t>LJUSDAL</t>
        </is>
      </c>
      <c r="F304" t="inlineStr">
        <is>
          <t>Sveaskog</t>
        </is>
      </c>
      <c r="G304" t="n">
        <v>9.199999999999999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45450-2019</t>
        </is>
      </c>
      <c r="B305" s="1" t="n">
        <v>43714</v>
      </c>
      <c r="C305" s="1" t="n">
        <v>45181</v>
      </c>
      <c r="D305" t="inlineStr">
        <is>
          <t>GÄVLEBORGS LÄN</t>
        </is>
      </c>
      <c r="E305" t="inlineStr">
        <is>
          <t>LJUSDAL</t>
        </is>
      </c>
      <c r="F305" t="inlineStr">
        <is>
          <t>Sveaskog</t>
        </is>
      </c>
      <c r="G305" t="n">
        <v>1.9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45451-2019</t>
        </is>
      </c>
      <c r="B306" s="1" t="n">
        <v>43714</v>
      </c>
      <c r="C306" s="1" t="n">
        <v>45181</v>
      </c>
      <c r="D306" t="inlineStr">
        <is>
          <t>GÄVLEBORGS LÄN</t>
        </is>
      </c>
      <c r="E306" t="inlineStr">
        <is>
          <t>LJUSDAL</t>
        </is>
      </c>
      <c r="F306" t="inlineStr">
        <is>
          <t>Sveaskog</t>
        </is>
      </c>
      <c r="G306" t="n">
        <v>5.6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45808-2019</t>
        </is>
      </c>
      <c r="B307" s="1" t="n">
        <v>43717</v>
      </c>
      <c r="C307" s="1" t="n">
        <v>45181</v>
      </c>
      <c r="D307" t="inlineStr">
        <is>
          <t>GÄVLEBORGS LÄN</t>
        </is>
      </c>
      <c r="E307" t="inlineStr">
        <is>
          <t>LJUSDAL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46408-2019</t>
        </is>
      </c>
      <c r="B308" s="1" t="n">
        <v>43719</v>
      </c>
      <c r="C308" s="1" t="n">
        <v>45181</v>
      </c>
      <c r="D308" t="inlineStr">
        <is>
          <t>GÄVLEBORGS LÄN</t>
        </is>
      </c>
      <c r="E308" t="inlineStr">
        <is>
          <t>LJUSDAL</t>
        </is>
      </c>
      <c r="F308" t="inlineStr">
        <is>
          <t>Bergvik skog väst AB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46773-2019</t>
        </is>
      </c>
      <c r="B309" s="1" t="n">
        <v>43720</v>
      </c>
      <c r="C309" s="1" t="n">
        <v>45181</v>
      </c>
      <c r="D309" t="inlineStr">
        <is>
          <t>GÄVLEBORGS LÄN</t>
        </is>
      </c>
      <c r="E309" t="inlineStr">
        <is>
          <t>LJUSDAL</t>
        </is>
      </c>
      <c r="F309" t="inlineStr">
        <is>
          <t>Holmen skog AB</t>
        </is>
      </c>
      <c r="G309" t="n">
        <v>1.5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47329-2019</t>
        </is>
      </c>
      <c r="B310" s="1" t="n">
        <v>43721</v>
      </c>
      <c r="C310" s="1" t="n">
        <v>45181</v>
      </c>
      <c r="D310" t="inlineStr">
        <is>
          <t>GÄVLEBORGS LÄN</t>
        </is>
      </c>
      <c r="E310" t="inlineStr">
        <is>
          <t>LJUSDAL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47326-2019</t>
        </is>
      </c>
      <c r="B311" s="1" t="n">
        <v>43721</v>
      </c>
      <c r="C311" s="1" t="n">
        <v>45181</v>
      </c>
      <c r="D311" t="inlineStr">
        <is>
          <t>GÄVLEBORGS LÄN</t>
        </is>
      </c>
      <c r="E311" t="inlineStr">
        <is>
          <t>LJUSDAL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47449-2019</t>
        </is>
      </c>
      <c r="B312" s="1" t="n">
        <v>43721</v>
      </c>
      <c r="C312" s="1" t="n">
        <v>45181</v>
      </c>
      <c r="D312" t="inlineStr">
        <is>
          <t>GÄVLEBORGS LÄN</t>
        </is>
      </c>
      <c r="E312" t="inlineStr">
        <is>
          <t>LJUSDAL</t>
        </is>
      </c>
      <c r="G312" t="n">
        <v>12.5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48379-2019</t>
        </is>
      </c>
      <c r="B313" s="1" t="n">
        <v>43726</v>
      </c>
      <c r="C313" s="1" t="n">
        <v>45181</v>
      </c>
      <c r="D313" t="inlineStr">
        <is>
          <t>GÄVLEBORGS LÄN</t>
        </is>
      </c>
      <c r="E313" t="inlineStr">
        <is>
          <t>LJUSDAL</t>
        </is>
      </c>
      <c r="F313" t="inlineStr">
        <is>
          <t>Bergvik skog väst AB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48375-2019</t>
        </is>
      </c>
      <c r="B314" s="1" t="n">
        <v>43726</v>
      </c>
      <c r="C314" s="1" t="n">
        <v>45181</v>
      </c>
      <c r="D314" t="inlineStr">
        <is>
          <t>GÄVLEBORGS LÄN</t>
        </is>
      </c>
      <c r="E314" t="inlineStr">
        <is>
          <t>LJUSDAL</t>
        </is>
      </c>
      <c r="F314" t="inlineStr">
        <is>
          <t>Bergvik skog väst AB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48467-2019</t>
        </is>
      </c>
      <c r="B315" s="1" t="n">
        <v>43727</v>
      </c>
      <c r="C315" s="1" t="n">
        <v>45181</v>
      </c>
      <c r="D315" t="inlineStr">
        <is>
          <t>GÄVLEBORGS LÄN</t>
        </is>
      </c>
      <c r="E315" t="inlineStr">
        <is>
          <t>LJUSDAL</t>
        </is>
      </c>
      <c r="F315" t="inlineStr">
        <is>
          <t>Holmen skog AB</t>
        </is>
      </c>
      <c r="G315" t="n">
        <v>2.2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48914-2019</t>
        </is>
      </c>
      <c r="B316" s="1" t="n">
        <v>43728</v>
      </c>
      <c r="C316" s="1" t="n">
        <v>45181</v>
      </c>
      <c r="D316" t="inlineStr">
        <is>
          <t>GÄVLEBORGS LÄN</t>
        </is>
      </c>
      <c r="E316" t="inlineStr">
        <is>
          <t>LJUSDAL</t>
        </is>
      </c>
      <c r="F316" t="inlineStr">
        <is>
          <t>Holmen skog AB</t>
        </is>
      </c>
      <c r="G316" t="n">
        <v>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50311-2019</t>
        </is>
      </c>
      <c r="B317" s="1" t="n">
        <v>43731</v>
      </c>
      <c r="C317" s="1" t="n">
        <v>45181</v>
      </c>
      <c r="D317" t="inlineStr">
        <is>
          <t>GÄVLEBORGS LÄN</t>
        </is>
      </c>
      <c r="E317" t="inlineStr">
        <is>
          <t>LJUSDAL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49656-2019</t>
        </is>
      </c>
      <c r="B318" s="1" t="n">
        <v>43732</v>
      </c>
      <c r="C318" s="1" t="n">
        <v>45181</v>
      </c>
      <c r="D318" t="inlineStr">
        <is>
          <t>GÄVLEBORGS LÄN</t>
        </is>
      </c>
      <c r="E318" t="inlineStr">
        <is>
          <t>LJUSDAL</t>
        </is>
      </c>
      <c r="F318" t="inlineStr">
        <is>
          <t>Sveaskog</t>
        </is>
      </c>
      <c r="G318" t="n">
        <v>0.6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49492-2019</t>
        </is>
      </c>
      <c r="B319" s="1" t="n">
        <v>43732</v>
      </c>
      <c r="C319" s="1" t="n">
        <v>45181</v>
      </c>
      <c r="D319" t="inlineStr">
        <is>
          <t>GÄVLEBORGS LÄN</t>
        </is>
      </c>
      <c r="E319" t="inlineStr">
        <is>
          <t>LJUSDAL</t>
        </is>
      </c>
      <c r="F319" t="inlineStr">
        <is>
          <t>Bergvik skog väst AB</t>
        </is>
      </c>
      <c r="G319" t="n">
        <v>0.4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50222-2019</t>
        </is>
      </c>
      <c r="B320" s="1" t="n">
        <v>43734</v>
      </c>
      <c r="C320" s="1" t="n">
        <v>45181</v>
      </c>
      <c r="D320" t="inlineStr">
        <is>
          <t>GÄVLEBORGS LÄN</t>
        </is>
      </c>
      <c r="E320" t="inlineStr">
        <is>
          <t>LJUSDAL</t>
        </is>
      </c>
      <c r="G320" t="n">
        <v>22.9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50307-2019</t>
        </is>
      </c>
      <c r="B321" s="1" t="n">
        <v>43735</v>
      </c>
      <c r="C321" s="1" t="n">
        <v>45181</v>
      </c>
      <c r="D321" t="inlineStr">
        <is>
          <t>GÄVLEBORGS LÄN</t>
        </is>
      </c>
      <c r="E321" t="inlineStr">
        <is>
          <t>LJUSDAL</t>
        </is>
      </c>
      <c r="G321" t="n">
        <v>18.4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55549-2019</t>
        </is>
      </c>
      <c r="B322" s="1" t="n">
        <v>43738</v>
      </c>
      <c r="C322" s="1" t="n">
        <v>45181</v>
      </c>
      <c r="D322" t="inlineStr">
        <is>
          <t>GÄVLEBORGS LÄN</t>
        </is>
      </c>
      <c r="E322" t="inlineStr">
        <is>
          <t>LJUSDAL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55504-2019</t>
        </is>
      </c>
      <c r="B323" s="1" t="n">
        <v>43738</v>
      </c>
      <c r="C323" s="1" t="n">
        <v>45181</v>
      </c>
      <c r="D323" t="inlineStr">
        <is>
          <t>GÄVLEBORGS LÄN</t>
        </is>
      </c>
      <c r="E323" t="inlineStr">
        <is>
          <t>LJUSDAL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51779-2019</t>
        </is>
      </c>
      <c r="B324" s="1" t="n">
        <v>43741</v>
      </c>
      <c r="C324" s="1" t="n">
        <v>45181</v>
      </c>
      <c r="D324" t="inlineStr">
        <is>
          <t>GÄVLEBORGS LÄN</t>
        </is>
      </c>
      <c r="E324" t="inlineStr">
        <is>
          <t>LJUSDAL</t>
        </is>
      </c>
      <c r="F324" t="inlineStr">
        <is>
          <t>Sveaskog</t>
        </is>
      </c>
      <c r="G324" t="n">
        <v>4.1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52096-2019</t>
        </is>
      </c>
      <c r="B325" s="1" t="n">
        <v>43742</v>
      </c>
      <c r="C325" s="1" t="n">
        <v>45181</v>
      </c>
      <c r="D325" t="inlineStr">
        <is>
          <t>GÄVLEBORGS LÄN</t>
        </is>
      </c>
      <c r="E325" t="inlineStr">
        <is>
          <t>LJUSDAL</t>
        </is>
      </c>
      <c r="G325" t="n">
        <v>2.1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54168-2019</t>
        </is>
      </c>
      <c r="B326" s="1" t="n">
        <v>43745</v>
      </c>
      <c r="C326" s="1" t="n">
        <v>45181</v>
      </c>
      <c r="D326" t="inlineStr">
        <is>
          <t>GÄVLEBORGS LÄN</t>
        </is>
      </c>
      <c r="E326" t="inlineStr">
        <is>
          <t>LJUSDAL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52405-2019</t>
        </is>
      </c>
      <c r="B327" s="1" t="n">
        <v>43745</v>
      </c>
      <c r="C327" s="1" t="n">
        <v>45181</v>
      </c>
      <c r="D327" t="inlineStr">
        <is>
          <t>GÄVLEBORGS LÄN</t>
        </is>
      </c>
      <c r="E327" t="inlineStr">
        <is>
          <t>LJUSDAL</t>
        </is>
      </c>
      <c r="F327" t="inlineStr">
        <is>
          <t>Sveaskog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52626-2019</t>
        </is>
      </c>
      <c r="B328" s="1" t="n">
        <v>43746</v>
      </c>
      <c r="C328" s="1" t="n">
        <v>45181</v>
      </c>
      <c r="D328" t="inlineStr">
        <is>
          <t>GÄVLEBORGS LÄN</t>
        </is>
      </c>
      <c r="E328" t="inlineStr">
        <is>
          <t>LJUSDAL</t>
        </is>
      </c>
      <c r="G328" t="n">
        <v>18.9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52972-2019</t>
        </is>
      </c>
      <c r="B329" s="1" t="n">
        <v>43747</v>
      </c>
      <c r="C329" s="1" t="n">
        <v>45181</v>
      </c>
      <c r="D329" t="inlineStr">
        <is>
          <t>GÄVLEBORGS LÄN</t>
        </is>
      </c>
      <c r="E329" t="inlineStr">
        <is>
          <t>LJUSDAL</t>
        </is>
      </c>
      <c r="F329" t="inlineStr">
        <is>
          <t>Sveaskog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53429-2019</t>
        </is>
      </c>
      <c r="B330" s="1" t="n">
        <v>43748</v>
      </c>
      <c r="C330" s="1" t="n">
        <v>45181</v>
      </c>
      <c r="D330" t="inlineStr">
        <is>
          <t>GÄVLEBORGS LÄN</t>
        </is>
      </c>
      <c r="E330" t="inlineStr">
        <is>
          <t>LJUSDAL</t>
        </is>
      </c>
      <c r="F330" t="inlineStr">
        <is>
          <t>Sveaskog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53513-2019</t>
        </is>
      </c>
      <c r="B331" s="1" t="n">
        <v>43749</v>
      </c>
      <c r="C331" s="1" t="n">
        <v>45181</v>
      </c>
      <c r="D331" t="inlineStr">
        <is>
          <t>GÄVLEBORGS LÄN</t>
        </is>
      </c>
      <c r="E331" t="inlineStr">
        <is>
          <t>LJUSDAL</t>
        </is>
      </c>
      <c r="F331" t="inlineStr">
        <is>
          <t>Sveaskog</t>
        </is>
      </c>
      <c r="G331" t="n">
        <v>15.8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54401-2019</t>
        </is>
      </c>
      <c r="B332" s="1" t="n">
        <v>43754</v>
      </c>
      <c r="C332" s="1" t="n">
        <v>45181</v>
      </c>
      <c r="D332" t="inlineStr">
        <is>
          <t>GÄVLEBORGS LÄN</t>
        </is>
      </c>
      <c r="E332" t="inlineStr">
        <is>
          <t>LJUSDAL</t>
        </is>
      </c>
      <c r="F332" t="inlineStr">
        <is>
          <t>Sveaskog</t>
        </is>
      </c>
      <c r="G332" t="n">
        <v>4.3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54402-2019</t>
        </is>
      </c>
      <c r="B333" s="1" t="n">
        <v>43754</v>
      </c>
      <c r="C333" s="1" t="n">
        <v>45181</v>
      </c>
      <c r="D333" t="inlineStr">
        <is>
          <t>GÄVLEBORGS LÄN</t>
        </is>
      </c>
      <c r="E333" t="inlineStr">
        <is>
          <t>LJUSDAL</t>
        </is>
      </c>
      <c r="F333" t="inlineStr">
        <is>
          <t>Sveaskog</t>
        </is>
      </c>
      <c r="G333" t="n">
        <v>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54723-2019</t>
        </is>
      </c>
      <c r="B334" s="1" t="n">
        <v>43755</v>
      </c>
      <c r="C334" s="1" t="n">
        <v>45181</v>
      </c>
      <c r="D334" t="inlineStr">
        <is>
          <t>GÄVLEBORGS LÄN</t>
        </is>
      </c>
      <c r="E334" t="inlineStr">
        <is>
          <t>LJUSDAL</t>
        </is>
      </c>
      <c r="F334" t="inlineStr">
        <is>
          <t>Allmännings- och besparingsskogar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54966-2019</t>
        </is>
      </c>
      <c r="B335" s="1" t="n">
        <v>43755</v>
      </c>
      <c r="C335" s="1" t="n">
        <v>45181</v>
      </c>
      <c r="D335" t="inlineStr">
        <is>
          <t>GÄVLEBORGS LÄN</t>
        </is>
      </c>
      <c r="E335" t="inlineStr">
        <is>
          <t>LJUSDAL</t>
        </is>
      </c>
      <c r="F335" t="inlineStr">
        <is>
          <t>Sveaskog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55880-2019</t>
        </is>
      </c>
      <c r="B336" s="1" t="n">
        <v>43759</v>
      </c>
      <c r="C336" s="1" t="n">
        <v>45181</v>
      </c>
      <c r="D336" t="inlineStr">
        <is>
          <t>GÄVLEBORGS LÄN</t>
        </is>
      </c>
      <c r="E336" t="inlineStr">
        <is>
          <t>LJUSDAL</t>
        </is>
      </c>
      <c r="F336" t="inlineStr">
        <is>
          <t>Kommuner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55956-2019</t>
        </is>
      </c>
      <c r="B337" s="1" t="n">
        <v>43759</v>
      </c>
      <c r="C337" s="1" t="n">
        <v>45181</v>
      </c>
      <c r="D337" t="inlineStr">
        <is>
          <t>GÄVLEBORGS LÄN</t>
        </is>
      </c>
      <c r="E337" t="inlineStr">
        <is>
          <t>LJUSDAL</t>
        </is>
      </c>
      <c r="G337" t="n">
        <v>14.2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55464-2019</t>
        </is>
      </c>
      <c r="B338" s="1" t="n">
        <v>43760</v>
      </c>
      <c r="C338" s="1" t="n">
        <v>45181</v>
      </c>
      <c r="D338" t="inlineStr">
        <is>
          <t>GÄVLEBORGS LÄN</t>
        </is>
      </c>
      <c r="E338" t="inlineStr">
        <is>
          <t>LJUSDAL</t>
        </is>
      </c>
      <c r="F338" t="inlineStr">
        <is>
          <t>Sveaskog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56541-2019</t>
        </is>
      </c>
      <c r="B339" s="1" t="n">
        <v>43763</v>
      </c>
      <c r="C339" s="1" t="n">
        <v>45181</v>
      </c>
      <c r="D339" t="inlineStr">
        <is>
          <t>GÄVLEBORGS LÄN</t>
        </is>
      </c>
      <c r="E339" t="inlineStr">
        <is>
          <t>LJUSDAL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56693-2019</t>
        </is>
      </c>
      <c r="B340" s="1" t="n">
        <v>43763</v>
      </c>
      <c r="C340" s="1" t="n">
        <v>45181</v>
      </c>
      <c r="D340" t="inlineStr">
        <is>
          <t>GÄVLEBORGS LÄN</t>
        </is>
      </c>
      <c r="E340" t="inlineStr">
        <is>
          <t>LJUSDAL</t>
        </is>
      </c>
      <c r="G340" t="n">
        <v>3.4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57410-2019</t>
        </is>
      </c>
      <c r="B341" s="1" t="n">
        <v>43767</v>
      </c>
      <c r="C341" s="1" t="n">
        <v>45181</v>
      </c>
      <c r="D341" t="inlineStr">
        <is>
          <t>GÄVLEBORGS LÄN</t>
        </is>
      </c>
      <c r="E341" t="inlineStr">
        <is>
          <t>LJUSDAL</t>
        </is>
      </c>
      <c r="F341" t="inlineStr">
        <is>
          <t>Holmen skog AB</t>
        </is>
      </c>
      <c r="G341" t="n">
        <v>9.199999999999999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58886-2019</t>
        </is>
      </c>
      <c r="B342" s="1" t="n">
        <v>43774</v>
      </c>
      <c r="C342" s="1" t="n">
        <v>45181</v>
      </c>
      <c r="D342" t="inlineStr">
        <is>
          <t>GÄVLEBORGS LÄN</t>
        </is>
      </c>
      <c r="E342" t="inlineStr">
        <is>
          <t>LJUSDAL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58897-2019</t>
        </is>
      </c>
      <c r="B343" s="1" t="n">
        <v>43774</v>
      </c>
      <c r="C343" s="1" t="n">
        <v>45181</v>
      </c>
      <c r="D343" t="inlineStr">
        <is>
          <t>GÄVLEBORGS LÄN</t>
        </is>
      </c>
      <c r="E343" t="inlineStr">
        <is>
          <t>LJUSDAL</t>
        </is>
      </c>
      <c r="G343" t="n">
        <v>1.5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59153-2019</t>
        </is>
      </c>
      <c r="B344" s="1" t="n">
        <v>43775</v>
      </c>
      <c r="C344" s="1" t="n">
        <v>45181</v>
      </c>
      <c r="D344" t="inlineStr">
        <is>
          <t>GÄVLEBORGS LÄN</t>
        </is>
      </c>
      <c r="E344" t="inlineStr">
        <is>
          <t>LJUSDAL</t>
        </is>
      </c>
      <c r="G344" t="n">
        <v>10.5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59990-2019</t>
        </is>
      </c>
      <c r="B345" s="1" t="n">
        <v>43775</v>
      </c>
      <c r="C345" s="1" t="n">
        <v>45181</v>
      </c>
      <c r="D345" t="inlineStr">
        <is>
          <t>GÄVLEBORGS LÄN</t>
        </is>
      </c>
      <c r="E345" t="inlineStr">
        <is>
          <t>LJUSDAL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59458-2019</t>
        </is>
      </c>
      <c r="B346" s="1" t="n">
        <v>43776</v>
      </c>
      <c r="C346" s="1" t="n">
        <v>45181</v>
      </c>
      <c r="D346" t="inlineStr">
        <is>
          <t>GÄVLEBORGS LÄN</t>
        </is>
      </c>
      <c r="E346" t="inlineStr">
        <is>
          <t>LJUSDAL</t>
        </is>
      </c>
      <c r="G346" t="n">
        <v>3.6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60418-2019</t>
        </is>
      </c>
      <c r="B347" s="1" t="n">
        <v>43776</v>
      </c>
      <c r="C347" s="1" t="n">
        <v>45181</v>
      </c>
      <c r="D347" t="inlineStr">
        <is>
          <t>GÄVLEBORGS LÄN</t>
        </is>
      </c>
      <c r="E347" t="inlineStr">
        <is>
          <t>LJUSDAL</t>
        </is>
      </c>
      <c r="G347" t="n">
        <v>6.2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60034-2019</t>
        </is>
      </c>
      <c r="B348" s="1" t="n">
        <v>43777</v>
      </c>
      <c r="C348" s="1" t="n">
        <v>45181</v>
      </c>
      <c r="D348" t="inlineStr">
        <is>
          <t>GÄVLEBORGS LÄN</t>
        </is>
      </c>
      <c r="E348" t="inlineStr">
        <is>
          <t>LJUSDAL</t>
        </is>
      </c>
      <c r="F348" t="inlineStr">
        <is>
          <t>Sveaskog</t>
        </is>
      </c>
      <c r="G348" t="n">
        <v>3.7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60651-2019</t>
        </is>
      </c>
      <c r="B349" s="1" t="n">
        <v>43781</v>
      </c>
      <c r="C349" s="1" t="n">
        <v>45181</v>
      </c>
      <c r="D349" t="inlineStr">
        <is>
          <t>GÄVLEBORGS LÄN</t>
        </is>
      </c>
      <c r="E349" t="inlineStr">
        <is>
          <t>LJUSDAL</t>
        </is>
      </c>
      <c r="F349" t="inlineStr">
        <is>
          <t>Sveaskog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60574-2019</t>
        </is>
      </c>
      <c r="B350" s="1" t="n">
        <v>43781</v>
      </c>
      <c r="C350" s="1" t="n">
        <v>45181</v>
      </c>
      <c r="D350" t="inlineStr">
        <is>
          <t>GÄVLEBORGS LÄN</t>
        </is>
      </c>
      <c r="E350" t="inlineStr">
        <is>
          <t>LJUSDAL</t>
        </is>
      </c>
      <c r="F350" t="inlineStr">
        <is>
          <t>Bergvik skog väst AB</t>
        </is>
      </c>
      <c r="G350" t="n">
        <v>20.4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61194-2019</t>
        </is>
      </c>
      <c r="B351" s="1" t="n">
        <v>43782</v>
      </c>
      <c r="C351" s="1" t="n">
        <v>45181</v>
      </c>
      <c r="D351" t="inlineStr">
        <is>
          <t>GÄVLEBORGS LÄN</t>
        </is>
      </c>
      <c r="E351" t="inlineStr">
        <is>
          <t>LJUSDAL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61192-2019</t>
        </is>
      </c>
      <c r="B352" s="1" t="n">
        <v>43782</v>
      </c>
      <c r="C352" s="1" t="n">
        <v>45181</v>
      </c>
      <c r="D352" t="inlineStr">
        <is>
          <t>GÄVLEBORGS LÄN</t>
        </is>
      </c>
      <c r="E352" t="inlineStr">
        <is>
          <t>LJUSDAL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61729-2019</t>
        </is>
      </c>
      <c r="B353" s="1" t="n">
        <v>43784</v>
      </c>
      <c r="C353" s="1" t="n">
        <v>45181</v>
      </c>
      <c r="D353" t="inlineStr">
        <is>
          <t>GÄVLEBORGS LÄN</t>
        </is>
      </c>
      <c r="E353" t="inlineStr">
        <is>
          <t>LJUSDAL</t>
        </is>
      </c>
      <c r="F353" t="inlineStr">
        <is>
          <t>Allmännings- och besparingsskogar</t>
        </is>
      </c>
      <c r="G353" t="n">
        <v>7.5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61870-2019</t>
        </is>
      </c>
      <c r="B354" s="1" t="n">
        <v>43787</v>
      </c>
      <c r="C354" s="1" t="n">
        <v>45181</v>
      </c>
      <c r="D354" t="inlineStr">
        <is>
          <t>GÄVLEBORGS LÄN</t>
        </is>
      </c>
      <c r="E354" t="inlineStr">
        <is>
          <t>LJUSDAL</t>
        </is>
      </c>
      <c r="F354" t="inlineStr">
        <is>
          <t>Allmännings- och besparingsskogar</t>
        </is>
      </c>
      <c r="G354" t="n">
        <v>7.5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61988-2019</t>
        </is>
      </c>
      <c r="B355" s="1" t="n">
        <v>43787</v>
      </c>
      <c r="C355" s="1" t="n">
        <v>45181</v>
      </c>
      <c r="D355" t="inlineStr">
        <is>
          <t>GÄVLEBORGS LÄN</t>
        </is>
      </c>
      <c r="E355" t="inlineStr">
        <is>
          <t>LJUSDAL</t>
        </is>
      </c>
      <c r="F355" t="inlineStr">
        <is>
          <t>Allmännings- och besparingsskogar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62586-2019</t>
        </is>
      </c>
      <c r="B356" s="1" t="n">
        <v>43789</v>
      </c>
      <c r="C356" s="1" t="n">
        <v>45181</v>
      </c>
      <c r="D356" t="inlineStr">
        <is>
          <t>GÄVLEBORGS LÄN</t>
        </is>
      </c>
      <c r="E356" t="inlineStr">
        <is>
          <t>LJUSDAL</t>
        </is>
      </c>
      <c r="F356" t="inlineStr">
        <is>
          <t>Allmännings- och besparingsskogar</t>
        </is>
      </c>
      <c r="G356" t="n">
        <v>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62567-2019</t>
        </is>
      </c>
      <c r="B357" s="1" t="n">
        <v>43789</v>
      </c>
      <c r="C357" s="1" t="n">
        <v>45181</v>
      </c>
      <c r="D357" t="inlineStr">
        <is>
          <t>GÄVLEBORGS LÄN</t>
        </is>
      </c>
      <c r="E357" t="inlineStr">
        <is>
          <t>LJUSDAL</t>
        </is>
      </c>
      <c r="F357" t="inlineStr">
        <is>
          <t>Allmännings- och besparingsskogar</t>
        </is>
      </c>
      <c r="G357" t="n">
        <v>7.2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63037-2019</t>
        </is>
      </c>
      <c r="B358" s="1" t="n">
        <v>43791</v>
      </c>
      <c r="C358" s="1" t="n">
        <v>45181</v>
      </c>
      <c r="D358" t="inlineStr">
        <is>
          <t>GÄVLEBORGS LÄN</t>
        </is>
      </c>
      <c r="E358" t="inlineStr">
        <is>
          <t>LJUSDAL</t>
        </is>
      </c>
      <c r="F358" t="inlineStr">
        <is>
          <t>Sveaskog</t>
        </is>
      </c>
      <c r="G358" t="n">
        <v>3.4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63078-2019</t>
        </is>
      </c>
      <c r="B359" s="1" t="n">
        <v>43791</v>
      </c>
      <c r="C359" s="1" t="n">
        <v>45181</v>
      </c>
      <c r="D359" t="inlineStr">
        <is>
          <t>GÄVLEBORGS LÄN</t>
        </is>
      </c>
      <c r="E359" t="inlineStr">
        <is>
          <t>LJUSDAL</t>
        </is>
      </c>
      <c r="F359" t="inlineStr">
        <is>
          <t>Allmännings- och besparingsskogar</t>
        </is>
      </c>
      <c r="G359" t="n">
        <v>7.5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63108-2019</t>
        </is>
      </c>
      <c r="B360" s="1" t="n">
        <v>43791</v>
      </c>
      <c r="C360" s="1" t="n">
        <v>45181</v>
      </c>
      <c r="D360" t="inlineStr">
        <is>
          <t>GÄVLEBORGS LÄN</t>
        </is>
      </c>
      <c r="E360" t="inlineStr">
        <is>
          <t>LJUSDAL</t>
        </is>
      </c>
      <c r="F360" t="inlineStr">
        <is>
          <t>Allmännings- och besparingsskogar</t>
        </is>
      </c>
      <c r="G360" t="n">
        <v>6.9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64373-2019</t>
        </is>
      </c>
      <c r="B361" s="1" t="n">
        <v>43794</v>
      </c>
      <c r="C361" s="1" t="n">
        <v>45181</v>
      </c>
      <c r="D361" t="inlineStr">
        <is>
          <t>GÄVLEBORGS LÄN</t>
        </is>
      </c>
      <c r="E361" t="inlineStr">
        <is>
          <t>LJUSDAL</t>
        </is>
      </c>
      <c r="G361" t="n">
        <v>25.3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64390-2019</t>
        </is>
      </c>
      <c r="B362" s="1" t="n">
        <v>43794</v>
      </c>
      <c r="C362" s="1" t="n">
        <v>45181</v>
      </c>
      <c r="D362" t="inlineStr">
        <is>
          <t>GÄVLEBORGS LÄN</t>
        </is>
      </c>
      <c r="E362" t="inlineStr">
        <is>
          <t>LJUSDAL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64192-2019</t>
        </is>
      </c>
      <c r="B363" s="1" t="n">
        <v>43797</v>
      </c>
      <c r="C363" s="1" t="n">
        <v>45181</v>
      </c>
      <c r="D363" t="inlineStr">
        <is>
          <t>GÄVLEBORGS LÄN</t>
        </is>
      </c>
      <c r="E363" t="inlineStr">
        <is>
          <t>LJUSDAL</t>
        </is>
      </c>
      <c r="G363" t="n">
        <v>2.4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64944-2019</t>
        </is>
      </c>
      <c r="B364" s="1" t="n">
        <v>43801</v>
      </c>
      <c r="C364" s="1" t="n">
        <v>45181</v>
      </c>
      <c r="D364" t="inlineStr">
        <is>
          <t>GÄVLEBORGS LÄN</t>
        </is>
      </c>
      <c r="E364" t="inlineStr">
        <is>
          <t>LJUSDAL</t>
        </is>
      </c>
      <c r="F364" t="inlineStr">
        <is>
          <t>Holmen skog AB</t>
        </is>
      </c>
      <c r="G364" t="n">
        <v>4.2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65291-2019</t>
        </is>
      </c>
      <c r="B365" s="1" t="n">
        <v>43802</v>
      </c>
      <c r="C365" s="1" t="n">
        <v>45181</v>
      </c>
      <c r="D365" t="inlineStr">
        <is>
          <t>GÄVLEBORGS LÄN</t>
        </is>
      </c>
      <c r="E365" t="inlineStr">
        <is>
          <t>LJUSDAL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65262-2019</t>
        </is>
      </c>
      <c r="B366" s="1" t="n">
        <v>43802</v>
      </c>
      <c r="C366" s="1" t="n">
        <v>45181</v>
      </c>
      <c r="D366" t="inlineStr">
        <is>
          <t>GÄVLEBORGS LÄN</t>
        </is>
      </c>
      <c r="E366" t="inlineStr">
        <is>
          <t>LJUSDAL</t>
        </is>
      </c>
      <c r="G366" t="n">
        <v>3.6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66212-2019</t>
        </is>
      </c>
      <c r="B367" s="1" t="n">
        <v>43808</v>
      </c>
      <c r="C367" s="1" t="n">
        <v>45181</v>
      </c>
      <c r="D367" t="inlineStr">
        <is>
          <t>GÄVLEBORGS LÄN</t>
        </is>
      </c>
      <c r="E367" t="inlineStr">
        <is>
          <t>LJUSDAL</t>
        </is>
      </c>
      <c r="G367" t="n">
        <v>6.6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66756-2019</t>
        </is>
      </c>
      <c r="B368" s="1" t="n">
        <v>43810</v>
      </c>
      <c r="C368" s="1" t="n">
        <v>45181</v>
      </c>
      <c r="D368" t="inlineStr">
        <is>
          <t>GÄVLEBORGS LÄN</t>
        </is>
      </c>
      <c r="E368" t="inlineStr">
        <is>
          <t>LJUSDAL</t>
        </is>
      </c>
      <c r="F368" t="inlineStr">
        <is>
          <t>Bergvik skog väst AB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66784-2019</t>
        </is>
      </c>
      <c r="B369" s="1" t="n">
        <v>43810</v>
      </c>
      <c r="C369" s="1" t="n">
        <v>45181</v>
      </c>
      <c r="D369" t="inlineStr">
        <is>
          <t>GÄVLEBORGS LÄN</t>
        </is>
      </c>
      <c r="E369" t="inlineStr">
        <is>
          <t>LJUSDAL</t>
        </is>
      </c>
      <c r="F369" t="inlineStr">
        <is>
          <t>Bergvik skog väst AB</t>
        </is>
      </c>
      <c r="G369" t="n">
        <v>2.3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67651-2019</t>
        </is>
      </c>
      <c r="B370" s="1" t="n">
        <v>43815</v>
      </c>
      <c r="C370" s="1" t="n">
        <v>45181</v>
      </c>
      <c r="D370" t="inlineStr">
        <is>
          <t>GÄVLEBORGS LÄN</t>
        </is>
      </c>
      <c r="E370" t="inlineStr">
        <is>
          <t>LJUSDAL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67730-2019</t>
        </is>
      </c>
      <c r="B371" s="1" t="n">
        <v>43815</v>
      </c>
      <c r="C371" s="1" t="n">
        <v>45181</v>
      </c>
      <c r="D371" t="inlineStr">
        <is>
          <t>GÄVLEBORGS LÄN</t>
        </is>
      </c>
      <c r="E371" t="inlineStr">
        <is>
          <t>LJUSDAL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408-2020</t>
        </is>
      </c>
      <c r="B372" s="1" t="n">
        <v>43816</v>
      </c>
      <c r="C372" s="1" t="n">
        <v>45181</v>
      </c>
      <c r="D372" t="inlineStr">
        <is>
          <t>GÄVLEBORGS LÄN</t>
        </is>
      </c>
      <c r="E372" t="inlineStr">
        <is>
          <t>LJUSDAL</t>
        </is>
      </c>
      <c r="G372" t="n">
        <v>3.7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329-2020</t>
        </is>
      </c>
      <c r="B373" s="1" t="n">
        <v>43837</v>
      </c>
      <c r="C373" s="1" t="n">
        <v>45181</v>
      </c>
      <c r="D373" t="inlineStr">
        <is>
          <t>GÄVLEBORGS LÄN</t>
        </is>
      </c>
      <c r="E373" t="inlineStr">
        <is>
          <t>LJUSDAL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562-2020</t>
        </is>
      </c>
      <c r="B374" s="1" t="n">
        <v>43838</v>
      </c>
      <c r="C374" s="1" t="n">
        <v>45181</v>
      </c>
      <c r="D374" t="inlineStr">
        <is>
          <t>GÄVLEBORGS LÄN</t>
        </is>
      </c>
      <c r="E374" t="inlineStr">
        <is>
          <t>LJUSDAL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1231-2020</t>
        </is>
      </c>
      <c r="B375" s="1" t="n">
        <v>43840</v>
      </c>
      <c r="C375" s="1" t="n">
        <v>45181</v>
      </c>
      <c r="D375" t="inlineStr">
        <is>
          <t>GÄVLEBORGS LÄN</t>
        </is>
      </c>
      <c r="E375" t="inlineStr">
        <is>
          <t>LJUSDAL</t>
        </is>
      </c>
      <c r="F375" t="inlineStr">
        <is>
          <t>Kommuner</t>
        </is>
      </c>
      <c r="G375" t="n">
        <v>4.5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2775-2020</t>
        </is>
      </c>
      <c r="B376" s="1" t="n">
        <v>43850</v>
      </c>
      <c r="C376" s="1" t="n">
        <v>45181</v>
      </c>
      <c r="D376" t="inlineStr">
        <is>
          <t>GÄVLEBORGS LÄN</t>
        </is>
      </c>
      <c r="E376" t="inlineStr">
        <is>
          <t>LJUSDAL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2972-2020</t>
        </is>
      </c>
      <c r="B377" s="1" t="n">
        <v>43850</v>
      </c>
      <c r="C377" s="1" t="n">
        <v>45181</v>
      </c>
      <c r="D377" t="inlineStr">
        <is>
          <t>GÄVLEBORGS LÄN</t>
        </is>
      </c>
      <c r="E377" t="inlineStr">
        <is>
          <t>LJUSDAL</t>
        </is>
      </c>
      <c r="G377" t="n">
        <v>5.5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2953-2020</t>
        </is>
      </c>
      <c r="B378" s="1" t="n">
        <v>43850</v>
      </c>
      <c r="C378" s="1" t="n">
        <v>45181</v>
      </c>
      <c r="D378" t="inlineStr">
        <is>
          <t>GÄVLEBORGS LÄN</t>
        </is>
      </c>
      <c r="E378" t="inlineStr">
        <is>
          <t>LJUSDAL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2973-2020</t>
        </is>
      </c>
      <c r="B379" s="1" t="n">
        <v>43850</v>
      </c>
      <c r="C379" s="1" t="n">
        <v>45181</v>
      </c>
      <c r="D379" t="inlineStr">
        <is>
          <t>GÄVLEBORGS LÄN</t>
        </is>
      </c>
      <c r="E379" t="inlineStr">
        <is>
          <t>LJUSDAL</t>
        </is>
      </c>
      <c r="G379" t="n">
        <v>4.7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3136-2020</t>
        </is>
      </c>
      <c r="B380" s="1" t="n">
        <v>43851</v>
      </c>
      <c r="C380" s="1" t="n">
        <v>45181</v>
      </c>
      <c r="D380" t="inlineStr">
        <is>
          <t>GÄVLEBORGS LÄN</t>
        </is>
      </c>
      <c r="E380" t="inlineStr">
        <is>
          <t>LJUSDAL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3110-2020</t>
        </is>
      </c>
      <c r="B381" s="1" t="n">
        <v>43851</v>
      </c>
      <c r="C381" s="1" t="n">
        <v>45181</v>
      </c>
      <c r="D381" t="inlineStr">
        <is>
          <t>GÄVLEBORGS LÄN</t>
        </is>
      </c>
      <c r="E381" t="inlineStr">
        <is>
          <t>LJUSDAL</t>
        </is>
      </c>
      <c r="G381" t="n">
        <v>0.1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4451-2020</t>
        </is>
      </c>
      <c r="B382" s="1" t="n">
        <v>43858</v>
      </c>
      <c r="C382" s="1" t="n">
        <v>45181</v>
      </c>
      <c r="D382" t="inlineStr">
        <is>
          <t>GÄVLEBORGS LÄN</t>
        </is>
      </c>
      <c r="E382" t="inlineStr">
        <is>
          <t>LJUSDAL</t>
        </is>
      </c>
      <c r="G382" t="n">
        <v>6.4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5562-2020</t>
        </is>
      </c>
      <c r="B383" s="1" t="n">
        <v>43861</v>
      </c>
      <c r="C383" s="1" t="n">
        <v>45181</v>
      </c>
      <c r="D383" t="inlineStr">
        <is>
          <t>GÄVLEBORGS LÄN</t>
        </is>
      </c>
      <c r="E383" t="inlineStr">
        <is>
          <t>LJUSDAL</t>
        </is>
      </c>
      <c r="G383" t="n">
        <v>4.1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6117-2020</t>
        </is>
      </c>
      <c r="B384" s="1" t="n">
        <v>43865</v>
      </c>
      <c r="C384" s="1" t="n">
        <v>45181</v>
      </c>
      <c r="D384" t="inlineStr">
        <is>
          <t>GÄVLEBORGS LÄN</t>
        </is>
      </c>
      <c r="E384" t="inlineStr">
        <is>
          <t>LJUSDAL</t>
        </is>
      </c>
      <c r="G384" t="n">
        <v>5.4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6389-2020</t>
        </is>
      </c>
      <c r="B385" s="1" t="n">
        <v>43866</v>
      </c>
      <c r="C385" s="1" t="n">
        <v>45181</v>
      </c>
      <c r="D385" t="inlineStr">
        <is>
          <t>GÄVLEBORGS LÄN</t>
        </is>
      </c>
      <c r="E385" t="inlineStr">
        <is>
          <t>LJUSDAL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9206-2020</t>
        </is>
      </c>
      <c r="B386" s="1" t="n">
        <v>43879</v>
      </c>
      <c r="C386" s="1" t="n">
        <v>45181</v>
      </c>
      <c r="D386" t="inlineStr">
        <is>
          <t>GÄVLEBORGS LÄN</t>
        </is>
      </c>
      <c r="E386" t="inlineStr">
        <is>
          <t>LJUSDAL</t>
        </is>
      </c>
      <c r="G386" t="n">
        <v>5.3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9872-2020</t>
        </is>
      </c>
      <c r="B387" s="1" t="n">
        <v>43882</v>
      </c>
      <c r="C387" s="1" t="n">
        <v>45181</v>
      </c>
      <c r="D387" t="inlineStr">
        <is>
          <t>GÄVLEBORGS LÄN</t>
        </is>
      </c>
      <c r="E387" t="inlineStr">
        <is>
          <t>LJUSDAL</t>
        </is>
      </c>
      <c r="G387" t="n">
        <v>2.3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10295-2020</t>
        </is>
      </c>
      <c r="B388" s="1" t="n">
        <v>43885</v>
      </c>
      <c r="C388" s="1" t="n">
        <v>45181</v>
      </c>
      <c r="D388" t="inlineStr">
        <is>
          <t>GÄVLEBORGS LÄN</t>
        </is>
      </c>
      <c r="E388" t="inlineStr">
        <is>
          <t>LJUSDAL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10521-2020</t>
        </is>
      </c>
      <c r="B389" s="1" t="n">
        <v>43886</v>
      </c>
      <c r="C389" s="1" t="n">
        <v>45181</v>
      </c>
      <c r="D389" t="inlineStr">
        <is>
          <t>GÄVLEBORGS LÄN</t>
        </is>
      </c>
      <c r="E389" t="inlineStr">
        <is>
          <t>LJUSDAL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10536-2020</t>
        </is>
      </c>
      <c r="B390" s="1" t="n">
        <v>43886</v>
      </c>
      <c r="C390" s="1" t="n">
        <v>45181</v>
      </c>
      <c r="D390" t="inlineStr">
        <is>
          <t>GÄVLEBORGS LÄN</t>
        </is>
      </c>
      <c r="E390" t="inlineStr">
        <is>
          <t>LJUSDAL</t>
        </is>
      </c>
      <c r="G390" t="n">
        <v>1.4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11346-2020</t>
        </is>
      </c>
      <c r="B391" s="1" t="n">
        <v>43892</v>
      </c>
      <c r="C391" s="1" t="n">
        <v>45181</v>
      </c>
      <c r="D391" t="inlineStr">
        <is>
          <t>GÄVLEBORGS LÄN</t>
        </is>
      </c>
      <c r="E391" t="inlineStr">
        <is>
          <t>LJUSDAL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11342-2020</t>
        </is>
      </c>
      <c r="B392" s="1" t="n">
        <v>43892</v>
      </c>
      <c r="C392" s="1" t="n">
        <v>45181</v>
      </c>
      <c r="D392" t="inlineStr">
        <is>
          <t>GÄVLEBORGS LÄN</t>
        </is>
      </c>
      <c r="E392" t="inlineStr">
        <is>
          <t>LJUSDAL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11898-2020</t>
        </is>
      </c>
      <c r="B393" s="1" t="n">
        <v>43894</v>
      </c>
      <c r="C393" s="1" t="n">
        <v>45181</v>
      </c>
      <c r="D393" t="inlineStr">
        <is>
          <t>GÄVLEBORGS LÄN</t>
        </is>
      </c>
      <c r="E393" t="inlineStr">
        <is>
          <t>LJUSDAL</t>
        </is>
      </c>
      <c r="F393" t="inlineStr">
        <is>
          <t>Bergvik skog väst AB</t>
        </is>
      </c>
      <c r="G393" t="n">
        <v>3.1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13329-2020</t>
        </is>
      </c>
      <c r="B394" s="1" t="n">
        <v>43902</v>
      </c>
      <c r="C394" s="1" t="n">
        <v>45181</v>
      </c>
      <c r="D394" t="inlineStr">
        <is>
          <t>GÄVLEBORGS LÄN</t>
        </is>
      </c>
      <c r="E394" t="inlineStr">
        <is>
          <t>LJUSDAL</t>
        </is>
      </c>
      <c r="F394" t="inlineStr">
        <is>
          <t>Bergvik skog väst AB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13617-2020</t>
        </is>
      </c>
      <c r="B395" s="1" t="n">
        <v>43903</v>
      </c>
      <c r="C395" s="1" t="n">
        <v>45181</v>
      </c>
      <c r="D395" t="inlineStr">
        <is>
          <t>GÄVLEBORGS LÄN</t>
        </is>
      </c>
      <c r="E395" t="inlineStr">
        <is>
          <t>LJUSDAL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14444-2020</t>
        </is>
      </c>
      <c r="B396" s="1" t="n">
        <v>43908</v>
      </c>
      <c r="C396" s="1" t="n">
        <v>45181</v>
      </c>
      <c r="D396" t="inlineStr">
        <is>
          <t>GÄVLEBORGS LÄN</t>
        </is>
      </c>
      <c r="E396" t="inlineStr">
        <is>
          <t>LJUSDAL</t>
        </is>
      </c>
      <c r="G396" t="n">
        <v>0.3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15198-2020</t>
        </is>
      </c>
      <c r="B397" s="1" t="n">
        <v>43913</v>
      </c>
      <c r="C397" s="1" t="n">
        <v>45181</v>
      </c>
      <c r="D397" t="inlineStr">
        <is>
          <t>GÄVLEBORGS LÄN</t>
        </is>
      </c>
      <c r="E397" t="inlineStr">
        <is>
          <t>LJUSDAL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15343-2020</t>
        </is>
      </c>
      <c r="B398" s="1" t="n">
        <v>43913</v>
      </c>
      <c r="C398" s="1" t="n">
        <v>45181</v>
      </c>
      <c r="D398" t="inlineStr">
        <is>
          <t>GÄVLEBORGS LÄN</t>
        </is>
      </c>
      <c r="E398" t="inlineStr">
        <is>
          <t>LJUSDAL</t>
        </is>
      </c>
      <c r="G398" t="n">
        <v>5.1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17326-2020</t>
        </is>
      </c>
      <c r="B399" s="1" t="n">
        <v>43922</v>
      </c>
      <c r="C399" s="1" t="n">
        <v>45181</v>
      </c>
      <c r="D399" t="inlineStr">
        <is>
          <t>GÄVLEBORGS LÄN</t>
        </is>
      </c>
      <c r="E399" t="inlineStr">
        <is>
          <t>LJUSDAL</t>
        </is>
      </c>
      <c r="F399" t="inlineStr">
        <is>
          <t>Sveaskog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17707-2020</t>
        </is>
      </c>
      <c r="B400" s="1" t="n">
        <v>43924</v>
      </c>
      <c r="C400" s="1" t="n">
        <v>45181</v>
      </c>
      <c r="D400" t="inlineStr">
        <is>
          <t>GÄVLEBORGS LÄN</t>
        </is>
      </c>
      <c r="E400" t="inlineStr">
        <is>
          <t>LJUSDAL</t>
        </is>
      </c>
      <c r="G400" t="n">
        <v>1.1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17745-2020</t>
        </is>
      </c>
      <c r="B401" s="1" t="n">
        <v>43924</v>
      </c>
      <c r="C401" s="1" t="n">
        <v>45181</v>
      </c>
      <c r="D401" t="inlineStr">
        <is>
          <t>GÄVLEBORGS LÄN</t>
        </is>
      </c>
      <c r="E401" t="inlineStr">
        <is>
          <t>LJUSDAL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18699-2020</t>
        </is>
      </c>
      <c r="B402" s="1" t="n">
        <v>43930</v>
      </c>
      <c r="C402" s="1" t="n">
        <v>45181</v>
      </c>
      <c r="D402" t="inlineStr">
        <is>
          <t>GÄVLEBORGS LÄN</t>
        </is>
      </c>
      <c r="E402" t="inlineStr">
        <is>
          <t>LJUSDAL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18913-2020</t>
        </is>
      </c>
      <c r="B403" s="1" t="n">
        <v>43935</v>
      </c>
      <c r="C403" s="1" t="n">
        <v>45181</v>
      </c>
      <c r="D403" t="inlineStr">
        <is>
          <t>GÄVLEBORGS LÄN</t>
        </is>
      </c>
      <c r="E403" t="inlineStr">
        <is>
          <t>LJUSDAL</t>
        </is>
      </c>
      <c r="F403" t="inlineStr">
        <is>
          <t>Sveaskog</t>
        </is>
      </c>
      <c r="G403" t="n">
        <v>3.6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20076-2020</t>
        </is>
      </c>
      <c r="B404" s="1" t="n">
        <v>43943</v>
      </c>
      <c r="C404" s="1" t="n">
        <v>45181</v>
      </c>
      <c r="D404" t="inlineStr">
        <is>
          <t>GÄVLEBORGS LÄN</t>
        </is>
      </c>
      <c r="E404" t="inlineStr">
        <is>
          <t>LJUSDAL</t>
        </is>
      </c>
      <c r="G404" t="n">
        <v>5.7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20078-2020</t>
        </is>
      </c>
      <c r="B405" s="1" t="n">
        <v>43943</v>
      </c>
      <c r="C405" s="1" t="n">
        <v>45181</v>
      </c>
      <c r="D405" t="inlineStr">
        <is>
          <t>GÄVLEBORGS LÄN</t>
        </is>
      </c>
      <c r="E405" t="inlineStr">
        <is>
          <t>LJUSDAL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20093-2020</t>
        </is>
      </c>
      <c r="B406" s="1" t="n">
        <v>43943</v>
      </c>
      <c r="C406" s="1" t="n">
        <v>45181</v>
      </c>
      <c r="D406" t="inlineStr">
        <is>
          <t>GÄVLEBORGS LÄN</t>
        </is>
      </c>
      <c r="E406" t="inlineStr">
        <is>
          <t>LJUSDAL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20224-2020</t>
        </is>
      </c>
      <c r="B407" s="1" t="n">
        <v>43944</v>
      </c>
      <c r="C407" s="1" t="n">
        <v>45181</v>
      </c>
      <c r="D407" t="inlineStr">
        <is>
          <t>GÄVLEBORGS LÄN</t>
        </is>
      </c>
      <c r="E407" t="inlineStr">
        <is>
          <t>LJUSDAL</t>
        </is>
      </c>
      <c r="G407" t="n">
        <v>1.5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20215-2020</t>
        </is>
      </c>
      <c r="B408" s="1" t="n">
        <v>43944</v>
      </c>
      <c r="C408" s="1" t="n">
        <v>45181</v>
      </c>
      <c r="D408" t="inlineStr">
        <is>
          <t>GÄVLEBORGS LÄN</t>
        </is>
      </c>
      <c r="E408" t="inlineStr">
        <is>
          <t>LJUSDAL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20256-2020</t>
        </is>
      </c>
      <c r="B409" s="1" t="n">
        <v>43945</v>
      </c>
      <c r="C409" s="1" t="n">
        <v>45181</v>
      </c>
      <c r="D409" t="inlineStr">
        <is>
          <t>GÄVLEBORGS LÄN</t>
        </is>
      </c>
      <c r="E409" t="inlineStr">
        <is>
          <t>LJUSDAL</t>
        </is>
      </c>
      <c r="G409" t="n">
        <v>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20347-2020</t>
        </is>
      </c>
      <c r="B410" s="1" t="n">
        <v>43945</v>
      </c>
      <c r="C410" s="1" t="n">
        <v>45181</v>
      </c>
      <c r="D410" t="inlineStr">
        <is>
          <t>GÄVLEBORGS LÄN</t>
        </is>
      </c>
      <c r="E410" t="inlineStr">
        <is>
          <t>LJUSDAL</t>
        </is>
      </c>
      <c r="F410" t="inlineStr">
        <is>
          <t>Sveaskog</t>
        </is>
      </c>
      <c r="G410" t="n">
        <v>1.9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20259-2020</t>
        </is>
      </c>
      <c r="B411" s="1" t="n">
        <v>43945</v>
      </c>
      <c r="C411" s="1" t="n">
        <v>45181</v>
      </c>
      <c r="D411" t="inlineStr">
        <is>
          <t>GÄVLEBORGS LÄN</t>
        </is>
      </c>
      <c r="E411" t="inlineStr">
        <is>
          <t>LJUSDAL</t>
        </is>
      </c>
      <c r="G411" t="n">
        <v>14.3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20365-2020</t>
        </is>
      </c>
      <c r="B412" s="1" t="n">
        <v>43945</v>
      </c>
      <c r="C412" s="1" t="n">
        <v>45181</v>
      </c>
      <c r="D412" t="inlineStr">
        <is>
          <t>GÄVLEBORGS LÄN</t>
        </is>
      </c>
      <c r="E412" t="inlineStr">
        <is>
          <t>LJUSDAL</t>
        </is>
      </c>
      <c r="F412" t="inlineStr">
        <is>
          <t>Allmännings- och besparingsskogar</t>
        </is>
      </c>
      <c r="G412" t="n">
        <v>17.5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20785-2020</t>
        </is>
      </c>
      <c r="B413" s="1" t="n">
        <v>43949</v>
      </c>
      <c r="C413" s="1" t="n">
        <v>45181</v>
      </c>
      <c r="D413" t="inlineStr">
        <is>
          <t>GÄVLEBORGS LÄN</t>
        </is>
      </c>
      <c r="E413" t="inlineStr">
        <is>
          <t>LJUSDAL</t>
        </is>
      </c>
      <c r="F413" t="inlineStr">
        <is>
          <t>Sveaskog</t>
        </is>
      </c>
      <c r="G413" t="n">
        <v>12.5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21060-2020</t>
        </is>
      </c>
      <c r="B414" s="1" t="n">
        <v>43951</v>
      </c>
      <c r="C414" s="1" t="n">
        <v>45181</v>
      </c>
      <c r="D414" t="inlineStr">
        <is>
          <t>GÄVLEBORGS LÄN</t>
        </is>
      </c>
      <c r="E414" t="inlineStr">
        <is>
          <t>LJUSDAL</t>
        </is>
      </c>
      <c r="F414" t="inlineStr">
        <is>
          <t>Holmen skog AB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21078-2020</t>
        </is>
      </c>
      <c r="B415" s="1" t="n">
        <v>43951</v>
      </c>
      <c r="C415" s="1" t="n">
        <v>45181</v>
      </c>
      <c r="D415" t="inlineStr">
        <is>
          <t>GÄVLEBORGS LÄN</t>
        </is>
      </c>
      <c r="E415" t="inlineStr">
        <is>
          <t>LJUSDAL</t>
        </is>
      </c>
      <c r="F415" t="inlineStr">
        <is>
          <t>Sveaskog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21132-2020</t>
        </is>
      </c>
      <c r="B416" s="1" t="n">
        <v>43951</v>
      </c>
      <c r="C416" s="1" t="n">
        <v>45181</v>
      </c>
      <c r="D416" t="inlineStr">
        <is>
          <t>GÄVLEBORGS LÄN</t>
        </is>
      </c>
      <c r="E416" t="inlineStr">
        <is>
          <t>LJUSDAL</t>
        </is>
      </c>
      <c r="F416" t="inlineStr">
        <is>
          <t>Bergvik skog väst AB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21198-2020</t>
        </is>
      </c>
      <c r="B417" s="1" t="n">
        <v>43951</v>
      </c>
      <c r="C417" s="1" t="n">
        <v>45181</v>
      </c>
      <c r="D417" t="inlineStr">
        <is>
          <t>GÄVLEBORGS LÄN</t>
        </is>
      </c>
      <c r="E417" t="inlineStr">
        <is>
          <t>LJUSDAL</t>
        </is>
      </c>
      <c r="F417" t="inlineStr">
        <is>
          <t>Sveaskog</t>
        </is>
      </c>
      <c r="G417" t="n">
        <v>38.7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21145-2020</t>
        </is>
      </c>
      <c r="B418" s="1" t="n">
        <v>43951</v>
      </c>
      <c r="C418" s="1" t="n">
        <v>45181</v>
      </c>
      <c r="D418" t="inlineStr">
        <is>
          <t>GÄVLEBORGS LÄN</t>
        </is>
      </c>
      <c r="E418" t="inlineStr">
        <is>
          <t>LJUSDAL</t>
        </is>
      </c>
      <c r="G418" t="n">
        <v>0.9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21406-2020</t>
        </is>
      </c>
      <c r="B419" s="1" t="n">
        <v>43955</v>
      </c>
      <c r="C419" s="1" t="n">
        <v>45181</v>
      </c>
      <c r="D419" t="inlineStr">
        <is>
          <t>GÄVLEBORGS LÄN</t>
        </is>
      </c>
      <c r="E419" t="inlineStr">
        <is>
          <t>LJUSDAL</t>
        </is>
      </c>
      <c r="F419" t="inlineStr">
        <is>
          <t>Sveaskog</t>
        </is>
      </c>
      <c r="G419" t="n">
        <v>3.5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22004-2020</t>
        </is>
      </c>
      <c r="B420" s="1" t="n">
        <v>43959</v>
      </c>
      <c r="C420" s="1" t="n">
        <v>45181</v>
      </c>
      <c r="D420" t="inlineStr">
        <is>
          <t>GÄVLEBORGS LÄN</t>
        </is>
      </c>
      <c r="E420" t="inlineStr">
        <is>
          <t>LJUSDAL</t>
        </is>
      </c>
      <c r="F420" t="inlineStr">
        <is>
          <t>Sveaskog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22002-2020</t>
        </is>
      </c>
      <c r="B421" s="1" t="n">
        <v>43959</v>
      </c>
      <c r="C421" s="1" t="n">
        <v>45181</v>
      </c>
      <c r="D421" t="inlineStr">
        <is>
          <t>GÄVLEBORGS LÄN</t>
        </is>
      </c>
      <c r="E421" t="inlineStr">
        <is>
          <t>LJUSDAL</t>
        </is>
      </c>
      <c r="F421" t="inlineStr">
        <is>
          <t>Sveaskog</t>
        </is>
      </c>
      <c r="G421" t="n">
        <v>1.9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22006-2020</t>
        </is>
      </c>
      <c r="B422" s="1" t="n">
        <v>43959</v>
      </c>
      <c r="C422" s="1" t="n">
        <v>45181</v>
      </c>
      <c r="D422" t="inlineStr">
        <is>
          <t>GÄVLEBORGS LÄN</t>
        </is>
      </c>
      <c r="E422" t="inlineStr">
        <is>
          <t>LJUSDAL</t>
        </is>
      </c>
      <c r="F422" t="inlineStr">
        <is>
          <t>Sveaskog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22018-2020</t>
        </is>
      </c>
      <c r="B423" s="1" t="n">
        <v>43959</v>
      </c>
      <c r="C423" s="1" t="n">
        <v>45181</v>
      </c>
      <c r="D423" t="inlineStr">
        <is>
          <t>GÄVLEBORGS LÄN</t>
        </is>
      </c>
      <c r="E423" t="inlineStr">
        <is>
          <t>LJUSDAL</t>
        </is>
      </c>
      <c r="F423" t="inlineStr">
        <is>
          <t>Sveaskog</t>
        </is>
      </c>
      <c r="G423" t="n">
        <v>3.9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22160-2020</t>
        </is>
      </c>
      <c r="B424" s="1" t="n">
        <v>43962</v>
      </c>
      <c r="C424" s="1" t="n">
        <v>45181</v>
      </c>
      <c r="D424" t="inlineStr">
        <is>
          <t>GÄVLEBORGS LÄN</t>
        </is>
      </c>
      <c r="E424" t="inlineStr">
        <is>
          <t>LJUSDAL</t>
        </is>
      </c>
      <c r="F424" t="inlineStr">
        <is>
          <t>Holmen skog AB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22378-2020</t>
        </is>
      </c>
      <c r="B425" s="1" t="n">
        <v>43962</v>
      </c>
      <c r="C425" s="1" t="n">
        <v>45181</v>
      </c>
      <c r="D425" t="inlineStr">
        <is>
          <t>GÄVLEBORGS LÄN</t>
        </is>
      </c>
      <c r="E425" t="inlineStr">
        <is>
          <t>LJUSDAL</t>
        </is>
      </c>
      <c r="F425" t="inlineStr">
        <is>
          <t>Sveaskog</t>
        </is>
      </c>
      <c r="G425" t="n">
        <v>3.7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22268-2020</t>
        </is>
      </c>
      <c r="B426" s="1" t="n">
        <v>43962</v>
      </c>
      <c r="C426" s="1" t="n">
        <v>45181</v>
      </c>
      <c r="D426" t="inlineStr">
        <is>
          <t>GÄVLEBORGS LÄN</t>
        </is>
      </c>
      <c r="E426" t="inlineStr">
        <is>
          <t>LJUSDAL</t>
        </is>
      </c>
      <c r="F426" t="inlineStr">
        <is>
          <t>Sveaskog</t>
        </is>
      </c>
      <c r="G426" t="n">
        <v>7.5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22361-2020</t>
        </is>
      </c>
      <c r="B427" s="1" t="n">
        <v>43962</v>
      </c>
      <c r="C427" s="1" t="n">
        <v>45181</v>
      </c>
      <c r="D427" t="inlineStr">
        <is>
          <t>GÄVLEBORGS LÄN</t>
        </is>
      </c>
      <c r="E427" t="inlineStr">
        <is>
          <t>LJUSDAL</t>
        </is>
      </c>
      <c r="F427" t="inlineStr">
        <is>
          <t>Bergvik skog väst AB</t>
        </is>
      </c>
      <c r="G427" t="n">
        <v>2.5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22875-2020</t>
        </is>
      </c>
      <c r="B428" s="1" t="n">
        <v>43964</v>
      </c>
      <c r="C428" s="1" t="n">
        <v>45181</v>
      </c>
      <c r="D428" t="inlineStr">
        <is>
          <t>GÄVLEBORGS LÄN</t>
        </is>
      </c>
      <c r="E428" t="inlineStr">
        <is>
          <t>LJUSDAL</t>
        </is>
      </c>
      <c r="F428" t="inlineStr">
        <is>
          <t>Sveaskog</t>
        </is>
      </c>
      <c r="G428" t="n">
        <v>1.4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23117-2020</t>
        </is>
      </c>
      <c r="B429" s="1" t="n">
        <v>43965</v>
      </c>
      <c r="C429" s="1" t="n">
        <v>45181</v>
      </c>
      <c r="D429" t="inlineStr">
        <is>
          <t>GÄVLEBORGS LÄN</t>
        </is>
      </c>
      <c r="E429" t="inlineStr">
        <is>
          <t>LJUSDAL</t>
        </is>
      </c>
      <c r="F429" t="inlineStr">
        <is>
          <t>Bergvik skog väst AB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22959-2020</t>
        </is>
      </c>
      <c r="B430" s="1" t="n">
        <v>43965</v>
      </c>
      <c r="C430" s="1" t="n">
        <v>45181</v>
      </c>
      <c r="D430" t="inlineStr">
        <is>
          <t>GÄVLEBORGS LÄN</t>
        </is>
      </c>
      <c r="E430" t="inlineStr">
        <is>
          <t>LJUSDAL</t>
        </is>
      </c>
      <c r="F430" t="inlineStr">
        <is>
          <t>Sveaskog</t>
        </is>
      </c>
      <c r="G430" t="n">
        <v>6.5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23276-2020</t>
        </is>
      </c>
      <c r="B431" s="1" t="n">
        <v>43966</v>
      </c>
      <c r="C431" s="1" t="n">
        <v>45181</v>
      </c>
      <c r="D431" t="inlineStr">
        <is>
          <t>GÄVLEBORGS LÄN</t>
        </is>
      </c>
      <c r="E431" t="inlineStr">
        <is>
          <t>LJUSDAL</t>
        </is>
      </c>
      <c r="F431" t="inlineStr">
        <is>
          <t>Sveaskog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23280-2020</t>
        </is>
      </c>
      <c r="B432" s="1" t="n">
        <v>43966</v>
      </c>
      <c r="C432" s="1" t="n">
        <v>45181</v>
      </c>
      <c r="D432" t="inlineStr">
        <is>
          <t>GÄVLEBORGS LÄN</t>
        </is>
      </c>
      <c r="E432" t="inlineStr">
        <is>
          <t>LJUSDAL</t>
        </is>
      </c>
      <c r="F432" t="inlineStr">
        <is>
          <t>Sveaskog</t>
        </is>
      </c>
      <c r="G432" t="n">
        <v>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23271-2020</t>
        </is>
      </c>
      <c r="B433" s="1" t="n">
        <v>43966</v>
      </c>
      <c r="C433" s="1" t="n">
        <v>45181</v>
      </c>
      <c r="D433" t="inlineStr">
        <is>
          <t>GÄVLEBORGS LÄN</t>
        </is>
      </c>
      <c r="E433" t="inlineStr">
        <is>
          <t>LJUSDAL</t>
        </is>
      </c>
      <c r="F433" t="inlineStr">
        <is>
          <t>Sveaskog</t>
        </is>
      </c>
      <c r="G433" t="n">
        <v>2.3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23424-2020</t>
        </is>
      </c>
      <c r="B434" s="1" t="n">
        <v>43969</v>
      </c>
      <c r="C434" s="1" t="n">
        <v>45181</v>
      </c>
      <c r="D434" t="inlineStr">
        <is>
          <t>GÄVLEBORGS LÄN</t>
        </is>
      </c>
      <c r="E434" t="inlineStr">
        <is>
          <t>LJUSDAL</t>
        </is>
      </c>
      <c r="F434" t="inlineStr">
        <is>
          <t>Holmen skog AB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23866-2020</t>
        </is>
      </c>
      <c r="B435" s="1" t="n">
        <v>43971</v>
      </c>
      <c r="C435" s="1" t="n">
        <v>45181</v>
      </c>
      <c r="D435" t="inlineStr">
        <is>
          <t>GÄVLEBORGS LÄN</t>
        </is>
      </c>
      <c r="E435" t="inlineStr">
        <is>
          <t>LJUSDAL</t>
        </is>
      </c>
      <c r="F435" t="inlineStr">
        <is>
          <t>Sveaskog</t>
        </is>
      </c>
      <c r="G435" t="n">
        <v>2.8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23981-2020</t>
        </is>
      </c>
      <c r="B436" s="1" t="n">
        <v>43971</v>
      </c>
      <c r="C436" s="1" t="n">
        <v>45181</v>
      </c>
      <c r="D436" t="inlineStr">
        <is>
          <t>GÄVLEBORGS LÄN</t>
        </is>
      </c>
      <c r="E436" t="inlineStr">
        <is>
          <t>LJUSDAL</t>
        </is>
      </c>
      <c r="F436" t="inlineStr">
        <is>
          <t>Bergvik skog väst AB</t>
        </is>
      </c>
      <c r="G436" t="n">
        <v>9.4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23966-2020</t>
        </is>
      </c>
      <c r="B437" s="1" t="n">
        <v>43971</v>
      </c>
      <c r="C437" s="1" t="n">
        <v>45181</v>
      </c>
      <c r="D437" t="inlineStr">
        <is>
          <t>GÄVLEBORGS LÄN</t>
        </is>
      </c>
      <c r="E437" t="inlineStr">
        <is>
          <t>LJUSDAL</t>
        </is>
      </c>
      <c r="F437" t="inlineStr">
        <is>
          <t>Holmen skog AB</t>
        </is>
      </c>
      <c r="G437" t="n">
        <v>16.9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24621-2020</t>
        </is>
      </c>
      <c r="B438" s="1" t="n">
        <v>43977</v>
      </c>
      <c r="C438" s="1" t="n">
        <v>45181</v>
      </c>
      <c r="D438" t="inlineStr">
        <is>
          <t>GÄVLEBORGS LÄN</t>
        </is>
      </c>
      <c r="E438" t="inlineStr">
        <is>
          <t>LJUSDAL</t>
        </is>
      </c>
      <c r="F438" t="inlineStr">
        <is>
          <t>Sveaskog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24824-2020</t>
        </is>
      </c>
      <c r="B439" s="1" t="n">
        <v>43978</v>
      </c>
      <c r="C439" s="1" t="n">
        <v>45181</v>
      </c>
      <c r="D439" t="inlineStr">
        <is>
          <t>GÄVLEBORGS LÄN</t>
        </is>
      </c>
      <c r="E439" t="inlineStr">
        <is>
          <t>LJUSDAL</t>
        </is>
      </c>
      <c r="G439" t="n">
        <v>0.1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25015-2020</t>
        </is>
      </c>
      <c r="B440" s="1" t="n">
        <v>43979</v>
      </c>
      <c r="C440" s="1" t="n">
        <v>45181</v>
      </c>
      <c r="D440" t="inlineStr">
        <is>
          <t>GÄVLEBORGS LÄN</t>
        </is>
      </c>
      <c r="E440" t="inlineStr">
        <is>
          <t>LJUSDAL</t>
        </is>
      </c>
      <c r="F440" t="inlineStr">
        <is>
          <t>Sveaskog</t>
        </is>
      </c>
      <c r="G440" t="n">
        <v>1.8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25060-2020</t>
        </is>
      </c>
      <c r="B441" s="1" t="n">
        <v>43979</v>
      </c>
      <c r="C441" s="1" t="n">
        <v>45181</v>
      </c>
      <c r="D441" t="inlineStr">
        <is>
          <t>GÄVLEBORGS LÄN</t>
        </is>
      </c>
      <c r="E441" t="inlineStr">
        <is>
          <t>LJUSDAL</t>
        </is>
      </c>
      <c r="F441" t="inlineStr">
        <is>
          <t>Sveaskog</t>
        </is>
      </c>
      <c r="G441" t="n">
        <v>5.8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24899-2020</t>
        </is>
      </c>
      <c r="B442" s="1" t="n">
        <v>43979</v>
      </c>
      <c r="C442" s="1" t="n">
        <v>45181</v>
      </c>
      <c r="D442" t="inlineStr">
        <is>
          <t>GÄVLEBORGS LÄN</t>
        </is>
      </c>
      <c r="E442" t="inlineStr">
        <is>
          <t>LJUSDAL</t>
        </is>
      </c>
      <c r="F442" t="inlineStr">
        <is>
          <t>Sveaskog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25018-2020</t>
        </is>
      </c>
      <c r="B443" s="1" t="n">
        <v>43979</v>
      </c>
      <c r="C443" s="1" t="n">
        <v>45181</v>
      </c>
      <c r="D443" t="inlineStr">
        <is>
          <t>GÄVLEBORGS LÄN</t>
        </is>
      </c>
      <c r="E443" t="inlineStr">
        <is>
          <t>LJUSDAL</t>
        </is>
      </c>
      <c r="F443" t="inlineStr">
        <is>
          <t>Sveaskog</t>
        </is>
      </c>
      <c r="G443" t="n">
        <v>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25014-2020</t>
        </is>
      </c>
      <c r="B444" s="1" t="n">
        <v>43979</v>
      </c>
      <c r="C444" s="1" t="n">
        <v>45181</v>
      </c>
      <c r="D444" t="inlineStr">
        <is>
          <t>GÄVLEBORGS LÄN</t>
        </is>
      </c>
      <c r="E444" t="inlineStr">
        <is>
          <t>LJUSDAL</t>
        </is>
      </c>
      <c r="F444" t="inlineStr">
        <is>
          <t>Sveaskog</t>
        </is>
      </c>
      <c r="G444" t="n">
        <v>2.7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26293-2020</t>
        </is>
      </c>
      <c r="B445" s="1" t="n">
        <v>43986</v>
      </c>
      <c r="C445" s="1" t="n">
        <v>45181</v>
      </c>
      <c r="D445" t="inlineStr">
        <is>
          <t>GÄVLEBORGS LÄN</t>
        </is>
      </c>
      <c r="E445" t="inlineStr">
        <is>
          <t>LJUSDAL</t>
        </is>
      </c>
      <c r="G445" t="n">
        <v>3.8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26712-2020</t>
        </is>
      </c>
      <c r="B446" s="1" t="n">
        <v>43990</v>
      </c>
      <c r="C446" s="1" t="n">
        <v>45181</v>
      </c>
      <c r="D446" t="inlineStr">
        <is>
          <t>GÄVLEBORGS LÄN</t>
        </is>
      </c>
      <c r="E446" t="inlineStr">
        <is>
          <t>LJUSDAL</t>
        </is>
      </c>
      <c r="F446" t="inlineStr">
        <is>
          <t>Holmen skog AB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26950-2020</t>
        </is>
      </c>
      <c r="B447" s="1" t="n">
        <v>43990</v>
      </c>
      <c r="C447" s="1" t="n">
        <v>45181</v>
      </c>
      <c r="D447" t="inlineStr">
        <is>
          <t>GÄVLEBORGS LÄN</t>
        </is>
      </c>
      <c r="E447" t="inlineStr">
        <is>
          <t>LJUSDAL</t>
        </is>
      </c>
      <c r="F447" t="inlineStr">
        <is>
          <t>Bergvik skog väst AB</t>
        </is>
      </c>
      <c r="G447" t="n">
        <v>14.8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27079-2020</t>
        </is>
      </c>
      <c r="B448" s="1" t="n">
        <v>43991</v>
      </c>
      <c r="C448" s="1" t="n">
        <v>45181</v>
      </c>
      <c r="D448" t="inlineStr">
        <is>
          <t>GÄVLEBORGS LÄN</t>
        </is>
      </c>
      <c r="E448" t="inlineStr">
        <is>
          <t>LJUSDAL</t>
        </is>
      </c>
      <c r="F448" t="inlineStr">
        <is>
          <t>Bergvik skog väst AB</t>
        </is>
      </c>
      <c r="G448" t="n">
        <v>1.4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27430-2020</t>
        </is>
      </c>
      <c r="B449" s="1" t="n">
        <v>43993</v>
      </c>
      <c r="C449" s="1" t="n">
        <v>45181</v>
      </c>
      <c r="D449" t="inlineStr">
        <is>
          <t>GÄVLEBORGS LÄN</t>
        </is>
      </c>
      <c r="E449" t="inlineStr">
        <is>
          <t>LJUSDAL</t>
        </is>
      </c>
      <c r="F449" t="inlineStr">
        <is>
          <t>Sveaskog</t>
        </is>
      </c>
      <c r="G449" t="n">
        <v>5.3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28932-2020</t>
        </is>
      </c>
      <c r="B450" s="1" t="n">
        <v>44000</v>
      </c>
      <c r="C450" s="1" t="n">
        <v>45181</v>
      </c>
      <c r="D450" t="inlineStr">
        <is>
          <t>GÄVLEBORGS LÄN</t>
        </is>
      </c>
      <c r="E450" t="inlineStr">
        <is>
          <t>LJUSDAL</t>
        </is>
      </c>
      <c r="F450" t="inlineStr">
        <is>
          <t>Kyrkan</t>
        </is>
      </c>
      <c r="G450" t="n">
        <v>36.2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28889-2020</t>
        </is>
      </c>
      <c r="B451" s="1" t="n">
        <v>44000</v>
      </c>
      <c r="C451" s="1" t="n">
        <v>45181</v>
      </c>
      <c r="D451" t="inlineStr">
        <is>
          <t>GÄVLEBORGS LÄN</t>
        </is>
      </c>
      <c r="E451" t="inlineStr">
        <is>
          <t>LJUSDAL</t>
        </is>
      </c>
      <c r="F451" t="inlineStr">
        <is>
          <t>Holmen skog AB</t>
        </is>
      </c>
      <c r="G451" t="n">
        <v>39.1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29692-2020</t>
        </is>
      </c>
      <c r="B452" s="1" t="n">
        <v>44005</v>
      </c>
      <c r="C452" s="1" t="n">
        <v>45181</v>
      </c>
      <c r="D452" t="inlineStr">
        <is>
          <t>GÄVLEBORGS LÄN</t>
        </is>
      </c>
      <c r="E452" t="inlineStr">
        <is>
          <t>LJUSDAL</t>
        </is>
      </c>
      <c r="F452" t="inlineStr">
        <is>
          <t>Sveaskog</t>
        </is>
      </c>
      <c r="G452" t="n">
        <v>21.9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29688-2020</t>
        </is>
      </c>
      <c r="B453" s="1" t="n">
        <v>44005</v>
      </c>
      <c r="C453" s="1" t="n">
        <v>45181</v>
      </c>
      <c r="D453" t="inlineStr">
        <is>
          <t>GÄVLEBORGS LÄN</t>
        </is>
      </c>
      <c r="E453" t="inlineStr">
        <is>
          <t>LJUSDAL</t>
        </is>
      </c>
      <c r="F453" t="inlineStr">
        <is>
          <t>Sveaskog</t>
        </is>
      </c>
      <c r="G453" t="n">
        <v>4.1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29886-2020</t>
        </is>
      </c>
      <c r="B454" s="1" t="n">
        <v>44006</v>
      </c>
      <c r="C454" s="1" t="n">
        <v>45181</v>
      </c>
      <c r="D454" t="inlineStr">
        <is>
          <t>GÄVLEBORGS LÄN</t>
        </is>
      </c>
      <c r="E454" t="inlineStr">
        <is>
          <t>LJUSDAL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30456-2020</t>
        </is>
      </c>
      <c r="B455" s="1" t="n">
        <v>44007</v>
      </c>
      <c r="C455" s="1" t="n">
        <v>45181</v>
      </c>
      <c r="D455" t="inlineStr">
        <is>
          <t>GÄVLEBORGS LÄN</t>
        </is>
      </c>
      <c r="E455" t="inlineStr">
        <is>
          <t>LJUSDAL</t>
        </is>
      </c>
      <c r="F455" t="inlineStr">
        <is>
          <t>Sveaskog</t>
        </is>
      </c>
      <c r="G455" t="n">
        <v>3.5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30127-2020</t>
        </is>
      </c>
      <c r="B456" s="1" t="n">
        <v>44007</v>
      </c>
      <c r="C456" s="1" t="n">
        <v>45181</v>
      </c>
      <c r="D456" t="inlineStr">
        <is>
          <t>GÄVLEBORGS LÄN</t>
        </is>
      </c>
      <c r="E456" t="inlineStr">
        <is>
          <t>LJUSDAL</t>
        </is>
      </c>
      <c r="F456" t="inlineStr">
        <is>
          <t>Sveaskog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30738-2020</t>
        </is>
      </c>
      <c r="B457" s="1" t="n">
        <v>44008</v>
      </c>
      <c r="C457" s="1" t="n">
        <v>45181</v>
      </c>
      <c r="D457" t="inlineStr">
        <is>
          <t>GÄVLEBORGS LÄN</t>
        </is>
      </c>
      <c r="E457" t="inlineStr">
        <is>
          <t>LJUSDAL</t>
        </is>
      </c>
      <c r="F457" t="inlineStr">
        <is>
          <t>Sveaskog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30737-2020</t>
        </is>
      </c>
      <c r="B458" s="1" t="n">
        <v>44008</v>
      </c>
      <c r="C458" s="1" t="n">
        <v>45181</v>
      </c>
      <c r="D458" t="inlineStr">
        <is>
          <t>GÄVLEBORGS LÄN</t>
        </is>
      </c>
      <c r="E458" t="inlineStr">
        <is>
          <t>LJUSDAL</t>
        </is>
      </c>
      <c r="F458" t="inlineStr">
        <is>
          <t>Sveaskog</t>
        </is>
      </c>
      <c r="G458" t="n">
        <v>8.800000000000001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31823-2020</t>
        </is>
      </c>
      <c r="B459" s="1" t="n">
        <v>44014</v>
      </c>
      <c r="C459" s="1" t="n">
        <v>45181</v>
      </c>
      <c r="D459" t="inlineStr">
        <is>
          <t>GÄVLEBORGS LÄN</t>
        </is>
      </c>
      <c r="E459" t="inlineStr">
        <is>
          <t>LJUSDAL</t>
        </is>
      </c>
      <c r="F459" t="inlineStr">
        <is>
          <t>Holmen skog AB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31855-2020</t>
        </is>
      </c>
      <c r="B460" s="1" t="n">
        <v>44014</v>
      </c>
      <c r="C460" s="1" t="n">
        <v>45181</v>
      </c>
      <c r="D460" t="inlineStr">
        <is>
          <t>GÄVLEBORGS LÄN</t>
        </is>
      </c>
      <c r="E460" t="inlineStr">
        <is>
          <t>LJUSDAL</t>
        </is>
      </c>
      <c r="F460" t="inlineStr">
        <is>
          <t>Sveaskog</t>
        </is>
      </c>
      <c r="G460" t="n">
        <v>0.4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31824-2020</t>
        </is>
      </c>
      <c r="B461" s="1" t="n">
        <v>44014</v>
      </c>
      <c r="C461" s="1" t="n">
        <v>45181</v>
      </c>
      <c r="D461" t="inlineStr">
        <is>
          <t>GÄVLEBORGS LÄN</t>
        </is>
      </c>
      <c r="E461" t="inlineStr">
        <is>
          <t>LJUSDAL</t>
        </is>
      </c>
      <c r="F461" t="inlineStr">
        <is>
          <t>Holmen skog AB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33338-2020</t>
        </is>
      </c>
      <c r="B462" s="1" t="n">
        <v>44022</v>
      </c>
      <c r="C462" s="1" t="n">
        <v>45181</v>
      </c>
      <c r="D462" t="inlineStr">
        <is>
          <t>GÄVLEBORGS LÄN</t>
        </is>
      </c>
      <c r="E462" t="inlineStr">
        <is>
          <t>LJUSDAL</t>
        </is>
      </c>
      <c r="F462" t="inlineStr">
        <is>
          <t>Sveaskog</t>
        </is>
      </c>
      <c r="G462" t="n">
        <v>23.5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33328-2020</t>
        </is>
      </c>
      <c r="B463" s="1" t="n">
        <v>44022</v>
      </c>
      <c r="C463" s="1" t="n">
        <v>45181</v>
      </c>
      <c r="D463" t="inlineStr">
        <is>
          <t>GÄVLEBORGS LÄN</t>
        </is>
      </c>
      <c r="E463" t="inlineStr">
        <is>
          <t>LJUSDAL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33876-2020</t>
        </is>
      </c>
      <c r="B464" s="1" t="n">
        <v>44025</v>
      </c>
      <c r="C464" s="1" t="n">
        <v>45181</v>
      </c>
      <c r="D464" t="inlineStr">
        <is>
          <t>GÄVLEBORGS LÄN</t>
        </is>
      </c>
      <c r="E464" t="inlineStr">
        <is>
          <t>LJUSDAL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33647-2020</t>
        </is>
      </c>
      <c r="B465" s="1" t="n">
        <v>44026</v>
      </c>
      <c r="C465" s="1" t="n">
        <v>45181</v>
      </c>
      <c r="D465" t="inlineStr">
        <is>
          <t>GÄVLEBORGS LÄN</t>
        </is>
      </c>
      <c r="E465" t="inlineStr">
        <is>
          <t>LJUSDAL</t>
        </is>
      </c>
      <c r="F465" t="inlineStr">
        <is>
          <t>Sveaskog</t>
        </is>
      </c>
      <c r="G465" t="n">
        <v>6.2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33895-2020</t>
        </is>
      </c>
      <c r="B466" s="1" t="n">
        <v>44027</v>
      </c>
      <c r="C466" s="1" t="n">
        <v>45181</v>
      </c>
      <c r="D466" t="inlineStr">
        <is>
          <t>GÄVLEBORGS LÄN</t>
        </is>
      </c>
      <c r="E466" t="inlineStr">
        <is>
          <t>LJUSDAL</t>
        </is>
      </c>
      <c r="G466" t="n">
        <v>12.5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34034-2020</t>
        </is>
      </c>
      <c r="B467" s="1" t="n">
        <v>44028</v>
      </c>
      <c r="C467" s="1" t="n">
        <v>45181</v>
      </c>
      <c r="D467" t="inlineStr">
        <is>
          <t>GÄVLEBORGS LÄN</t>
        </is>
      </c>
      <c r="E467" t="inlineStr">
        <is>
          <t>LJUSDAL</t>
        </is>
      </c>
      <c r="F467" t="inlineStr">
        <is>
          <t>Holmen skog AB</t>
        </is>
      </c>
      <c r="G467" t="n">
        <v>2.1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34156-2020</t>
        </is>
      </c>
      <c r="B468" s="1" t="n">
        <v>44029</v>
      </c>
      <c r="C468" s="1" t="n">
        <v>45181</v>
      </c>
      <c r="D468" t="inlineStr">
        <is>
          <t>GÄVLEBORGS LÄN</t>
        </is>
      </c>
      <c r="E468" t="inlineStr">
        <is>
          <t>LJUSDAL</t>
        </is>
      </c>
      <c r="F468" t="inlineStr">
        <is>
          <t>Sveaskog</t>
        </is>
      </c>
      <c r="G468" t="n">
        <v>3.7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34193-2020</t>
        </is>
      </c>
      <c r="B469" s="1" t="n">
        <v>44029</v>
      </c>
      <c r="C469" s="1" t="n">
        <v>45181</v>
      </c>
      <c r="D469" t="inlineStr">
        <is>
          <t>GÄVLEBORGS LÄN</t>
        </is>
      </c>
      <c r="E469" t="inlineStr">
        <is>
          <t>LJUSDAL</t>
        </is>
      </c>
      <c r="F469" t="inlineStr">
        <is>
          <t>Sveaskog</t>
        </is>
      </c>
      <c r="G469" t="n">
        <v>3.7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34308-2020</t>
        </is>
      </c>
      <c r="B470" s="1" t="n">
        <v>44031</v>
      </c>
      <c r="C470" s="1" t="n">
        <v>45181</v>
      </c>
      <c r="D470" t="inlineStr">
        <is>
          <t>GÄVLEBORGS LÄN</t>
        </is>
      </c>
      <c r="E470" t="inlineStr">
        <is>
          <t>LJUSDAL</t>
        </is>
      </c>
      <c r="F470" t="inlineStr">
        <is>
          <t>Sveaskog</t>
        </is>
      </c>
      <c r="G470" t="n">
        <v>3.5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34462-2020</t>
        </is>
      </c>
      <c r="B471" s="1" t="n">
        <v>44032</v>
      </c>
      <c r="C471" s="1" t="n">
        <v>45181</v>
      </c>
      <c r="D471" t="inlineStr">
        <is>
          <t>GÄVLEBORGS LÄN</t>
        </is>
      </c>
      <c r="E471" t="inlineStr">
        <is>
          <t>LJUSDAL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34317-2020</t>
        </is>
      </c>
      <c r="B472" s="1" t="n">
        <v>44032</v>
      </c>
      <c r="C472" s="1" t="n">
        <v>45181</v>
      </c>
      <c r="D472" t="inlineStr">
        <is>
          <t>GÄVLEBORGS LÄN</t>
        </is>
      </c>
      <c r="E472" t="inlineStr">
        <is>
          <t>LJUSDAL</t>
        </is>
      </c>
      <c r="F472" t="inlineStr">
        <is>
          <t>Sveaskog</t>
        </is>
      </c>
      <c r="G472" t="n">
        <v>38.4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34316-2020</t>
        </is>
      </c>
      <c r="B473" s="1" t="n">
        <v>44032</v>
      </c>
      <c r="C473" s="1" t="n">
        <v>45181</v>
      </c>
      <c r="D473" t="inlineStr">
        <is>
          <t>GÄVLEBORGS LÄN</t>
        </is>
      </c>
      <c r="E473" t="inlineStr">
        <is>
          <t>LJUSDAL</t>
        </is>
      </c>
      <c r="F473" t="inlineStr">
        <is>
          <t>Sveaskog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34523-2020</t>
        </is>
      </c>
      <c r="B474" s="1" t="n">
        <v>44033</v>
      </c>
      <c r="C474" s="1" t="n">
        <v>45181</v>
      </c>
      <c r="D474" t="inlineStr">
        <is>
          <t>GÄVLEBORGS LÄN</t>
        </is>
      </c>
      <c r="E474" t="inlineStr">
        <is>
          <t>LJUSDAL</t>
        </is>
      </c>
      <c r="G474" t="n">
        <v>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35293-2020</t>
        </is>
      </c>
      <c r="B475" s="1" t="n">
        <v>44041</v>
      </c>
      <c r="C475" s="1" t="n">
        <v>45181</v>
      </c>
      <c r="D475" t="inlineStr">
        <is>
          <t>GÄVLEBORGS LÄN</t>
        </is>
      </c>
      <c r="E475" t="inlineStr">
        <is>
          <t>LJUSDAL</t>
        </is>
      </c>
      <c r="F475" t="inlineStr">
        <is>
          <t>Holmen skog AB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35277-2020</t>
        </is>
      </c>
      <c r="B476" s="1" t="n">
        <v>44041</v>
      </c>
      <c r="C476" s="1" t="n">
        <v>45181</v>
      </c>
      <c r="D476" t="inlineStr">
        <is>
          <t>GÄVLEBORGS LÄN</t>
        </is>
      </c>
      <c r="E476" t="inlineStr">
        <is>
          <t>LJUSDAL</t>
        </is>
      </c>
      <c r="F476" t="inlineStr">
        <is>
          <t>Holmen skog AB</t>
        </is>
      </c>
      <c r="G476" t="n">
        <v>6.1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35297-2020</t>
        </is>
      </c>
      <c r="B477" s="1" t="n">
        <v>44041</v>
      </c>
      <c r="C477" s="1" t="n">
        <v>45181</v>
      </c>
      <c r="D477" t="inlineStr">
        <is>
          <t>GÄVLEBORGS LÄN</t>
        </is>
      </c>
      <c r="E477" t="inlineStr">
        <is>
          <t>LJUSDAL</t>
        </is>
      </c>
      <c r="F477" t="inlineStr">
        <is>
          <t>Holmen skog AB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35404-2020</t>
        </is>
      </c>
      <c r="B478" s="1" t="n">
        <v>44042</v>
      </c>
      <c r="C478" s="1" t="n">
        <v>45181</v>
      </c>
      <c r="D478" t="inlineStr">
        <is>
          <t>GÄVLEBORGS LÄN</t>
        </is>
      </c>
      <c r="E478" t="inlineStr">
        <is>
          <t>LJUSDAL</t>
        </is>
      </c>
      <c r="F478" t="inlineStr">
        <is>
          <t>Sveaskog</t>
        </is>
      </c>
      <c r="G478" t="n">
        <v>8.199999999999999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36362-2020</t>
        </is>
      </c>
      <c r="B479" s="1" t="n">
        <v>44049</v>
      </c>
      <c r="C479" s="1" t="n">
        <v>45181</v>
      </c>
      <c r="D479" t="inlineStr">
        <is>
          <t>GÄVLEBORGS LÄN</t>
        </is>
      </c>
      <c r="E479" t="inlineStr">
        <is>
          <t>LJUSDAL</t>
        </is>
      </c>
      <c r="F479" t="inlineStr">
        <is>
          <t>Holmen skog AB</t>
        </is>
      </c>
      <c r="G479" t="n">
        <v>3.5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36429-2020</t>
        </is>
      </c>
      <c r="B480" s="1" t="n">
        <v>44049</v>
      </c>
      <c r="C480" s="1" t="n">
        <v>45181</v>
      </c>
      <c r="D480" t="inlineStr">
        <is>
          <t>GÄVLEBORGS LÄN</t>
        </is>
      </c>
      <c r="E480" t="inlineStr">
        <is>
          <t>LJUSDAL</t>
        </is>
      </c>
      <c r="F480" t="inlineStr">
        <is>
          <t>Naturvårdsverket</t>
        </is>
      </c>
      <c r="G480" t="n">
        <v>4.2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36693-2020</t>
        </is>
      </c>
      <c r="B481" s="1" t="n">
        <v>44053</v>
      </c>
      <c r="C481" s="1" t="n">
        <v>45181</v>
      </c>
      <c r="D481" t="inlineStr">
        <is>
          <t>GÄVLEBORGS LÄN</t>
        </is>
      </c>
      <c r="E481" t="inlineStr">
        <is>
          <t>LJUSDAL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37532-2020</t>
        </is>
      </c>
      <c r="B482" s="1" t="n">
        <v>44056</v>
      </c>
      <c r="C482" s="1" t="n">
        <v>45181</v>
      </c>
      <c r="D482" t="inlineStr">
        <is>
          <t>GÄVLEBORGS LÄN</t>
        </is>
      </c>
      <c r="E482" t="inlineStr">
        <is>
          <t>LJUSDAL</t>
        </is>
      </c>
      <c r="F482" t="inlineStr">
        <is>
          <t>Sveaskog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37895-2020</t>
        </is>
      </c>
      <c r="B483" s="1" t="n">
        <v>44057</v>
      </c>
      <c r="C483" s="1" t="n">
        <v>45181</v>
      </c>
      <c r="D483" t="inlineStr">
        <is>
          <t>GÄVLEBORGS LÄN</t>
        </is>
      </c>
      <c r="E483" t="inlineStr">
        <is>
          <t>LJUSDAL</t>
        </is>
      </c>
      <c r="F483" t="inlineStr">
        <is>
          <t>Sveaskog</t>
        </is>
      </c>
      <c r="G483" t="n">
        <v>0.9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38185-2020</t>
        </is>
      </c>
      <c r="B484" s="1" t="n">
        <v>44060</v>
      </c>
      <c r="C484" s="1" t="n">
        <v>45181</v>
      </c>
      <c r="D484" t="inlineStr">
        <is>
          <t>GÄVLEBORGS LÄN</t>
        </is>
      </c>
      <c r="E484" t="inlineStr">
        <is>
          <t>LJUSDAL</t>
        </is>
      </c>
      <c r="F484" t="inlineStr">
        <is>
          <t>Holmen skog AB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38685-2020</t>
        </is>
      </c>
      <c r="B485" s="1" t="n">
        <v>44061</v>
      </c>
      <c r="C485" s="1" t="n">
        <v>45181</v>
      </c>
      <c r="D485" t="inlineStr">
        <is>
          <t>GÄVLEBORGS LÄN</t>
        </is>
      </c>
      <c r="E485" t="inlineStr">
        <is>
          <t>LJUSDAL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38597-2020</t>
        </is>
      </c>
      <c r="B486" s="1" t="n">
        <v>44061</v>
      </c>
      <c r="C486" s="1" t="n">
        <v>45181</v>
      </c>
      <c r="D486" t="inlineStr">
        <is>
          <t>GÄVLEBORGS LÄN</t>
        </is>
      </c>
      <c r="E486" t="inlineStr">
        <is>
          <t>LJUSDAL</t>
        </is>
      </c>
      <c r="G486" t="n">
        <v>1.3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38599-2020</t>
        </is>
      </c>
      <c r="B487" s="1" t="n">
        <v>44061</v>
      </c>
      <c r="C487" s="1" t="n">
        <v>45181</v>
      </c>
      <c r="D487" t="inlineStr">
        <is>
          <t>GÄVLEBORGS LÄN</t>
        </is>
      </c>
      <c r="E487" t="inlineStr">
        <is>
          <t>LJUSDAL</t>
        </is>
      </c>
      <c r="G487" t="n">
        <v>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38773-2020</t>
        </is>
      </c>
      <c r="B488" s="1" t="n">
        <v>44061</v>
      </c>
      <c r="C488" s="1" t="n">
        <v>45181</v>
      </c>
      <c r="D488" t="inlineStr">
        <is>
          <t>GÄVLEBORGS LÄN</t>
        </is>
      </c>
      <c r="E488" t="inlineStr">
        <is>
          <t>LJUSDAL</t>
        </is>
      </c>
      <c r="F488" t="inlineStr">
        <is>
          <t>Sveaskog</t>
        </is>
      </c>
      <c r="G488" t="n">
        <v>1.2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38810-2020</t>
        </is>
      </c>
      <c r="B489" s="1" t="n">
        <v>44062</v>
      </c>
      <c r="C489" s="1" t="n">
        <v>45181</v>
      </c>
      <c r="D489" t="inlineStr">
        <is>
          <t>GÄVLEBORGS LÄN</t>
        </is>
      </c>
      <c r="E489" t="inlineStr">
        <is>
          <t>LJUSDAL</t>
        </is>
      </c>
      <c r="F489" t="inlineStr">
        <is>
          <t>Holmen skog AB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39490-2020</t>
        </is>
      </c>
      <c r="B490" s="1" t="n">
        <v>44064</v>
      </c>
      <c r="C490" s="1" t="n">
        <v>45181</v>
      </c>
      <c r="D490" t="inlineStr">
        <is>
          <t>GÄVLEBORGS LÄN</t>
        </is>
      </c>
      <c r="E490" t="inlineStr">
        <is>
          <t>LJUSDAL</t>
        </is>
      </c>
      <c r="F490" t="inlineStr">
        <is>
          <t>Sveaskog</t>
        </is>
      </c>
      <c r="G490" t="n">
        <v>8.800000000000001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39498-2020</t>
        </is>
      </c>
      <c r="B491" s="1" t="n">
        <v>44064</v>
      </c>
      <c r="C491" s="1" t="n">
        <v>45181</v>
      </c>
      <c r="D491" t="inlineStr">
        <is>
          <t>GÄVLEBORGS LÄN</t>
        </is>
      </c>
      <c r="E491" t="inlineStr">
        <is>
          <t>LJUSDAL</t>
        </is>
      </c>
      <c r="F491" t="inlineStr">
        <is>
          <t>Sveaskog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39489-2020</t>
        </is>
      </c>
      <c r="B492" s="1" t="n">
        <v>44064</v>
      </c>
      <c r="C492" s="1" t="n">
        <v>45181</v>
      </c>
      <c r="D492" t="inlineStr">
        <is>
          <t>GÄVLEBORGS LÄN</t>
        </is>
      </c>
      <c r="E492" t="inlineStr">
        <is>
          <t>LJUSDAL</t>
        </is>
      </c>
      <c r="F492" t="inlineStr">
        <is>
          <t>Sveaskog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39497-2020</t>
        </is>
      </c>
      <c r="B493" s="1" t="n">
        <v>44064</v>
      </c>
      <c r="C493" s="1" t="n">
        <v>45181</v>
      </c>
      <c r="D493" t="inlineStr">
        <is>
          <t>GÄVLEBORGS LÄN</t>
        </is>
      </c>
      <c r="E493" t="inlineStr">
        <is>
          <t>LJUSDAL</t>
        </is>
      </c>
      <c r="F493" t="inlineStr">
        <is>
          <t>Sveaskog</t>
        </is>
      </c>
      <c r="G493" t="n">
        <v>6.7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39881-2020</t>
        </is>
      </c>
      <c r="B494" s="1" t="n">
        <v>44067</v>
      </c>
      <c r="C494" s="1" t="n">
        <v>45181</v>
      </c>
      <c r="D494" t="inlineStr">
        <is>
          <t>GÄVLEBORGS LÄN</t>
        </is>
      </c>
      <c r="E494" t="inlineStr">
        <is>
          <t>LJUSDAL</t>
        </is>
      </c>
      <c r="F494" t="inlineStr">
        <is>
          <t>Allmännings- och besparingsskogar</t>
        </is>
      </c>
      <c r="G494" t="n">
        <v>3.8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40345-2020</t>
        </is>
      </c>
      <c r="B495" s="1" t="n">
        <v>44068</v>
      </c>
      <c r="C495" s="1" t="n">
        <v>45181</v>
      </c>
      <c r="D495" t="inlineStr">
        <is>
          <t>GÄVLEBORGS LÄN</t>
        </is>
      </c>
      <c r="E495" t="inlineStr">
        <is>
          <t>LJUSDAL</t>
        </is>
      </c>
      <c r="F495" t="inlineStr">
        <is>
          <t>Bergvik skog väst AB</t>
        </is>
      </c>
      <c r="G495" t="n">
        <v>2.8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40610-2020</t>
        </is>
      </c>
      <c r="B496" s="1" t="n">
        <v>44069</v>
      </c>
      <c r="C496" s="1" t="n">
        <v>45181</v>
      </c>
      <c r="D496" t="inlineStr">
        <is>
          <t>GÄVLEBORGS LÄN</t>
        </is>
      </c>
      <c r="E496" t="inlineStr">
        <is>
          <t>LJUSDAL</t>
        </is>
      </c>
      <c r="F496" t="inlineStr">
        <is>
          <t>Sveaskog</t>
        </is>
      </c>
      <c r="G496" t="n">
        <v>2.3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40422-2020</t>
        </is>
      </c>
      <c r="B497" s="1" t="n">
        <v>44069</v>
      </c>
      <c r="C497" s="1" t="n">
        <v>45181</v>
      </c>
      <c r="D497" t="inlineStr">
        <is>
          <t>GÄVLEBORGS LÄN</t>
        </is>
      </c>
      <c r="E497" t="inlineStr">
        <is>
          <t>LJUSDAL</t>
        </is>
      </c>
      <c r="F497" t="inlineStr">
        <is>
          <t>Sveaskog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40599-2020</t>
        </is>
      </c>
      <c r="B498" s="1" t="n">
        <v>44069</v>
      </c>
      <c r="C498" s="1" t="n">
        <v>45181</v>
      </c>
      <c r="D498" t="inlineStr">
        <is>
          <t>GÄVLEBORGS LÄN</t>
        </is>
      </c>
      <c r="E498" t="inlineStr">
        <is>
          <t>LJUSDAL</t>
        </is>
      </c>
      <c r="F498" t="inlineStr">
        <is>
          <t>Sveaskog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40614-2020</t>
        </is>
      </c>
      <c r="B499" s="1" t="n">
        <v>44069</v>
      </c>
      <c r="C499" s="1" t="n">
        <v>45181</v>
      </c>
      <c r="D499" t="inlineStr">
        <is>
          <t>GÄVLEBORGS LÄN</t>
        </is>
      </c>
      <c r="E499" t="inlineStr">
        <is>
          <t>LJUSDAL</t>
        </is>
      </c>
      <c r="F499" t="inlineStr">
        <is>
          <t>Sveaskog</t>
        </is>
      </c>
      <c r="G499" t="n">
        <v>1.9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40801-2020</t>
        </is>
      </c>
      <c r="B500" s="1" t="n">
        <v>44070</v>
      </c>
      <c r="C500" s="1" t="n">
        <v>45181</v>
      </c>
      <c r="D500" t="inlineStr">
        <is>
          <t>GÄVLEBORGS LÄN</t>
        </is>
      </c>
      <c r="E500" t="inlineStr">
        <is>
          <t>LJUSDAL</t>
        </is>
      </c>
      <c r="G500" t="n">
        <v>5.2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41742-2020</t>
        </is>
      </c>
      <c r="B501" s="1" t="n">
        <v>44074</v>
      </c>
      <c r="C501" s="1" t="n">
        <v>45181</v>
      </c>
      <c r="D501" t="inlineStr">
        <is>
          <t>GÄVLEBORGS LÄN</t>
        </is>
      </c>
      <c r="E501" t="inlineStr">
        <is>
          <t>LJUSDAL</t>
        </is>
      </c>
      <c r="F501" t="inlineStr">
        <is>
          <t>Sveaskog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41622-2020</t>
        </is>
      </c>
      <c r="B502" s="1" t="n">
        <v>44074</v>
      </c>
      <c r="C502" s="1" t="n">
        <v>45181</v>
      </c>
      <c r="D502" t="inlineStr">
        <is>
          <t>GÄVLEBORGS LÄN</t>
        </is>
      </c>
      <c r="E502" t="inlineStr">
        <is>
          <t>LJUSDAL</t>
        </is>
      </c>
      <c r="F502" t="inlineStr">
        <is>
          <t>Sveaskog</t>
        </is>
      </c>
      <c r="G502" t="n">
        <v>5.4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42006-2020</t>
        </is>
      </c>
      <c r="B503" s="1" t="n">
        <v>44075</v>
      </c>
      <c r="C503" s="1" t="n">
        <v>45181</v>
      </c>
      <c r="D503" t="inlineStr">
        <is>
          <t>GÄVLEBORGS LÄN</t>
        </is>
      </c>
      <c r="E503" t="inlineStr">
        <is>
          <t>LJUSDAL</t>
        </is>
      </c>
      <c r="F503" t="inlineStr">
        <is>
          <t>Sveaskog</t>
        </is>
      </c>
      <c r="G503" t="n">
        <v>4.4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42007-2020</t>
        </is>
      </c>
      <c r="B504" s="1" t="n">
        <v>44075</v>
      </c>
      <c r="C504" s="1" t="n">
        <v>45181</v>
      </c>
      <c r="D504" t="inlineStr">
        <is>
          <t>GÄVLEBORGS LÄN</t>
        </is>
      </c>
      <c r="E504" t="inlineStr">
        <is>
          <t>LJUSDAL</t>
        </is>
      </c>
      <c r="F504" t="inlineStr">
        <is>
          <t>Sveaskog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42009-2020</t>
        </is>
      </c>
      <c r="B505" s="1" t="n">
        <v>44075</v>
      </c>
      <c r="C505" s="1" t="n">
        <v>45181</v>
      </c>
      <c r="D505" t="inlineStr">
        <is>
          <t>GÄVLEBORGS LÄN</t>
        </is>
      </c>
      <c r="E505" t="inlineStr">
        <is>
          <t>LJUSDAL</t>
        </is>
      </c>
      <c r="F505" t="inlineStr">
        <is>
          <t>Sveaskog</t>
        </is>
      </c>
      <c r="G505" t="n">
        <v>1.4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42844-2020</t>
        </is>
      </c>
      <c r="B506" s="1" t="n">
        <v>44078</v>
      </c>
      <c r="C506" s="1" t="n">
        <v>45181</v>
      </c>
      <c r="D506" t="inlineStr">
        <is>
          <t>GÄVLEBORGS LÄN</t>
        </is>
      </c>
      <c r="E506" t="inlineStr">
        <is>
          <t>LJUSDAL</t>
        </is>
      </c>
      <c r="G506" t="n">
        <v>0.5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43723-2020</t>
        </is>
      </c>
      <c r="B507" s="1" t="n">
        <v>44078</v>
      </c>
      <c r="C507" s="1" t="n">
        <v>45181</v>
      </c>
      <c r="D507" t="inlineStr">
        <is>
          <t>GÄVLEBORGS LÄN</t>
        </is>
      </c>
      <c r="E507" t="inlineStr">
        <is>
          <t>LJUSDAL</t>
        </is>
      </c>
      <c r="G507" t="n">
        <v>2.5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42782-2020</t>
        </is>
      </c>
      <c r="B508" s="1" t="n">
        <v>44078</v>
      </c>
      <c r="C508" s="1" t="n">
        <v>45181</v>
      </c>
      <c r="D508" t="inlineStr">
        <is>
          <t>GÄVLEBORGS LÄN</t>
        </is>
      </c>
      <c r="E508" t="inlineStr">
        <is>
          <t>LJUSDAL</t>
        </is>
      </c>
      <c r="F508" t="inlineStr">
        <is>
          <t>Sveaskog</t>
        </is>
      </c>
      <c r="G508" t="n">
        <v>0.4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43144-2020</t>
        </is>
      </c>
      <c r="B509" s="1" t="n">
        <v>44080</v>
      </c>
      <c r="C509" s="1" t="n">
        <v>45181</v>
      </c>
      <c r="D509" t="inlineStr">
        <is>
          <t>GÄVLEBORGS LÄN</t>
        </is>
      </c>
      <c r="E509" t="inlineStr">
        <is>
          <t>LJUSDAL</t>
        </is>
      </c>
      <c r="F509" t="inlineStr">
        <is>
          <t>Sveaskog</t>
        </is>
      </c>
      <c r="G509" t="n">
        <v>3.6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43376-2020</t>
        </is>
      </c>
      <c r="B510" s="1" t="n">
        <v>44081</v>
      </c>
      <c r="C510" s="1" t="n">
        <v>45181</v>
      </c>
      <c r="D510" t="inlineStr">
        <is>
          <t>GÄVLEBORGS LÄN</t>
        </is>
      </c>
      <c r="E510" t="inlineStr">
        <is>
          <t>LJUSDAL</t>
        </is>
      </c>
      <c r="F510" t="inlineStr">
        <is>
          <t>Sveaskog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43370-2020</t>
        </is>
      </c>
      <c r="B511" s="1" t="n">
        <v>44081</v>
      </c>
      <c r="C511" s="1" t="n">
        <v>45181</v>
      </c>
      <c r="D511" t="inlineStr">
        <is>
          <t>GÄVLEBORGS LÄN</t>
        </is>
      </c>
      <c r="E511" t="inlineStr">
        <is>
          <t>LJUSDAL</t>
        </is>
      </c>
      <c r="F511" t="inlineStr">
        <is>
          <t>Sveaskog</t>
        </is>
      </c>
      <c r="G511" t="n">
        <v>10.1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43491-2020</t>
        </is>
      </c>
      <c r="B512" s="1" t="n">
        <v>44082</v>
      </c>
      <c r="C512" s="1" t="n">
        <v>45181</v>
      </c>
      <c r="D512" t="inlineStr">
        <is>
          <t>GÄVLEBORGS LÄN</t>
        </is>
      </c>
      <c r="E512" t="inlineStr">
        <is>
          <t>LJUSDAL</t>
        </is>
      </c>
      <c r="F512" t="inlineStr">
        <is>
          <t>Sveaskog</t>
        </is>
      </c>
      <c r="G512" t="n">
        <v>0.5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43544-2020</t>
        </is>
      </c>
      <c r="B513" s="1" t="n">
        <v>44082</v>
      </c>
      <c r="C513" s="1" t="n">
        <v>45181</v>
      </c>
      <c r="D513" t="inlineStr">
        <is>
          <t>GÄVLEBORGS LÄN</t>
        </is>
      </c>
      <c r="E513" t="inlineStr">
        <is>
          <t>LJUSDAL</t>
        </is>
      </c>
      <c r="G513" t="n">
        <v>3.3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43487-2020</t>
        </is>
      </c>
      <c r="B514" s="1" t="n">
        <v>44082</v>
      </c>
      <c r="C514" s="1" t="n">
        <v>45181</v>
      </c>
      <c r="D514" t="inlineStr">
        <is>
          <t>GÄVLEBORGS LÄN</t>
        </is>
      </c>
      <c r="E514" t="inlineStr">
        <is>
          <t>LJUSDAL</t>
        </is>
      </c>
      <c r="F514" t="inlineStr">
        <is>
          <t>Sveaskog</t>
        </is>
      </c>
      <c r="G514" t="n">
        <v>1.1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43867-2020</t>
        </is>
      </c>
      <c r="B515" s="1" t="n">
        <v>44083</v>
      </c>
      <c r="C515" s="1" t="n">
        <v>45181</v>
      </c>
      <c r="D515" t="inlineStr">
        <is>
          <t>GÄVLEBORGS LÄN</t>
        </is>
      </c>
      <c r="E515" t="inlineStr">
        <is>
          <t>LJUSDAL</t>
        </is>
      </c>
      <c r="G515" t="n">
        <v>2.5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44376-2020</t>
        </is>
      </c>
      <c r="B516" s="1" t="n">
        <v>44084</v>
      </c>
      <c r="C516" s="1" t="n">
        <v>45181</v>
      </c>
      <c r="D516" t="inlineStr">
        <is>
          <t>GÄVLEBORGS LÄN</t>
        </is>
      </c>
      <c r="E516" t="inlineStr">
        <is>
          <t>LJUSDAL</t>
        </is>
      </c>
      <c r="F516" t="inlineStr">
        <is>
          <t>Holmen skog AB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44552-2020</t>
        </is>
      </c>
      <c r="B517" s="1" t="n">
        <v>44085</v>
      </c>
      <c r="C517" s="1" t="n">
        <v>45181</v>
      </c>
      <c r="D517" t="inlineStr">
        <is>
          <t>GÄVLEBORGS LÄN</t>
        </is>
      </c>
      <c r="E517" t="inlineStr">
        <is>
          <t>LJUSDAL</t>
        </is>
      </c>
      <c r="F517" t="inlineStr">
        <is>
          <t>Bergvik skog väst AB</t>
        </is>
      </c>
      <c r="G517" t="n">
        <v>8.6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44781-2020</t>
        </is>
      </c>
      <c r="B518" s="1" t="n">
        <v>44085</v>
      </c>
      <c r="C518" s="1" t="n">
        <v>45181</v>
      </c>
      <c r="D518" t="inlineStr">
        <is>
          <t>GÄVLEBORGS LÄN</t>
        </is>
      </c>
      <c r="E518" t="inlineStr">
        <is>
          <t>LJUSDAL</t>
        </is>
      </c>
      <c r="F518" t="inlineStr">
        <is>
          <t>Sveaskog</t>
        </is>
      </c>
      <c r="G518" t="n">
        <v>9.4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44754-2020</t>
        </is>
      </c>
      <c r="B519" s="1" t="n">
        <v>44085</v>
      </c>
      <c r="C519" s="1" t="n">
        <v>45181</v>
      </c>
      <c r="D519" t="inlineStr">
        <is>
          <t>GÄVLEBORGS LÄN</t>
        </is>
      </c>
      <c r="E519" t="inlineStr">
        <is>
          <t>LJUSDAL</t>
        </is>
      </c>
      <c r="F519" t="inlineStr">
        <is>
          <t>Holmen skog AB</t>
        </is>
      </c>
      <c r="G519" t="n">
        <v>7.7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44777-2020</t>
        </is>
      </c>
      <c r="B520" s="1" t="n">
        <v>44085</v>
      </c>
      <c r="C520" s="1" t="n">
        <v>45181</v>
      </c>
      <c r="D520" t="inlineStr">
        <is>
          <t>GÄVLEBORGS LÄN</t>
        </is>
      </c>
      <c r="E520" t="inlineStr">
        <is>
          <t>LJUSDAL</t>
        </is>
      </c>
      <c r="F520" t="inlineStr">
        <is>
          <t>Sveaskog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44805-2020</t>
        </is>
      </c>
      <c r="B521" s="1" t="n">
        <v>44085</v>
      </c>
      <c r="C521" s="1" t="n">
        <v>45181</v>
      </c>
      <c r="D521" t="inlineStr">
        <is>
          <t>GÄVLEBORGS LÄN</t>
        </is>
      </c>
      <c r="E521" t="inlineStr">
        <is>
          <t>LJUSDAL</t>
        </is>
      </c>
      <c r="G521" t="n">
        <v>3.6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44913-2020</t>
        </is>
      </c>
      <c r="B522" s="1" t="n">
        <v>44088</v>
      </c>
      <c r="C522" s="1" t="n">
        <v>45181</v>
      </c>
      <c r="D522" t="inlineStr">
        <is>
          <t>GÄVLEBORGS LÄN</t>
        </is>
      </c>
      <c r="E522" t="inlineStr">
        <is>
          <t>LJUSDAL</t>
        </is>
      </c>
      <c r="F522" t="inlineStr">
        <is>
          <t>Sveaskog</t>
        </is>
      </c>
      <c r="G522" t="n">
        <v>7.8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45069-2020</t>
        </is>
      </c>
      <c r="B523" s="1" t="n">
        <v>44088</v>
      </c>
      <c r="C523" s="1" t="n">
        <v>45181</v>
      </c>
      <c r="D523" t="inlineStr">
        <is>
          <t>GÄVLEBORGS LÄN</t>
        </is>
      </c>
      <c r="E523" t="inlineStr">
        <is>
          <t>LJUSDAL</t>
        </is>
      </c>
      <c r="F523" t="inlineStr">
        <is>
          <t>Holmen skog AB</t>
        </is>
      </c>
      <c r="G523" t="n">
        <v>7.2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44904-2020</t>
        </is>
      </c>
      <c r="B524" s="1" t="n">
        <v>44088</v>
      </c>
      <c r="C524" s="1" t="n">
        <v>45181</v>
      </c>
      <c r="D524" t="inlineStr">
        <is>
          <t>GÄVLEBORGS LÄN</t>
        </is>
      </c>
      <c r="E524" t="inlineStr">
        <is>
          <t>LJUSDAL</t>
        </is>
      </c>
      <c r="F524" t="inlineStr">
        <is>
          <t>Sveaskog</t>
        </is>
      </c>
      <c r="G524" t="n">
        <v>0.8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45090-2020</t>
        </is>
      </c>
      <c r="B525" s="1" t="n">
        <v>44088</v>
      </c>
      <c r="C525" s="1" t="n">
        <v>45181</v>
      </c>
      <c r="D525" t="inlineStr">
        <is>
          <t>GÄVLEBORGS LÄN</t>
        </is>
      </c>
      <c r="E525" t="inlineStr">
        <is>
          <t>LJUSDAL</t>
        </is>
      </c>
      <c r="F525" t="inlineStr">
        <is>
          <t>Holmen skog AB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45856-2020</t>
        </is>
      </c>
      <c r="B526" s="1" t="n">
        <v>44091</v>
      </c>
      <c r="C526" s="1" t="n">
        <v>45181</v>
      </c>
      <c r="D526" t="inlineStr">
        <is>
          <t>GÄVLEBORGS LÄN</t>
        </is>
      </c>
      <c r="E526" t="inlineStr">
        <is>
          <t>LJUSDAL</t>
        </is>
      </c>
      <c r="F526" t="inlineStr">
        <is>
          <t>Sveaskog</t>
        </is>
      </c>
      <c r="G526" t="n">
        <v>3.5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46288-2020</t>
        </is>
      </c>
      <c r="B527" s="1" t="n">
        <v>44092</v>
      </c>
      <c r="C527" s="1" t="n">
        <v>45181</v>
      </c>
      <c r="D527" t="inlineStr">
        <is>
          <t>GÄVLEBORGS LÄN</t>
        </is>
      </c>
      <c r="E527" t="inlineStr">
        <is>
          <t>LJUSDAL</t>
        </is>
      </c>
      <c r="F527" t="inlineStr">
        <is>
          <t>Holmen skog AB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46301-2020</t>
        </is>
      </c>
      <c r="B528" s="1" t="n">
        <v>44092</v>
      </c>
      <c r="C528" s="1" t="n">
        <v>45181</v>
      </c>
      <c r="D528" t="inlineStr">
        <is>
          <t>GÄVLEBORGS LÄN</t>
        </is>
      </c>
      <c r="E528" t="inlineStr">
        <is>
          <t>LJUSDAL</t>
        </is>
      </c>
      <c r="F528" t="inlineStr">
        <is>
          <t>Sveaskog</t>
        </is>
      </c>
      <c r="G528" t="n">
        <v>7.1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46293-2020</t>
        </is>
      </c>
      <c r="B529" s="1" t="n">
        <v>44092</v>
      </c>
      <c r="C529" s="1" t="n">
        <v>45181</v>
      </c>
      <c r="D529" t="inlineStr">
        <is>
          <t>GÄVLEBORGS LÄN</t>
        </is>
      </c>
      <c r="E529" t="inlineStr">
        <is>
          <t>LJUSDAL</t>
        </is>
      </c>
      <c r="F529" t="inlineStr">
        <is>
          <t>Sveaskog</t>
        </is>
      </c>
      <c r="G529" t="n">
        <v>1.2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46577-2020</t>
        </is>
      </c>
      <c r="B530" s="1" t="n">
        <v>44095</v>
      </c>
      <c r="C530" s="1" t="n">
        <v>45181</v>
      </c>
      <c r="D530" t="inlineStr">
        <is>
          <t>GÄVLEBORGS LÄN</t>
        </is>
      </c>
      <c r="E530" t="inlineStr">
        <is>
          <t>LJUSDAL</t>
        </is>
      </c>
      <c r="G530" t="n">
        <v>0.8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47893-2020</t>
        </is>
      </c>
      <c r="B531" s="1" t="n">
        <v>44099</v>
      </c>
      <c r="C531" s="1" t="n">
        <v>45181</v>
      </c>
      <c r="D531" t="inlineStr">
        <is>
          <t>GÄVLEBORGS LÄN</t>
        </is>
      </c>
      <c r="E531" t="inlineStr">
        <is>
          <t>LJUSDAL</t>
        </is>
      </c>
      <c r="F531" t="inlineStr">
        <is>
          <t>Sveaskog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47899-2020</t>
        </is>
      </c>
      <c r="B532" s="1" t="n">
        <v>44099</v>
      </c>
      <c r="C532" s="1" t="n">
        <v>45181</v>
      </c>
      <c r="D532" t="inlineStr">
        <is>
          <t>GÄVLEBORGS LÄN</t>
        </is>
      </c>
      <c r="E532" t="inlineStr">
        <is>
          <t>LJUSDAL</t>
        </is>
      </c>
      <c r="F532" t="inlineStr">
        <is>
          <t>Sveaskog</t>
        </is>
      </c>
      <c r="G532" t="n">
        <v>5.2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47914-2020</t>
        </is>
      </c>
      <c r="B533" s="1" t="n">
        <v>44099</v>
      </c>
      <c r="C533" s="1" t="n">
        <v>45181</v>
      </c>
      <c r="D533" t="inlineStr">
        <is>
          <t>GÄVLEBORGS LÄN</t>
        </is>
      </c>
      <c r="E533" t="inlineStr">
        <is>
          <t>LJUSDAL</t>
        </is>
      </c>
      <c r="F533" t="inlineStr">
        <is>
          <t>Holmen skog AB</t>
        </is>
      </c>
      <c r="G533" t="n">
        <v>18.2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48680-2020</t>
        </is>
      </c>
      <c r="B534" s="1" t="n">
        <v>44103</v>
      </c>
      <c r="C534" s="1" t="n">
        <v>45181</v>
      </c>
      <c r="D534" t="inlineStr">
        <is>
          <t>GÄVLEBORGS LÄN</t>
        </is>
      </c>
      <c r="E534" t="inlineStr">
        <is>
          <t>LJUSDAL</t>
        </is>
      </c>
      <c r="F534" t="inlineStr">
        <is>
          <t>Holmen skog AB</t>
        </is>
      </c>
      <c r="G534" t="n">
        <v>0.7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48742-2020</t>
        </is>
      </c>
      <c r="B535" s="1" t="n">
        <v>44103</v>
      </c>
      <c r="C535" s="1" t="n">
        <v>45181</v>
      </c>
      <c r="D535" t="inlineStr">
        <is>
          <t>GÄVLEBORGS LÄN</t>
        </is>
      </c>
      <c r="E535" t="inlineStr">
        <is>
          <t>LJUSDAL</t>
        </is>
      </c>
      <c r="F535" t="inlineStr">
        <is>
          <t>Bergvik skog väst AB</t>
        </is>
      </c>
      <c r="G535" t="n">
        <v>2.7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49073-2020</t>
        </is>
      </c>
      <c r="B536" s="1" t="n">
        <v>44104</v>
      </c>
      <c r="C536" s="1" t="n">
        <v>45181</v>
      </c>
      <c r="D536" t="inlineStr">
        <is>
          <t>GÄVLEBORGS LÄN</t>
        </is>
      </c>
      <c r="E536" t="inlineStr">
        <is>
          <t>LJUSDAL</t>
        </is>
      </c>
      <c r="F536" t="inlineStr">
        <is>
          <t>Sveaskog</t>
        </is>
      </c>
      <c r="G536" t="n">
        <v>15.1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48989-2020</t>
        </is>
      </c>
      <c r="B537" s="1" t="n">
        <v>44104</v>
      </c>
      <c r="C537" s="1" t="n">
        <v>45181</v>
      </c>
      <c r="D537" t="inlineStr">
        <is>
          <t>GÄVLEBORGS LÄN</t>
        </is>
      </c>
      <c r="E537" t="inlineStr">
        <is>
          <t>LJUSDAL</t>
        </is>
      </c>
      <c r="F537" t="inlineStr">
        <is>
          <t>Sveaskog</t>
        </is>
      </c>
      <c r="G537" t="n">
        <v>6.8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48905-2020</t>
        </is>
      </c>
      <c r="B538" s="1" t="n">
        <v>44104</v>
      </c>
      <c r="C538" s="1" t="n">
        <v>45181</v>
      </c>
      <c r="D538" t="inlineStr">
        <is>
          <t>GÄVLEBORGS LÄN</t>
        </is>
      </c>
      <c r="E538" t="inlineStr">
        <is>
          <t>LJUSDAL</t>
        </is>
      </c>
      <c r="F538" t="inlineStr">
        <is>
          <t>Sveaskog</t>
        </is>
      </c>
      <c r="G538" t="n">
        <v>0.2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49886-2020</t>
        </is>
      </c>
      <c r="B539" s="1" t="n">
        <v>44108</v>
      </c>
      <c r="C539" s="1" t="n">
        <v>45181</v>
      </c>
      <c r="D539" t="inlineStr">
        <is>
          <t>GÄVLEBORGS LÄN</t>
        </is>
      </c>
      <c r="E539" t="inlineStr">
        <is>
          <t>LJUSDAL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49913-2020</t>
        </is>
      </c>
      <c r="B540" s="1" t="n">
        <v>44109</v>
      </c>
      <c r="C540" s="1" t="n">
        <v>45181</v>
      </c>
      <c r="D540" t="inlineStr">
        <is>
          <t>GÄVLEBORGS LÄN</t>
        </is>
      </c>
      <c r="E540" t="inlineStr">
        <is>
          <t>LJUSDAL</t>
        </is>
      </c>
      <c r="F540" t="inlineStr">
        <is>
          <t>Kommuner</t>
        </is>
      </c>
      <c r="G540" t="n">
        <v>6.7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49924-2020</t>
        </is>
      </c>
      <c r="B541" s="1" t="n">
        <v>44109</v>
      </c>
      <c r="C541" s="1" t="n">
        <v>45181</v>
      </c>
      <c r="D541" t="inlineStr">
        <is>
          <t>GÄVLEBORGS LÄN</t>
        </is>
      </c>
      <c r="E541" t="inlineStr">
        <is>
          <t>LJUSDAL</t>
        </is>
      </c>
      <c r="F541" t="inlineStr">
        <is>
          <t>Kommuner</t>
        </is>
      </c>
      <c r="G541" t="n">
        <v>1.7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50544-2020</t>
        </is>
      </c>
      <c r="B542" s="1" t="n">
        <v>44110</v>
      </c>
      <c r="C542" s="1" t="n">
        <v>45181</v>
      </c>
      <c r="D542" t="inlineStr">
        <is>
          <t>GÄVLEBORGS LÄN</t>
        </is>
      </c>
      <c r="E542" t="inlineStr">
        <is>
          <t>LJUSDAL</t>
        </is>
      </c>
      <c r="F542" t="inlineStr">
        <is>
          <t>Sveaskog</t>
        </is>
      </c>
      <c r="G542" t="n">
        <v>4.5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50689-2020</t>
        </is>
      </c>
      <c r="B543" s="1" t="n">
        <v>44111</v>
      </c>
      <c r="C543" s="1" t="n">
        <v>45181</v>
      </c>
      <c r="D543" t="inlineStr">
        <is>
          <t>GÄVLEBORGS LÄN</t>
        </is>
      </c>
      <c r="E543" t="inlineStr">
        <is>
          <t>LJUSDAL</t>
        </is>
      </c>
      <c r="F543" t="inlineStr">
        <is>
          <t>Sveaskog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51306-2020</t>
        </is>
      </c>
      <c r="B544" s="1" t="n">
        <v>44112</v>
      </c>
      <c r="C544" s="1" t="n">
        <v>45181</v>
      </c>
      <c r="D544" t="inlineStr">
        <is>
          <t>GÄVLEBORGS LÄN</t>
        </is>
      </c>
      <c r="E544" t="inlineStr">
        <is>
          <t>LJUSDAL</t>
        </is>
      </c>
      <c r="F544" t="inlineStr">
        <is>
          <t>Kommuner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51256-2020</t>
        </is>
      </c>
      <c r="B545" s="1" t="n">
        <v>44112</v>
      </c>
      <c r="C545" s="1" t="n">
        <v>45181</v>
      </c>
      <c r="D545" t="inlineStr">
        <is>
          <t>GÄVLEBORGS LÄN</t>
        </is>
      </c>
      <c r="E545" t="inlineStr">
        <is>
          <t>LJUSDAL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52304-2020</t>
        </is>
      </c>
      <c r="B546" s="1" t="n">
        <v>44112</v>
      </c>
      <c r="C546" s="1" t="n">
        <v>45181</v>
      </c>
      <c r="D546" t="inlineStr">
        <is>
          <t>GÄVLEBORGS LÄN</t>
        </is>
      </c>
      <c r="E546" t="inlineStr">
        <is>
          <t>LJUSDAL</t>
        </is>
      </c>
      <c r="F546" t="inlineStr">
        <is>
          <t>Sveaskog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51781-2020</t>
        </is>
      </c>
      <c r="B547" s="1" t="n">
        <v>44116</v>
      </c>
      <c r="C547" s="1" t="n">
        <v>45181</v>
      </c>
      <c r="D547" t="inlineStr">
        <is>
          <t>GÄVLEBORGS LÄN</t>
        </is>
      </c>
      <c r="E547" t="inlineStr">
        <is>
          <t>LJUSDAL</t>
        </is>
      </c>
      <c r="F547" t="inlineStr">
        <is>
          <t>Sveaskog</t>
        </is>
      </c>
      <c r="G547" t="n">
        <v>1.1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51779-2020</t>
        </is>
      </c>
      <c r="B548" s="1" t="n">
        <v>44116</v>
      </c>
      <c r="C548" s="1" t="n">
        <v>45181</v>
      </c>
      <c r="D548" t="inlineStr">
        <is>
          <t>GÄVLEBORGS LÄN</t>
        </is>
      </c>
      <c r="E548" t="inlineStr">
        <is>
          <t>LJUSDAL</t>
        </is>
      </c>
      <c r="F548" t="inlineStr">
        <is>
          <t>Sveaskog</t>
        </is>
      </c>
      <c r="G548" t="n">
        <v>5.6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51918-2020</t>
        </is>
      </c>
      <c r="B549" s="1" t="n">
        <v>44116</v>
      </c>
      <c r="C549" s="1" t="n">
        <v>45181</v>
      </c>
      <c r="D549" t="inlineStr">
        <is>
          <t>GÄVLEBORGS LÄN</t>
        </is>
      </c>
      <c r="E549" t="inlineStr">
        <is>
          <t>LJUSDAL</t>
        </is>
      </c>
      <c r="G549" t="n">
        <v>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51790-2020</t>
        </is>
      </c>
      <c r="B550" s="1" t="n">
        <v>44116</v>
      </c>
      <c r="C550" s="1" t="n">
        <v>45181</v>
      </c>
      <c r="D550" t="inlineStr">
        <is>
          <t>GÄVLEBORGS LÄN</t>
        </is>
      </c>
      <c r="E550" t="inlineStr">
        <is>
          <t>LJUSDAL</t>
        </is>
      </c>
      <c r="F550" t="inlineStr">
        <is>
          <t>Holmen skog AB</t>
        </is>
      </c>
      <c r="G550" t="n">
        <v>5.9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51780-2020</t>
        </is>
      </c>
      <c r="B551" s="1" t="n">
        <v>44116</v>
      </c>
      <c r="C551" s="1" t="n">
        <v>45181</v>
      </c>
      <c r="D551" t="inlineStr">
        <is>
          <t>GÄVLEBORGS LÄN</t>
        </is>
      </c>
      <c r="E551" t="inlineStr">
        <is>
          <t>LJUSDAL</t>
        </is>
      </c>
      <c r="F551" t="inlineStr">
        <is>
          <t>Sveaskog</t>
        </is>
      </c>
      <c r="G551" t="n">
        <v>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52294-2020</t>
        </is>
      </c>
      <c r="B552" s="1" t="n">
        <v>44117</v>
      </c>
      <c r="C552" s="1" t="n">
        <v>45181</v>
      </c>
      <c r="D552" t="inlineStr">
        <is>
          <t>GÄVLEBORGS LÄN</t>
        </is>
      </c>
      <c r="E552" t="inlineStr">
        <is>
          <t>LJUSDAL</t>
        </is>
      </c>
      <c r="F552" t="inlineStr">
        <is>
          <t>Sveaskog</t>
        </is>
      </c>
      <c r="G552" t="n">
        <v>8.4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52774-2020</t>
        </is>
      </c>
      <c r="B553" s="1" t="n">
        <v>44119</v>
      </c>
      <c r="C553" s="1" t="n">
        <v>45181</v>
      </c>
      <c r="D553" t="inlineStr">
        <is>
          <t>GÄVLEBORGS LÄN</t>
        </is>
      </c>
      <c r="E553" t="inlineStr">
        <is>
          <t>LJUSDAL</t>
        </is>
      </c>
      <c r="F553" t="inlineStr">
        <is>
          <t>Sveaskog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52772-2020</t>
        </is>
      </c>
      <c r="B554" s="1" t="n">
        <v>44119</v>
      </c>
      <c r="C554" s="1" t="n">
        <v>45181</v>
      </c>
      <c r="D554" t="inlineStr">
        <is>
          <t>GÄVLEBORGS LÄN</t>
        </is>
      </c>
      <c r="E554" t="inlineStr">
        <is>
          <t>LJUSDAL</t>
        </is>
      </c>
      <c r="F554" t="inlineStr">
        <is>
          <t>Sveaskog</t>
        </is>
      </c>
      <c r="G554" t="n">
        <v>5.4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52767-2020</t>
        </is>
      </c>
      <c r="B555" s="1" t="n">
        <v>44119</v>
      </c>
      <c r="C555" s="1" t="n">
        <v>45181</v>
      </c>
      <c r="D555" t="inlineStr">
        <is>
          <t>GÄVLEBORGS LÄN</t>
        </is>
      </c>
      <c r="E555" t="inlineStr">
        <is>
          <t>LJUSDAL</t>
        </is>
      </c>
      <c r="F555" t="inlineStr">
        <is>
          <t>Sveaskog</t>
        </is>
      </c>
      <c r="G555" t="n">
        <v>5.1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53071-2020</t>
        </is>
      </c>
      <c r="B556" s="1" t="n">
        <v>44120</v>
      </c>
      <c r="C556" s="1" t="n">
        <v>45181</v>
      </c>
      <c r="D556" t="inlineStr">
        <is>
          <t>GÄVLEBORGS LÄN</t>
        </is>
      </c>
      <c r="E556" t="inlineStr">
        <is>
          <t>LJUSDAL</t>
        </is>
      </c>
      <c r="F556" t="inlineStr">
        <is>
          <t>Sveaskog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53218-2020</t>
        </is>
      </c>
      <c r="B557" s="1" t="n">
        <v>44123</v>
      </c>
      <c r="C557" s="1" t="n">
        <v>45181</v>
      </c>
      <c r="D557" t="inlineStr">
        <is>
          <t>GÄVLEBORGS LÄN</t>
        </is>
      </c>
      <c r="E557" t="inlineStr">
        <is>
          <t>LJUSDAL</t>
        </is>
      </c>
      <c r="F557" t="inlineStr">
        <is>
          <t>Sveaskog</t>
        </is>
      </c>
      <c r="G557" t="n">
        <v>4.4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53529-2020</t>
        </is>
      </c>
      <c r="B558" s="1" t="n">
        <v>44124</v>
      </c>
      <c r="C558" s="1" t="n">
        <v>45181</v>
      </c>
      <c r="D558" t="inlineStr">
        <is>
          <t>GÄVLEBORGS LÄN</t>
        </is>
      </c>
      <c r="E558" t="inlineStr">
        <is>
          <t>LJUSDAL</t>
        </is>
      </c>
      <c r="F558" t="inlineStr">
        <is>
          <t>Sveaskog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53508-2020</t>
        </is>
      </c>
      <c r="B559" s="1" t="n">
        <v>44124</v>
      </c>
      <c r="C559" s="1" t="n">
        <v>45181</v>
      </c>
      <c r="D559" t="inlineStr">
        <is>
          <t>GÄVLEBORGS LÄN</t>
        </is>
      </c>
      <c r="E559" t="inlineStr">
        <is>
          <t>LJUSDAL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53970-2020</t>
        </is>
      </c>
      <c r="B560" s="1" t="n">
        <v>44125</v>
      </c>
      <c r="C560" s="1" t="n">
        <v>45181</v>
      </c>
      <c r="D560" t="inlineStr">
        <is>
          <t>GÄVLEBORGS LÄN</t>
        </is>
      </c>
      <c r="E560" t="inlineStr">
        <is>
          <t>LJUSDAL</t>
        </is>
      </c>
      <c r="G560" t="n">
        <v>6.4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54133-2020</t>
        </is>
      </c>
      <c r="B561" s="1" t="n">
        <v>44125</v>
      </c>
      <c r="C561" s="1" t="n">
        <v>45181</v>
      </c>
      <c r="D561" t="inlineStr">
        <is>
          <t>GÄVLEBORGS LÄN</t>
        </is>
      </c>
      <c r="E561" t="inlineStr">
        <is>
          <t>LJUSDAL</t>
        </is>
      </c>
      <c r="F561" t="inlineStr">
        <is>
          <t>Sveaskog</t>
        </is>
      </c>
      <c r="G561" t="n">
        <v>1.2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53850-2020</t>
        </is>
      </c>
      <c r="B562" s="1" t="n">
        <v>44125</v>
      </c>
      <c r="C562" s="1" t="n">
        <v>45181</v>
      </c>
      <c r="D562" t="inlineStr">
        <is>
          <t>GÄVLEBORGS LÄN</t>
        </is>
      </c>
      <c r="E562" t="inlineStr">
        <is>
          <t>LJUSDAL</t>
        </is>
      </c>
      <c r="F562" t="inlineStr">
        <is>
          <t>Sveaskog</t>
        </is>
      </c>
      <c r="G562" t="n">
        <v>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54136-2020</t>
        </is>
      </c>
      <c r="B563" s="1" t="n">
        <v>44125</v>
      </c>
      <c r="C563" s="1" t="n">
        <v>45181</v>
      </c>
      <c r="D563" t="inlineStr">
        <is>
          <t>GÄVLEBORGS LÄN</t>
        </is>
      </c>
      <c r="E563" t="inlineStr">
        <is>
          <t>LJUSDAL</t>
        </is>
      </c>
      <c r="F563" t="inlineStr">
        <is>
          <t>Sveaskog</t>
        </is>
      </c>
      <c r="G563" t="n">
        <v>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54324-2020</t>
        </is>
      </c>
      <c r="B564" s="1" t="n">
        <v>44126</v>
      </c>
      <c r="C564" s="1" t="n">
        <v>45181</v>
      </c>
      <c r="D564" t="inlineStr">
        <is>
          <t>GÄVLEBORGS LÄN</t>
        </is>
      </c>
      <c r="E564" t="inlineStr">
        <is>
          <t>LJUSDAL</t>
        </is>
      </c>
      <c r="F564" t="inlineStr">
        <is>
          <t>Sveaskog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54472-2020</t>
        </is>
      </c>
      <c r="B565" s="1" t="n">
        <v>44126</v>
      </c>
      <c r="C565" s="1" t="n">
        <v>45181</v>
      </c>
      <c r="D565" t="inlineStr">
        <is>
          <t>GÄVLEBORGS LÄN</t>
        </is>
      </c>
      <c r="E565" t="inlineStr">
        <is>
          <t>LJUSDAL</t>
        </is>
      </c>
      <c r="F565" t="inlineStr">
        <is>
          <t>Bergvik skog väst AB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54595-2020</t>
        </is>
      </c>
      <c r="B566" s="1" t="n">
        <v>44126</v>
      </c>
      <c r="C566" s="1" t="n">
        <v>45181</v>
      </c>
      <c r="D566" t="inlineStr">
        <is>
          <t>GÄVLEBORGS LÄN</t>
        </is>
      </c>
      <c r="E566" t="inlineStr">
        <is>
          <t>LJUSDAL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54475-2020</t>
        </is>
      </c>
      <c r="B567" s="1" t="n">
        <v>44126</v>
      </c>
      <c r="C567" s="1" t="n">
        <v>45181</v>
      </c>
      <c r="D567" t="inlineStr">
        <is>
          <t>GÄVLEBORGS LÄN</t>
        </is>
      </c>
      <c r="E567" t="inlineStr">
        <is>
          <t>LJUSDAL</t>
        </is>
      </c>
      <c r="F567" t="inlineStr">
        <is>
          <t>Bergvik skog väst AB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55943-2020</t>
        </is>
      </c>
      <c r="B568" s="1" t="n">
        <v>44133</v>
      </c>
      <c r="C568" s="1" t="n">
        <v>45181</v>
      </c>
      <c r="D568" t="inlineStr">
        <is>
          <t>GÄVLEBORGS LÄN</t>
        </is>
      </c>
      <c r="E568" t="inlineStr">
        <is>
          <t>LJUSDAL</t>
        </is>
      </c>
      <c r="F568" t="inlineStr">
        <is>
          <t>Holmen skog AB</t>
        </is>
      </c>
      <c r="G568" t="n">
        <v>4.1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57826-2020</t>
        </is>
      </c>
      <c r="B569" s="1" t="n">
        <v>44141</v>
      </c>
      <c r="C569" s="1" t="n">
        <v>45181</v>
      </c>
      <c r="D569" t="inlineStr">
        <is>
          <t>GÄVLEBORGS LÄN</t>
        </is>
      </c>
      <c r="E569" t="inlineStr">
        <is>
          <t>LJUSDAL</t>
        </is>
      </c>
      <c r="F569" t="inlineStr">
        <is>
          <t>Holmen skog AB</t>
        </is>
      </c>
      <c r="G569" t="n">
        <v>16.8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58122-2020</t>
        </is>
      </c>
      <c r="B570" s="1" t="n">
        <v>44144</v>
      </c>
      <c r="C570" s="1" t="n">
        <v>45181</v>
      </c>
      <c r="D570" t="inlineStr">
        <is>
          <t>GÄVLEBORGS LÄN</t>
        </is>
      </c>
      <c r="E570" t="inlineStr">
        <is>
          <t>LJUSDAL</t>
        </is>
      </c>
      <c r="F570" t="inlineStr">
        <is>
          <t>Bergvik skog väst AB</t>
        </is>
      </c>
      <c r="G570" t="n">
        <v>1.6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58511-2020</t>
        </is>
      </c>
      <c r="B571" s="1" t="n">
        <v>44145</v>
      </c>
      <c r="C571" s="1" t="n">
        <v>45181</v>
      </c>
      <c r="D571" t="inlineStr">
        <is>
          <t>GÄVLEBORGS LÄN</t>
        </is>
      </c>
      <c r="E571" t="inlineStr">
        <is>
          <t>LJUSDAL</t>
        </is>
      </c>
      <c r="F571" t="inlineStr">
        <is>
          <t>Holmen skog AB</t>
        </is>
      </c>
      <c r="G571" t="n">
        <v>11.1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58684-2020</t>
        </is>
      </c>
      <c r="B572" s="1" t="n">
        <v>44146</v>
      </c>
      <c r="C572" s="1" t="n">
        <v>45181</v>
      </c>
      <c r="D572" t="inlineStr">
        <is>
          <t>GÄVLEBORGS LÄN</t>
        </is>
      </c>
      <c r="E572" t="inlineStr">
        <is>
          <t>LJUSDAL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59057-2020</t>
        </is>
      </c>
      <c r="B573" s="1" t="n">
        <v>44147</v>
      </c>
      <c r="C573" s="1" t="n">
        <v>45181</v>
      </c>
      <c r="D573" t="inlineStr">
        <is>
          <t>GÄVLEBORGS LÄN</t>
        </is>
      </c>
      <c r="E573" t="inlineStr">
        <is>
          <t>LJUSDAL</t>
        </is>
      </c>
      <c r="F573" t="inlineStr">
        <is>
          <t>Holmen skog AB</t>
        </is>
      </c>
      <c r="G573" t="n">
        <v>8.300000000000001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59803-2020</t>
        </is>
      </c>
      <c r="B574" s="1" t="n">
        <v>44148</v>
      </c>
      <c r="C574" s="1" t="n">
        <v>45181</v>
      </c>
      <c r="D574" t="inlineStr">
        <is>
          <t>GÄVLEBORGS LÄN</t>
        </is>
      </c>
      <c r="E574" t="inlineStr">
        <is>
          <t>LJUSDAL</t>
        </is>
      </c>
      <c r="F574" t="inlineStr">
        <is>
          <t>Sveaskog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59348-2020</t>
        </is>
      </c>
      <c r="B575" s="1" t="n">
        <v>44148</v>
      </c>
      <c r="C575" s="1" t="n">
        <v>45181</v>
      </c>
      <c r="D575" t="inlineStr">
        <is>
          <t>GÄVLEBORGS LÄN</t>
        </is>
      </c>
      <c r="E575" t="inlineStr">
        <is>
          <t>LJUSDAL</t>
        </is>
      </c>
      <c r="F575" t="inlineStr">
        <is>
          <t>Sveaskog</t>
        </is>
      </c>
      <c r="G575" t="n">
        <v>20.4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59646-2020</t>
        </is>
      </c>
      <c r="B576" s="1" t="n">
        <v>44150</v>
      </c>
      <c r="C576" s="1" t="n">
        <v>45181</v>
      </c>
      <c r="D576" t="inlineStr">
        <is>
          <t>GÄVLEBORGS LÄN</t>
        </is>
      </c>
      <c r="E576" t="inlineStr">
        <is>
          <t>LJUSDAL</t>
        </is>
      </c>
      <c r="F576" t="inlineStr">
        <is>
          <t>Bergvik skog väst AB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59924-2020</t>
        </is>
      </c>
      <c r="B577" s="1" t="n">
        <v>44151</v>
      </c>
      <c r="C577" s="1" t="n">
        <v>45181</v>
      </c>
      <c r="D577" t="inlineStr">
        <is>
          <t>GÄVLEBORGS LÄN</t>
        </is>
      </c>
      <c r="E577" t="inlineStr">
        <is>
          <t>LJUSDAL</t>
        </is>
      </c>
      <c r="F577" t="inlineStr">
        <is>
          <t>Sveaskog</t>
        </is>
      </c>
      <c r="G577" t="n">
        <v>2.2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62063-2020</t>
        </is>
      </c>
      <c r="B578" s="1" t="n">
        <v>44159</v>
      </c>
      <c r="C578" s="1" t="n">
        <v>45181</v>
      </c>
      <c r="D578" t="inlineStr">
        <is>
          <t>GÄVLEBORGS LÄN</t>
        </is>
      </c>
      <c r="E578" t="inlineStr">
        <is>
          <t>LJUSDAL</t>
        </is>
      </c>
      <c r="F578" t="inlineStr">
        <is>
          <t>Kommuner</t>
        </is>
      </c>
      <c r="G578" t="n">
        <v>10.1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62191-2020</t>
        </is>
      </c>
      <c r="B579" s="1" t="n">
        <v>44159</v>
      </c>
      <c r="C579" s="1" t="n">
        <v>45181</v>
      </c>
      <c r="D579" t="inlineStr">
        <is>
          <t>GÄVLEBORGS LÄN</t>
        </is>
      </c>
      <c r="E579" t="inlineStr">
        <is>
          <t>LJUSDAL</t>
        </is>
      </c>
      <c r="G579" t="n">
        <v>0.5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62426-2020</t>
        </is>
      </c>
      <c r="B580" s="1" t="n">
        <v>44160</v>
      </c>
      <c r="C580" s="1" t="n">
        <v>45181</v>
      </c>
      <c r="D580" t="inlineStr">
        <is>
          <t>GÄVLEBORGS LÄN</t>
        </is>
      </c>
      <c r="E580" t="inlineStr">
        <is>
          <t>LJUSDAL</t>
        </is>
      </c>
      <c r="F580" t="inlineStr">
        <is>
          <t>Holmen skog AB</t>
        </is>
      </c>
      <c r="G580" t="n">
        <v>14.7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62829-2020</t>
        </is>
      </c>
      <c r="B581" s="1" t="n">
        <v>44161</v>
      </c>
      <c r="C581" s="1" t="n">
        <v>45181</v>
      </c>
      <c r="D581" t="inlineStr">
        <is>
          <t>GÄVLEBORGS LÄN</t>
        </is>
      </c>
      <c r="E581" t="inlineStr">
        <is>
          <t>LJUSDAL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62947-2020</t>
        </is>
      </c>
      <c r="B582" s="1" t="n">
        <v>44162</v>
      </c>
      <c r="C582" s="1" t="n">
        <v>45181</v>
      </c>
      <c r="D582" t="inlineStr">
        <is>
          <t>GÄVLEBORGS LÄN</t>
        </is>
      </c>
      <c r="E582" t="inlineStr">
        <is>
          <t>LJUSDAL</t>
        </is>
      </c>
      <c r="F582" t="inlineStr">
        <is>
          <t>Holmen skog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63081-2020</t>
        </is>
      </c>
      <c r="B583" s="1" t="n">
        <v>44162</v>
      </c>
      <c r="C583" s="1" t="n">
        <v>45181</v>
      </c>
      <c r="D583" t="inlineStr">
        <is>
          <t>GÄVLEBORGS LÄN</t>
        </is>
      </c>
      <c r="E583" t="inlineStr">
        <is>
          <t>LJUSDAL</t>
        </is>
      </c>
      <c r="F583" t="inlineStr">
        <is>
          <t>Sveaskog</t>
        </is>
      </c>
      <c r="G583" t="n">
        <v>2.5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64307-2020</t>
        </is>
      </c>
      <c r="B584" s="1" t="n">
        <v>44166</v>
      </c>
      <c r="C584" s="1" t="n">
        <v>45181</v>
      </c>
      <c r="D584" t="inlineStr">
        <is>
          <t>GÄVLEBORGS LÄN</t>
        </is>
      </c>
      <c r="E584" t="inlineStr">
        <is>
          <t>LJUSDAL</t>
        </is>
      </c>
      <c r="G584" t="n">
        <v>9.1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64040-2020</t>
        </is>
      </c>
      <c r="B585" s="1" t="n">
        <v>44167</v>
      </c>
      <c r="C585" s="1" t="n">
        <v>45181</v>
      </c>
      <c r="D585" t="inlineStr">
        <is>
          <t>GÄVLEBORGS LÄN</t>
        </is>
      </c>
      <c r="E585" t="inlineStr">
        <is>
          <t>LJUSDAL</t>
        </is>
      </c>
      <c r="F585" t="inlineStr">
        <is>
          <t>Bergvik skog väst AB</t>
        </is>
      </c>
      <c r="G585" t="n">
        <v>3.8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66735-2020</t>
        </is>
      </c>
      <c r="B586" s="1" t="n">
        <v>44179</v>
      </c>
      <c r="C586" s="1" t="n">
        <v>45181</v>
      </c>
      <c r="D586" t="inlineStr">
        <is>
          <t>GÄVLEBORGS LÄN</t>
        </is>
      </c>
      <c r="E586" t="inlineStr">
        <is>
          <t>LJUSDAL</t>
        </is>
      </c>
      <c r="F586" t="inlineStr">
        <is>
          <t>Holmen skog AB</t>
        </is>
      </c>
      <c r="G586" t="n">
        <v>12.6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67171-2020</t>
        </is>
      </c>
      <c r="B587" s="1" t="n">
        <v>44180</v>
      </c>
      <c r="C587" s="1" t="n">
        <v>45181</v>
      </c>
      <c r="D587" t="inlineStr">
        <is>
          <t>GÄVLEBORGS LÄN</t>
        </is>
      </c>
      <c r="E587" t="inlineStr">
        <is>
          <t>LJUSDAL</t>
        </is>
      </c>
      <c r="F587" t="inlineStr">
        <is>
          <t>Sveaskog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67168-2020</t>
        </is>
      </c>
      <c r="B588" s="1" t="n">
        <v>44180</v>
      </c>
      <c r="C588" s="1" t="n">
        <v>45181</v>
      </c>
      <c r="D588" t="inlineStr">
        <is>
          <t>GÄVLEBORGS LÄN</t>
        </is>
      </c>
      <c r="E588" t="inlineStr">
        <is>
          <t>LJUSDAL</t>
        </is>
      </c>
      <c r="F588" t="inlineStr">
        <is>
          <t>Sveaskog</t>
        </is>
      </c>
      <c r="G588" t="n">
        <v>2.8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69569-2020</t>
        </is>
      </c>
      <c r="B589" s="1" t="n">
        <v>44194</v>
      </c>
      <c r="C589" s="1" t="n">
        <v>45181</v>
      </c>
      <c r="D589" t="inlineStr">
        <is>
          <t>GÄVLEBORGS LÄN</t>
        </is>
      </c>
      <c r="E589" t="inlineStr">
        <is>
          <t>LJUSDAL</t>
        </is>
      </c>
      <c r="G589" t="n">
        <v>1.7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69571-2020</t>
        </is>
      </c>
      <c r="B590" s="1" t="n">
        <v>44194</v>
      </c>
      <c r="C590" s="1" t="n">
        <v>45181</v>
      </c>
      <c r="D590" t="inlineStr">
        <is>
          <t>GÄVLEBORGS LÄN</t>
        </is>
      </c>
      <c r="E590" t="inlineStr">
        <is>
          <t>LJUSDAL</t>
        </is>
      </c>
      <c r="G590" t="n">
        <v>2.2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  <c r="U590">
        <f>HYPERLINK("https://klasma.github.io/Logging_LJUSDAL/knärot/A 69571-2020.png")</f>
        <v/>
      </c>
      <c r="V590">
        <f>HYPERLINK("https://klasma.github.io/Logging_LJUSDAL/klagomål/A 69571-2020.docx")</f>
        <v/>
      </c>
      <c r="W590">
        <f>HYPERLINK("https://klasma.github.io/Logging_LJUSDAL/klagomålsmail/A 69571-2020.docx")</f>
        <v/>
      </c>
      <c r="X590">
        <f>HYPERLINK("https://klasma.github.io/Logging_LJUSDAL/tillsyn/A 69571-2020.docx")</f>
        <v/>
      </c>
      <c r="Y590">
        <f>HYPERLINK("https://klasma.github.io/Logging_LJUSDAL/tillsynsmail/A 69571-2020.docx")</f>
        <v/>
      </c>
    </row>
    <row r="591" ht="15" customHeight="1">
      <c r="A591" t="inlineStr">
        <is>
          <t>A 54-2021</t>
        </is>
      </c>
      <c r="B591" s="1" t="n">
        <v>44199</v>
      </c>
      <c r="C591" s="1" t="n">
        <v>45181</v>
      </c>
      <c r="D591" t="inlineStr">
        <is>
          <t>GÄVLEBORGS LÄN</t>
        </is>
      </c>
      <c r="E591" t="inlineStr">
        <is>
          <t>LJUSDAL</t>
        </is>
      </c>
      <c r="G591" t="n">
        <v>5.8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219-2021</t>
        </is>
      </c>
      <c r="B592" s="1" t="n">
        <v>44200</v>
      </c>
      <c r="C592" s="1" t="n">
        <v>45181</v>
      </c>
      <c r="D592" t="inlineStr">
        <is>
          <t>GÄVLEBORGS LÄN</t>
        </is>
      </c>
      <c r="E592" t="inlineStr">
        <is>
          <t>LJUSDAL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783-2021</t>
        </is>
      </c>
      <c r="B593" s="1" t="n">
        <v>44203</v>
      </c>
      <c r="C593" s="1" t="n">
        <v>45181</v>
      </c>
      <c r="D593" t="inlineStr">
        <is>
          <t>GÄVLEBORGS LÄN</t>
        </is>
      </c>
      <c r="E593" t="inlineStr">
        <is>
          <t>LJUSDAL</t>
        </is>
      </c>
      <c r="F593" t="inlineStr">
        <is>
          <t>Sveaskog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1196-2021</t>
        </is>
      </c>
      <c r="B594" s="1" t="n">
        <v>44208</v>
      </c>
      <c r="C594" s="1" t="n">
        <v>45181</v>
      </c>
      <c r="D594" t="inlineStr">
        <is>
          <t>GÄVLEBORGS LÄN</t>
        </is>
      </c>
      <c r="E594" t="inlineStr">
        <is>
          <t>LJUSDAL</t>
        </is>
      </c>
      <c r="F594" t="inlineStr">
        <is>
          <t>Holmen skog AB</t>
        </is>
      </c>
      <c r="G594" t="n">
        <v>3.1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3663-2021</t>
        </is>
      </c>
      <c r="B595" s="1" t="n">
        <v>44221</v>
      </c>
      <c r="C595" s="1" t="n">
        <v>45181</v>
      </c>
      <c r="D595" t="inlineStr">
        <is>
          <t>GÄVLEBORGS LÄN</t>
        </is>
      </c>
      <c r="E595" t="inlineStr">
        <is>
          <t>LJUSDAL</t>
        </is>
      </c>
      <c r="G595" t="n">
        <v>6.8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4341-2021</t>
        </is>
      </c>
      <c r="B596" s="1" t="n">
        <v>44223</v>
      </c>
      <c r="C596" s="1" t="n">
        <v>45181</v>
      </c>
      <c r="D596" t="inlineStr">
        <is>
          <t>GÄVLEBORGS LÄN</t>
        </is>
      </c>
      <c r="E596" t="inlineStr">
        <is>
          <t>LJUSDAL</t>
        </is>
      </c>
      <c r="F596" t="inlineStr">
        <is>
          <t>Kommuner</t>
        </is>
      </c>
      <c r="G596" t="n">
        <v>7.9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5029-2021</t>
        </is>
      </c>
      <c r="B597" s="1" t="n">
        <v>44228</v>
      </c>
      <c r="C597" s="1" t="n">
        <v>45181</v>
      </c>
      <c r="D597" t="inlineStr">
        <is>
          <t>GÄVLEBORGS LÄN</t>
        </is>
      </c>
      <c r="E597" t="inlineStr">
        <is>
          <t>LJUSDAL</t>
        </is>
      </c>
      <c r="G597" t="n">
        <v>2.1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5431-2021</t>
        </is>
      </c>
      <c r="B598" s="1" t="n">
        <v>44229</v>
      </c>
      <c r="C598" s="1" t="n">
        <v>45181</v>
      </c>
      <c r="D598" t="inlineStr">
        <is>
          <t>GÄVLEBORGS LÄN</t>
        </is>
      </c>
      <c r="E598" t="inlineStr">
        <is>
          <t>LJUSDAL</t>
        </is>
      </c>
      <c r="G598" t="n">
        <v>5.8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6587-2021</t>
        </is>
      </c>
      <c r="B599" s="1" t="n">
        <v>44236</v>
      </c>
      <c r="C599" s="1" t="n">
        <v>45181</v>
      </c>
      <c r="D599" t="inlineStr">
        <is>
          <t>GÄVLEBORGS LÄN</t>
        </is>
      </c>
      <c r="E599" t="inlineStr">
        <is>
          <t>LJUSDAL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7358-2021</t>
        </is>
      </c>
      <c r="B600" s="1" t="n">
        <v>44239</v>
      </c>
      <c r="C600" s="1" t="n">
        <v>45181</v>
      </c>
      <c r="D600" t="inlineStr">
        <is>
          <t>GÄVLEBORGS LÄN</t>
        </is>
      </c>
      <c r="E600" t="inlineStr">
        <is>
          <t>LJUSDAL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7925-2021</t>
        </is>
      </c>
      <c r="B601" s="1" t="n">
        <v>44243</v>
      </c>
      <c r="C601" s="1" t="n">
        <v>45181</v>
      </c>
      <c r="D601" t="inlineStr">
        <is>
          <t>GÄVLEBORGS LÄN</t>
        </is>
      </c>
      <c r="E601" t="inlineStr">
        <is>
          <t>LJUSDAL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9288-2021</t>
        </is>
      </c>
      <c r="B602" s="1" t="n">
        <v>44250</v>
      </c>
      <c r="C602" s="1" t="n">
        <v>45181</v>
      </c>
      <c r="D602" t="inlineStr">
        <is>
          <t>GÄVLEBORGS LÄN</t>
        </is>
      </c>
      <c r="E602" t="inlineStr">
        <is>
          <t>LJUSDAL</t>
        </is>
      </c>
      <c r="G602" t="n">
        <v>5.5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9540-2021</t>
        </is>
      </c>
      <c r="B603" s="1" t="n">
        <v>44251</v>
      </c>
      <c r="C603" s="1" t="n">
        <v>45181</v>
      </c>
      <c r="D603" t="inlineStr">
        <is>
          <t>GÄVLEBORGS LÄN</t>
        </is>
      </c>
      <c r="E603" t="inlineStr">
        <is>
          <t>LJUSDAL</t>
        </is>
      </c>
      <c r="G603" t="n">
        <v>1.3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9982-2021</t>
        </is>
      </c>
      <c r="B604" s="1" t="n">
        <v>44253</v>
      </c>
      <c r="C604" s="1" t="n">
        <v>45181</v>
      </c>
      <c r="D604" t="inlineStr">
        <is>
          <t>GÄVLEBORGS LÄN</t>
        </is>
      </c>
      <c r="E604" t="inlineStr">
        <is>
          <t>LJUSDAL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10883-2021</t>
        </is>
      </c>
      <c r="B605" s="1" t="n">
        <v>44259</v>
      </c>
      <c r="C605" s="1" t="n">
        <v>45181</v>
      </c>
      <c r="D605" t="inlineStr">
        <is>
          <t>GÄVLEBORGS LÄN</t>
        </is>
      </c>
      <c r="E605" t="inlineStr">
        <is>
          <t>LJUSDAL</t>
        </is>
      </c>
      <c r="G605" t="n">
        <v>0.9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11770-2021</t>
        </is>
      </c>
      <c r="B606" s="1" t="n">
        <v>44265</v>
      </c>
      <c r="C606" s="1" t="n">
        <v>45181</v>
      </c>
      <c r="D606" t="inlineStr">
        <is>
          <t>GÄVLEBORGS LÄN</t>
        </is>
      </c>
      <c r="E606" t="inlineStr">
        <is>
          <t>LJUSDAL</t>
        </is>
      </c>
      <c r="G606" t="n">
        <v>5.9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11766-2021</t>
        </is>
      </c>
      <c r="B607" s="1" t="n">
        <v>44265</v>
      </c>
      <c r="C607" s="1" t="n">
        <v>45181</v>
      </c>
      <c r="D607" t="inlineStr">
        <is>
          <t>GÄVLEBORGS LÄN</t>
        </is>
      </c>
      <c r="E607" t="inlineStr">
        <is>
          <t>LJUSDAL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12330-2021</t>
        </is>
      </c>
      <c r="B608" s="1" t="n">
        <v>44267</v>
      </c>
      <c r="C608" s="1" t="n">
        <v>45181</v>
      </c>
      <c r="D608" t="inlineStr">
        <is>
          <t>GÄVLEBORGS LÄN</t>
        </is>
      </c>
      <c r="E608" t="inlineStr">
        <is>
          <t>LJUSDAL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13519-2021</t>
        </is>
      </c>
      <c r="B609" s="1" t="n">
        <v>44273</v>
      </c>
      <c r="C609" s="1" t="n">
        <v>45181</v>
      </c>
      <c r="D609" t="inlineStr">
        <is>
          <t>GÄVLEBORGS LÄN</t>
        </is>
      </c>
      <c r="E609" t="inlineStr">
        <is>
          <t>LJUSDAL</t>
        </is>
      </c>
      <c r="F609" t="inlineStr">
        <is>
          <t>Sveaskog</t>
        </is>
      </c>
      <c r="G609" t="n">
        <v>17.2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13521-2021</t>
        </is>
      </c>
      <c r="B610" s="1" t="n">
        <v>44273</v>
      </c>
      <c r="C610" s="1" t="n">
        <v>45181</v>
      </c>
      <c r="D610" t="inlineStr">
        <is>
          <t>GÄVLEBORGS LÄN</t>
        </is>
      </c>
      <c r="E610" t="inlineStr">
        <is>
          <t>LJUSDAL</t>
        </is>
      </c>
      <c r="F610" t="inlineStr">
        <is>
          <t>Sveaskog</t>
        </is>
      </c>
      <c r="G610" t="n">
        <v>11.6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16709-2021</t>
        </is>
      </c>
      <c r="B611" s="1" t="n">
        <v>44294</v>
      </c>
      <c r="C611" s="1" t="n">
        <v>45181</v>
      </c>
      <c r="D611" t="inlineStr">
        <is>
          <t>GÄVLEBORGS LÄN</t>
        </is>
      </c>
      <c r="E611" t="inlineStr">
        <is>
          <t>LJUSDAL</t>
        </is>
      </c>
      <c r="F611" t="inlineStr">
        <is>
          <t>Kyrkan</t>
        </is>
      </c>
      <c r="G611" t="n">
        <v>6.6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16699-2021</t>
        </is>
      </c>
      <c r="B612" s="1" t="n">
        <v>44294</v>
      </c>
      <c r="C612" s="1" t="n">
        <v>45181</v>
      </c>
      <c r="D612" t="inlineStr">
        <is>
          <t>GÄVLEBORGS LÄN</t>
        </is>
      </c>
      <c r="E612" t="inlineStr">
        <is>
          <t>LJUSDAL</t>
        </is>
      </c>
      <c r="F612" t="inlineStr">
        <is>
          <t>Kyrkan</t>
        </is>
      </c>
      <c r="G612" t="n">
        <v>1.9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16925-2021</t>
        </is>
      </c>
      <c r="B613" s="1" t="n">
        <v>44295</v>
      </c>
      <c r="C613" s="1" t="n">
        <v>45181</v>
      </c>
      <c r="D613" t="inlineStr">
        <is>
          <t>GÄVLEBORGS LÄN</t>
        </is>
      </c>
      <c r="E613" t="inlineStr">
        <is>
          <t>LJUSDAL</t>
        </is>
      </c>
      <c r="F613" t="inlineStr">
        <is>
          <t>Bergvik skog väst AB</t>
        </is>
      </c>
      <c r="G613" t="n">
        <v>1.3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18151-2021</t>
        </is>
      </c>
      <c r="B614" s="1" t="n">
        <v>44302</v>
      </c>
      <c r="C614" s="1" t="n">
        <v>45181</v>
      </c>
      <c r="D614" t="inlineStr">
        <is>
          <t>GÄVLEBORGS LÄN</t>
        </is>
      </c>
      <c r="E614" t="inlineStr">
        <is>
          <t>LJUSDAL</t>
        </is>
      </c>
      <c r="F614" t="inlineStr">
        <is>
          <t>Sveaskog</t>
        </is>
      </c>
      <c r="G614" t="n">
        <v>1.5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18786-2021</t>
        </is>
      </c>
      <c r="B615" s="1" t="n">
        <v>44307</v>
      </c>
      <c r="C615" s="1" t="n">
        <v>45181</v>
      </c>
      <c r="D615" t="inlineStr">
        <is>
          <t>GÄVLEBORGS LÄN</t>
        </is>
      </c>
      <c r="E615" t="inlineStr">
        <is>
          <t>LJUSDAL</t>
        </is>
      </c>
      <c r="G615" t="n">
        <v>4.9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19129-2021</t>
        </is>
      </c>
      <c r="B616" s="1" t="n">
        <v>44308</v>
      </c>
      <c r="C616" s="1" t="n">
        <v>45181</v>
      </c>
      <c r="D616" t="inlineStr">
        <is>
          <t>GÄVLEBORGS LÄN</t>
        </is>
      </c>
      <c r="E616" t="inlineStr">
        <is>
          <t>LJUSDAL</t>
        </is>
      </c>
      <c r="G616" t="n">
        <v>2.7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19117-2021</t>
        </is>
      </c>
      <c r="B617" s="1" t="n">
        <v>44308</v>
      </c>
      <c r="C617" s="1" t="n">
        <v>45181</v>
      </c>
      <c r="D617" t="inlineStr">
        <is>
          <t>GÄVLEBORGS LÄN</t>
        </is>
      </c>
      <c r="E617" t="inlineStr">
        <is>
          <t>LJUSDAL</t>
        </is>
      </c>
      <c r="F617" t="inlineStr">
        <is>
          <t>Bergvik skog väst AB</t>
        </is>
      </c>
      <c r="G617" t="n">
        <v>1.6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19405-2021</t>
        </is>
      </c>
      <c r="B618" s="1" t="n">
        <v>44309</v>
      </c>
      <c r="C618" s="1" t="n">
        <v>45181</v>
      </c>
      <c r="D618" t="inlineStr">
        <is>
          <t>GÄVLEBORGS LÄN</t>
        </is>
      </c>
      <c r="E618" t="inlineStr">
        <is>
          <t>LJUSDAL</t>
        </is>
      </c>
      <c r="G618" t="n">
        <v>1.5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19973-2021</t>
        </is>
      </c>
      <c r="B619" s="1" t="n">
        <v>44313</v>
      </c>
      <c r="C619" s="1" t="n">
        <v>45181</v>
      </c>
      <c r="D619" t="inlineStr">
        <is>
          <t>GÄVLEBORGS LÄN</t>
        </is>
      </c>
      <c r="E619" t="inlineStr">
        <is>
          <t>LJUSDAL</t>
        </is>
      </c>
      <c r="F619" t="inlineStr">
        <is>
          <t>Sveaskog</t>
        </is>
      </c>
      <c r="G619" t="n">
        <v>38.9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19976-2021</t>
        </is>
      </c>
      <c r="B620" s="1" t="n">
        <v>44313</v>
      </c>
      <c r="C620" s="1" t="n">
        <v>45181</v>
      </c>
      <c r="D620" t="inlineStr">
        <is>
          <t>GÄVLEBORGS LÄN</t>
        </is>
      </c>
      <c r="E620" t="inlineStr">
        <is>
          <t>LJUSDAL</t>
        </is>
      </c>
      <c r="F620" t="inlineStr">
        <is>
          <t>Sveaskog</t>
        </is>
      </c>
      <c r="G620" t="n">
        <v>40.1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21781-2021</t>
        </is>
      </c>
      <c r="B621" s="1" t="n">
        <v>44322</v>
      </c>
      <c r="C621" s="1" t="n">
        <v>45181</v>
      </c>
      <c r="D621" t="inlineStr">
        <is>
          <t>GÄVLEBORGS LÄN</t>
        </is>
      </c>
      <c r="E621" t="inlineStr">
        <is>
          <t>LJUSDAL</t>
        </is>
      </c>
      <c r="F621" t="inlineStr">
        <is>
          <t>Sveaskog</t>
        </is>
      </c>
      <c r="G621" t="n">
        <v>6.2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21720-2021</t>
        </is>
      </c>
      <c r="B622" s="1" t="n">
        <v>44322</v>
      </c>
      <c r="C622" s="1" t="n">
        <v>45181</v>
      </c>
      <c r="D622" t="inlineStr">
        <is>
          <t>GÄVLEBORGS LÄN</t>
        </is>
      </c>
      <c r="E622" t="inlineStr">
        <is>
          <t>LJUSDAL</t>
        </is>
      </c>
      <c r="F622" t="inlineStr">
        <is>
          <t>Sveaskog</t>
        </is>
      </c>
      <c r="G622" t="n">
        <v>4.8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21772-2021</t>
        </is>
      </c>
      <c r="B623" s="1" t="n">
        <v>44322</v>
      </c>
      <c r="C623" s="1" t="n">
        <v>45181</v>
      </c>
      <c r="D623" t="inlineStr">
        <is>
          <t>GÄVLEBORGS LÄN</t>
        </is>
      </c>
      <c r="E623" t="inlineStr">
        <is>
          <t>LJUSDAL</t>
        </is>
      </c>
      <c r="F623" t="inlineStr">
        <is>
          <t>Sveaskog</t>
        </is>
      </c>
      <c r="G623" t="n">
        <v>32.2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21724-2021</t>
        </is>
      </c>
      <c r="B624" s="1" t="n">
        <v>44322</v>
      </c>
      <c r="C624" s="1" t="n">
        <v>45181</v>
      </c>
      <c r="D624" t="inlineStr">
        <is>
          <t>GÄVLEBORGS LÄN</t>
        </is>
      </c>
      <c r="E624" t="inlineStr">
        <is>
          <t>LJUSDAL</t>
        </is>
      </c>
      <c r="F624" t="inlineStr">
        <is>
          <t>Sveaskog</t>
        </is>
      </c>
      <c r="G624" t="n">
        <v>1.7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22239-2021</t>
        </is>
      </c>
      <c r="B625" s="1" t="n">
        <v>44326</v>
      </c>
      <c r="C625" s="1" t="n">
        <v>45181</v>
      </c>
      <c r="D625" t="inlineStr">
        <is>
          <t>GÄVLEBORGS LÄN</t>
        </is>
      </c>
      <c r="E625" t="inlineStr">
        <is>
          <t>LJUSDAL</t>
        </is>
      </c>
      <c r="G625" t="n">
        <v>13.9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22206-2021</t>
        </is>
      </c>
      <c r="B626" s="1" t="n">
        <v>44326</v>
      </c>
      <c r="C626" s="1" t="n">
        <v>45181</v>
      </c>
      <c r="D626" t="inlineStr">
        <is>
          <t>GÄVLEBORGS LÄN</t>
        </is>
      </c>
      <c r="E626" t="inlineStr">
        <is>
          <t>LJUSDAL</t>
        </is>
      </c>
      <c r="G626" t="n">
        <v>1.6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23418-2021</t>
        </is>
      </c>
      <c r="B627" s="1" t="n">
        <v>44333</v>
      </c>
      <c r="C627" s="1" t="n">
        <v>45181</v>
      </c>
      <c r="D627" t="inlineStr">
        <is>
          <t>GÄVLEBORGS LÄN</t>
        </is>
      </c>
      <c r="E627" t="inlineStr">
        <is>
          <t>LJUSDAL</t>
        </is>
      </c>
      <c r="G627" t="n">
        <v>1.4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24158-2021</t>
        </is>
      </c>
      <c r="B628" s="1" t="n">
        <v>44336</v>
      </c>
      <c r="C628" s="1" t="n">
        <v>45181</v>
      </c>
      <c r="D628" t="inlineStr">
        <is>
          <t>GÄVLEBORGS LÄN</t>
        </is>
      </c>
      <c r="E628" t="inlineStr">
        <is>
          <t>LJUSDAL</t>
        </is>
      </c>
      <c r="G628" t="n">
        <v>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25144-2021</t>
        </is>
      </c>
      <c r="B629" s="1" t="n">
        <v>44341</v>
      </c>
      <c r="C629" s="1" t="n">
        <v>45181</v>
      </c>
      <c r="D629" t="inlineStr">
        <is>
          <t>GÄVLEBORGS LÄN</t>
        </is>
      </c>
      <c r="E629" t="inlineStr">
        <is>
          <t>LJUSDAL</t>
        </is>
      </c>
      <c r="G629" t="n">
        <v>1.9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24894-2021</t>
        </is>
      </c>
      <c r="B630" s="1" t="n">
        <v>44341</v>
      </c>
      <c r="C630" s="1" t="n">
        <v>45181</v>
      </c>
      <c r="D630" t="inlineStr">
        <is>
          <t>GÄVLEBORGS LÄN</t>
        </is>
      </c>
      <c r="E630" t="inlineStr">
        <is>
          <t>LJUSDAL</t>
        </is>
      </c>
      <c r="G630" t="n">
        <v>2.8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27051-2021</t>
        </is>
      </c>
      <c r="B631" s="1" t="n">
        <v>44350</v>
      </c>
      <c r="C631" s="1" t="n">
        <v>45181</v>
      </c>
      <c r="D631" t="inlineStr">
        <is>
          <t>GÄVLEBORGS LÄN</t>
        </is>
      </c>
      <c r="E631" t="inlineStr">
        <is>
          <t>LJUSDAL</t>
        </is>
      </c>
      <c r="F631" t="inlineStr">
        <is>
          <t>Bergvik skog väst AB</t>
        </is>
      </c>
      <c r="G631" t="n">
        <v>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27218-2021</t>
        </is>
      </c>
      <c r="B632" s="1" t="n">
        <v>44350</v>
      </c>
      <c r="C632" s="1" t="n">
        <v>45181</v>
      </c>
      <c r="D632" t="inlineStr">
        <is>
          <t>GÄVLEBORGS LÄN</t>
        </is>
      </c>
      <c r="E632" t="inlineStr">
        <is>
          <t>LJUSDAL</t>
        </is>
      </c>
      <c r="F632" t="inlineStr">
        <is>
          <t>Sveaskog</t>
        </is>
      </c>
      <c r="G632" t="n">
        <v>11.5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27900-2021</t>
        </is>
      </c>
      <c r="B633" s="1" t="n">
        <v>44354</v>
      </c>
      <c r="C633" s="1" t="n">
        <v>45181</v>
      </c>
      <c r="D633" t="inlineStr">
        <is>
          <t>GÄVLEBORGS LÄN</t>
        </is>
      </c>
      <c r="E633" t="inlineStr">
        <is>
          <t>LJUSDAL</t>
        </is>
      </c>
      <c r="F633" t="inlineStr">
        <is>
          <t>Bergvik skog väst AB</t>
        </is>
      </c>
      <c r="G633" t="n">
        <v>7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28999-2021</t>
        </is>
      </c>
      <c r="B634" s="1" t="n">
        <v>44358</v>
      </c>
      <c r="C634" s="1" t="n">
        <v>45181</v>
      </c>
      <c r="D634" t="inlineStr">
        <is>
          <t>GÄVLEBORGS LÄN</t>
        </is>
      </c>
      <c r="E634" t="inlineStr">
        <is>
          <t>LJUSDAL</t>
        </is>
      </c>
      <c r="F634" t="inlineStr">
        <is>
          <t>Sveaskog</t>
        </is>
      </c>
      <c r="G634" t="n">
        <v>7.7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29062-2021</t>
        </is>
      </c>
      <c r="B635" s="1" t="n">
        <v>44358</v>
      </c>
      <c r="C635" s="1" t="n">
        <v>45181</v>
      </c>
      <c r="D635" t="inlineStr">
        <is>
          <t>GÄVLEBORGS LÄN</t>
        </is>
      </c>
      <c r="E635" t="inlineStr">
        <is>
          <t>LJUSDAL</t>
        </is>
      </c>
      <c r="F635" t="inlineStr">
        <is>
          <t>Bergvik skog väst AB</t>
        </is>
      </c>
      <c r="G635" t="n">
        <v>10.8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29400-2021</t>
        </is>
      </c>
      <c r="B636" s="1" t="n">
        <v>44361</v>
      </c>
      <c r="C636" s="1" t="n">
        <v>45181</v>
      </c>
      <c r="D636" t="inlineStr">
        <is>
          <t>GÄVLEBORGS LÄN</t>
        </is>
      </c>
      <c r="E636" t="inlineStr">
        <is>
          <t>LJUSDAL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29408-2021</t>
        </is>
      </c>
      <c r="B637" s="1" t="n">
        <v>44361</v>
      </c>
      <c r="C637" s="1" t="n">
        <v>45181</v>
      </c>
      <c r="D637" t="inlineStr">
        <is>
          <t>GÄVLEBORGS LÄN</t>
        </is>
      </c>
      <c r="E637" t="inlineStr">
        <is>
          <t>LJUSDAL</t>
        </is>
      </c>
      <c r="F637" t="inlineStr">
        <is>
          <t>Holmen skog AB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29326-2021</t>
        </is>
      </c>
      <c r="B638" s="1" t="n">
        <v>44361</v>
      </c>
      <c r="C638" s="1" t="n">
        <v>45181</v>
      </c>
      <c r="D638" t="inlineStr">
        <is>
          <t>GÄVLEBORGS LÄN</t>
        </is>
      </c>
      <c r="E638" t="inlineStr">
        <is>
          <t>LJUSDAL</t>
        </is>
      </c>
      <c r="G638" t="n">
        <v>7.9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29402-2021</t>
        </is>
      </c>
      <c r="B639" s="1" t="n">
        <v>44361</v>
      </c>
      <c r="C639" s="1" t="n">
        <v>45181</v>
      </c>
      <c r="D639" t="inlineStr">
        <is>
          <t>GÄVLEBORGS LÄN</t>
        </is>
      </c>
      <c r="E639" t="inlineStr">
        <is>
          <t>LJUSDAL</t>
        </is>
      </c>
      <c r="G639" t="n">
        <v>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29435-2021</t>
        </is>
      </c>
      <c r="B640" s="1" t="n">
        <v>44361</v>
      </c>
      <c r="C640" s="1" t="n">
        <v>45181</v>
      </c>
      <c r="D640" t="inlineStr">
        <is>
          <t>GÄVLEBORGS LÄN</t>
        </is>
      </c>
      <c r="E640" t="inlineStr">
        <is>
          <t>LJUSDAL</t>
        </is>
      </c>
      <c r="G640" t="n">
        <v>3.4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29404-2021</t>
        </is>
      </c>
      <c r="B641" s="1" t="n">
        <v>44361</v>
      </c>
      <c r="C641" s="1" t="n">
        <v>45181</v>
      </c>
      <c r="D641" t="inlineStr">
        <is>
          <t>GÄVLEBORGS LÄN</t>
        </is>
      </c>
      <c r="E641" t="inlineStr">
        <is>
          <t>LJUSDAL</t>
        </is>
      </c>
      <c r="G641" t="n">
        <v>0.8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30112-2021</t>
        </is>
      </c>
      <c r="B642" s="1" t="n">
        <v>44363</v>
      </c>
      <c r="C642" s="1" t="n">
        <v>45181</v>
      </c>
      <c r="D642" t="inlineStr">
        <is>
          <t>GÄVLEBORGS LÄN</t>
        </is>
      </c>
      <c r="E642" t="inlineStr">
        <is>
          <t>LJUSDAL</t>
        </is>
      </c>
      <c r="G642" t="n">
        <v>0.7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30577-2021</t>
        </is>
      </c>
      <c r="B643" s="1" t="n">
        <v>44364</v>
      </c>
      <c r="C643" s="1" t="n">
        <v>45181</v>
      </c>
      <c r="D643" t="inlineStr">
        <is>
          <t>GÄVLEBORGS LÄN</t>
        </is>
      </c>
      <c r="E643" t="inlineStr">
        <is>
          <t>LJUSDAL</t>
        </is>
      </c>
      <c r="G643" t="n">
        <v>5.7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30770-2021</t>
        </is>
      </c>
      <c r="B644" s="1" t="n">
        <v>44365</v>
      </c>
      <c r="C644" s="1" t="n">
        <v>45181</v>
      </c>
      <c r="D644" t="inlineStr">
        <is>
          <t>GÄVLEBORGS LÄN</t>
        </is>
      </c>
      <c r="E644" t="inlineStr">
        <is>
          <t>LJUSDAL</t>
        </is>
      </c>
      <c r="G644" t="n">
        <v>1.5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31042-2021</t>
        </is>
      </c>
      <c r="B645" s="1" t="n">
        <v>44368</v>
      </c>
      <c r="C645" s="1" t="n">
        <v>45181</v>
      </c>
      <c r="D645" t="inlineStr">
        <is>
          <t>GÄVLEBORGS LÄN</t>
        </is>
      </c>
      <c r="E645" t="inlineStr">
        <is>
          <t>LJUSDAL</t>
        </is>
      </c>
      <c r="F645" t="inlineStr">
        <is>
          <t>Holmen skog AB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31041-2021</t>
        </is>
      </c>
      <c r="B646" s="1" t="n">
        <v>44368</v>
      </c>
      <c r="C646" s="1" t="n">
        <v>45181</v>
      </c>
      <c r="D646" t="inlineStr">
        <is>
          <t>GÄVLEBORGS LÄN</t>
        </is>
      </c>
      <c r="E646" t="inlineStr">
        <is>
          <t>LJUSDAL</t>
        </is>
      </c>
      <c r="F646" t="inlineStr">
        <is>
          <t>Holmen skog AB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33609-2021</t>
        </is>
      </c>
      <c r="B647" s="1" t="n">
        <v>44378</v>
      </c>
      <c r="C647" s="1" t="n">
        <v>45181</v>
      </c>
      <c r="D647" t="inlineStr">
        <is>
          <t>GÄVLEBORGS LÄN</t>
        </is>
      </c>
      <c r="E647" t="inlineStr">
        <is>
          <t>LJUSDAL</t>
        </is>
      </c>
      <c r="F647" t="inlineStr">
        <is>
          <t>Sveaskog</t>
        </is>
      </c>
      <c r="G647" t="n">
        <v>2.5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34651-2021</t>
        </is>
      </c>
      <c r="B648" s="1" t="n">
        <v>44382</v>
      </c>
      <c r="C648" s="1" t="n">
        <v>45181</v>
      </c>
      <c r="D648" t="inlineStr">
        <is>
          <t>GÄVLEBORGS LÄN</t>
        </is>
      </c>
      <c r="E648" t="inlineStr">
        <is>
          <t>LJUSDAL</t>
        </is>
      </c>
      <c r="F648" t="inlineStr">
        <is>
          <t>SCA</t>
        </is>
      </c>
      <c r="G648" t="n">
        <v>15.5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34522-2021</t>
        </is>
      </c>
      <c r="B649" s="1" t="n">
        <v>44382</v>
      </c>
      <c r="C649" s="1" t="n">
        <v>45181</v>
      </c>
      <c r="D649" t="inlineStr">
        <is>
          <t>GÄVLEBORGS LÄN</t>
        </is>
      </c>
      <c r="E649" t="inlineStr">
        <is>
          <t>LJUSDAL</t>
        </is>
      </c>
      <c r="F649" t="inlineStr">
        <is>
          <t>Bergvik skog väst AB</t>
        </is>
      </c>
      <c r="G649" t="n">
        <v>2.8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34566-2021</t>
        </is>
      </c>
      <c r="B650" s="1" t="n">
        <v>44382</v>
      </c>
      <c r="C650" s="1" t="n">
        <v>45181</v>
      </c>
      <c r="D650" t="inlineStr">
        <is>
          <t>GÄVLEBORGS LÄN</t>
        </is>
      </c>
      <c r="E650" t="inlineStr">
        <is>
          <t>LJUSDAL</t>
        </is>
      </c>
      <c r="F650" t="inlineStr">
        <is>
          <t>Bergvik skog väst AB</t>
        </is>
      </c>
      <c r="G650" t="n">
        <v>8.199999999999999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35259-2021</t>
        </is>
      </c>
      <c r="B651" s="1" t="n">
        <v>44384</v>
      </c>
      <c r="C651" s="1" t="n">
        <v>45181</v>
      </c>
      <c r="D651" t="inlineStr">
        <is>
          <t>GÄVLEBORGS LÄN</t>
        </is>
      </c>
      <c r="E651" t="inlineStr">
        <is>
          <t>LJUSDAL</t>
        </is>
      </c>
      <c r="F651" t="inlineStr">
        <is>
          <t>Sveaskog</t>
        </is>
      </c>
      <c r="G651" t="n">
        <v>21.7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35455-2021</t>
        </is>
      </c>
      <c r="B652" s="1" t="n">
        <v>44385</v>
      </c>
      <c r="C652" s="1" t="n">
        <v>45181</v>
      </c>
      <c r="D652" t="inlineStr">
        <is>
          <t>GÄVLEBORGS LÄN</t>
        </is>
      </c>
      <c r="E652" t="inlineStr">
        <is>
          <t>LJUSDAL</t>
        </is>
      </c>
      <c r="G652" t="n">
        <v>1.5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36323-2021</t>
        </is>
      </c>
      <c r="B653" s="1" t="n">
        <v>44390</v>
      </c>
      <c r="C653" s="1" t="n">
        <v>45181</v>
      </c>
      <c r="D653" t="inlineStr">
        <is>
          <t>GÄVLEBORGS LÄN</t>
        </is>
      </c>
      <c r="E653" t="inlineStr">
        <is>
          <t>LJUSDAL</t>
        </is>
      </c>
      <c r="G653" t="n">
        <v>0.8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36568-2021</t>
        </is>
      </c>
      <c r="B654" s="1" t="n">
        <v>44391</v>
      </c>
      <c r="C654" s="1" t="n">
        <v>45181</v>
      </c>
      <c r="D654" t="inlineStr">
        <is>
          <t>GÄVLEBORGS LÄN</t>
        </is>
      </c>
      <c r="E654" t="inlineStr">
        <is>
          <t>LJUSDAL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37249-2021</t>
        </is>
      </c>
      <c r="B655" s="1" t="n">
        <v>44397</v>
      </c>
      <c r="C655" s="1" t="n">
        <v>45181</v>
      </c>
      <c r="D655" t="inlineStr">
        <is>
          <t>GÄVLEBORGS LÄN</t>
        </is>
      </c>
      <c r="E655" t="inlineStr">
        <is>
          <t>LJUSDAL</t>
        </is>
      </c>
      <c r="F655" t="inlineStr">
        <is>
          <t>Sveaskog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37644-2021</t>
        </is>
      </c>
      <c r="B656" s="1" t="n">
        <v>44400</v>
      </c>
      <c r="C656" s="1" t="n">
        <v>45181</v>
      </c>
      <c r="D656" t="inlineStr">
        <is>
          <t>GÄVLEBORGS LÄN</t>
        </is>
      </c>
      <c r="E656" t="inlineStr">
        <is>
          <t>LJUSDAL</t>
        </is>
      </c>
      <c r="F656" t="inlineStr">
        <is>
          <t>Sveaskog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37645-2021</t>
        </is>
      </c>
      <c r="B657" s="1" t="n">
        <v>44400</v>
      </c>
      <c r="C657" s="1" t="n">
        <v>45181</v>
      </c>
      <c r="D657" t="inlineStr">
        <is>
          <t>GÄVLEBORGS LÄN</t>
        </is>
      </c>
      <c r="E657" t="inlineStr">
        <is>
          <t>LJUSDAL</t>
        </is>
      </c>
      <c r="F657" t="inlineStr">
        <is>
          <t>Sveaskog</t>
        </is>
      </c>
      <c r="G657" t="n">
        <v>3.9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37643-2021</t>
        </is>
      </c>
      <c r="B658" s="1" t="n">
        <v>44400</v>
      </c>
      <c r="C658" s="1" t="n">
        <v>45181</v>
      </c>
      <c r="D658" t="inlineStr">
        <is>
          <t>GÄVLEBORGS LÄN</t>
        </is>
      </c>
      <c r="E658" t="inlineStr">
        <is>
          <t>LJUSDAL</t>
        </is>
      </c>
      <c r="F658" t="inlineStr">
        <is>
          <t>Sveaskog</t>
        </is>
      </c>
      <c r="G658" t="n">
        <v>7.2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37903-2021</t>
        </is>
      </c>
      <c r="B659" s="1" t="n">
        <v>44403</v>
      </c>
      <c r="C659" s="1" t="n">
        <v>45181</v>
      </c>
      <c r="D659" t="inlineStr">
        <is>
          <t>GÄVLEBORGS LÄN</t>
        </is>
      </c>
      <c r="E659" t="inlineStr">
        <is>
          <t>LJUSDAL</t>
        </is>
      </c>
      <c r="F659" t="inlineStr">
        <is>
          <t>Sveaskog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37970-2021</t>
        </is>
      </c>
      <c r="B660" s="1" t="n">
        <v>44403</v>
      </c>
      <c r="C660" s="1" t="n">
        <v>45181</v>
      </c>
      <c r="D660" t="inlineStr">
        <is>
          <t>GÄVLEBORGS LÄN</t>
        </is>
      </c>
      <c r="E660" t="inlineStr">
        <is>
          <t>LJUSDAL</t>
        </is>
      </c>
      <c r="G660" t="n">
        <v>1.3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38040-2021</t>
        </is>
      </c>
      <c r="B661" s="1" t="n">
        <v>44404</v>
      </c>
      <c r="C661" s="1" t="n">
        <v>45181</v>
      </c>
      <c r="D661" t="inlineStr">
        <is>
          <t>GÄVLEBORGS LÄN</t>
        </is>
      </c>
      <c r="E661" t="inlineStr">
        <is>
          <t>LJUSDAL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38331-2021</t>
        </is>
      </c>
      <c r="B662" s="1" t="n">
        <v>44406</v>
      </c>
      <c r="C662" s="1" t="n">
        <v>45181</v>
      </c>
      <c r="D662" t="inlineStr">
        <is>
          <t>GÄVLEBORGS LÄN</t>
        </is>
      </c>
      <c r="E662" t="inlineStr">
        <is>
          <t>LJUSDAL</t>
        </is>
      </c>
      <c r="F662" t="inlineStr">
        <is>
          <t>Allmännings- och besparingsskogar</t>
        </is>
      </c>
      <c r="G662" t="n">
        <v>2.3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39949-2021</t>
        </is>
      </c>
      <c r="B663" s="1" t="n">
        <v>44418</v>
      </c>
      <c r="C663" s="1" t="n">
        <v>45181</v>
      </c>
      <c r="D663" t="inlineStr">
        <is>
          <t>GÄVLEBORGS LÄN</t>
        </is>
      </c>
      <c r="E663" t="inlineStr">
        <is>
          <t>LJUSDAL</t>
        </is>
      </c>
      <c r="F663" t="inlineStr">
        <is>
          <t>Sveaskog</t>
        </is>
      </c>
      <c r="G663" t="n">
        <v>5.7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40009-2021</t>
        </is>
      </c>
      <c r="B664" s="1" t="n">
        <v>44418</v>
      </c>
      <c r="C664" s="1" t="n">
        <v>45181</v>
      </c>
      <c r="D664" t="inlineStr">
        <is>
          <t>GÄVLEBORGS LÄN</t>
        </is>
      </c>
      <c r="E664" t="inlineStr">
        <is>
          <t>LJUSDAL</t>
        </is>
      </c>
      <c r="F664" t="inlineStr">
        <is>
          <t>Sveaskog</t>
        </is>
      </c>
      <c r="G664" t="n">
        <v>3.4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40345-2021</t>
        </is>
      </c>
      <c r="B665" s="1" t="n">
        <v>44419</v>
      </c>
      <c r="C665" s="1" t="n">
        <v>45181</v>
      </c>
      <c r="D665" t="inlineStr">
        <is>
          <t>GÄVLEBORGS LÄN</t>
        </is>
      </c>
      <c r="E665" t="inlineStr">
        <is>
          <t>LJUSDAL</t>
        </is>
      </c>
      <c r="F665" t="inlineStr">
        <is>
          <t>Bergvik skog väst AB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41663-2021</t>
        </is>
      </c>
      <c r="B666" s="1" t="n">
        <v>44425</v>
      </c>
      <c r="C666" s="1" t="n">
        <v>45181</v>
      </c>
      <c r="D666" t="inlineStr">
        <is>
          <t>GÄVLEBORGS LÄN</t>
        </is>
      </c>
      <c r="E666" t="inlineStr">
        <is>
          <t>LJUSDAL</t>
        </is>
      </c>
      <c r="F666" t="inlineStr">
        <is>
          <t>Sveaskog</t>
        </is>
      </c>
      <c r="G666" t="n">
        <v>8.9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41544-2021</t>
        </is>
      </c>
      <c r="B667" s="1" t="n">
        <v>44425</v>
      </c>
      <c r="C667" s="1" t="n">
        <v>45181</v>
      </c>
      <c r="D667" t="inlineStr">
        <is>
          <t>GÄVLEBORGS LÄN</t>
        </is>
      </c>
      <c r="E667" t="inlineStr">
        <is>
          <t>LJUSDAL</t>
        </is>
      </c>
      <c r="F667" t="inlineStr">
        <is>
          <t>Sveaskog</t>
        </is>
      </c>
      <c r="G667" t="n">
        <v>2.5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41919-2021</t>
        </is>
      </c>
      <c r="B668" s="1" t="n">
        <v>44426</v>
      </c>
      <c r="C668" s="1" t="n">
        <v>45181</v>
      </c>
      <c r="D668" t="inlineStr">
        <is>
          <t>GÄVLEBORGS LÄN</t>
        </is>
      </c>
      <c r="E668" t="inlineStr">
        <is>
          <t>LJUSDAL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42553-2021</t>
        </is>
      </c>
      <c r="B669" s="1" t="n">
        <v>44427</v>
      </c>
      <c r="C669" s="1" t="n">
        <v>45181</v>
      </c>
      <c r="D669" t="inlineStr">
        <is>
          <t>GÄVLEBORGS LÄN</t>
        </is>
      </c>
      <c r="E669" t="inlineStr">
        <is>
          <t>LJUSDAL</t>
        </is>
      </c>
      <c r="G669" t="n">
        <v>0.5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42759-2021</t>
        </is>
      </c>
      <c r="B670" s="1" t="n">
        <v>44428</v>
      </c>
      <c r="C670" s="1" t="n">
        <v>45181</v>
      </c>
      <c r="D670" t="inlineStr">
        <is>
          <t>GÄVLEBORGS LÄN</t>
        </is>
      </c>
      <c r="E670" t="inlineStr">
        <is>
          <t>LJUSDAL</t>
        </is>
      </c>
      <c r="F670" t="inlineStr">
        <is>
          <t>Sveaskog</t>
        </is>
      </c>
      <c r="G670" t="n">
        <v>0.8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43012-2021</t>
        </is>
      </c>
      <c r="B671" s="1" t="n">
        <v>44431</v>
      </c>
      <c r="C671" s="1" t="n">
        <v>45181</v>
      </c>
      <c r="D671" t="inlineStr">
        <is>
          <t>GÄVLEBORGS LÄN</t>
        </is>
      </c>
      <c r="E671" t="inlineStr">
        <is>
          <t>LJUSDAL</t>
        </is>
      </c>
      <c r="G671" t="n">
        <v>1.8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44507-2021</t>
        </is>
      </c>
      <c r="B672" s="1" t="n">
        <v>44435</v>
      </c>
      <c r="C672" s="1" t="n">
        <v>45181</v>
      </c>
      <c r="D672" t="inlineStr">
        <is>
          <t>GÄVLEBORGS LÄN</t>
        </is>
      </c>
      <c r="E672" t="inlineStr">
        <is>
          <t>LJUSDAL</t>
        </is>
      </c>
      <c r="F672" t="inlineStr">
        <is>
          <t>Sveaskog</t>
        </is>
      </c>
      <c r="G672" t="n">
        <v>3.5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44563-2021</t>
        </is>
      </c>
      <c r="B673" s="1" t="n">
        <v>44435</v>
      </c>
      <c r="C673" s="1" t="n">
        <v>45181</v>
      </c>
      <c r="D673" t="inlineStr">
        <is>
          <t>GÄVLEBORGS LÄN</t>
        </is>
      </c>
      <c r="E673" t="inlineStr">
        <is>
          <t>LJUSDAL</t>
        </is>
      </c>
      <c r="F673" t="inlineStr">
        <is>
          <t>Sveaskog</t>
        </is>
      </c>
      <c r="G673" t="n">
        <v>4.1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44257-2021</t>
        </is>
      </c>
      <c r="B674" s="1" t="n">
        <v>44435</v>
      </c>
      <c r="C674" s="1" t="n">
        <v>45181</v>
      </c>
      <c r="D674" t="inlineStr">
        <is>
          <t>GÄVLEBORGS LÄN</t>
        </is>
      </c>
      <c r="E674" t="inlineStr">
        <is>
          <t>LJUSDAL</t>
        </is>
      </c>
      <c r="G674" t="n">
        <v>1.9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44387-2021</t>
        </is>
      </c>
      <c r="B675" s="1" t="n">
        <v>44435</v>
      </c>
      <c r="C675" s="1" t="n">
        <v>45181</v>
      </c>
      <c r="D675" t="inlineStr">
        <is>
          <t>GÄVLEBORGS LÄN</t>
        </is>
      </c>
      <c r="E675" t="inlineStr">
        <is>
          <t>LJUSDAL</t>
        </is>
      </c>
      <c r="F675" t="inlineStr">
        <is>
          <t>Sveaskog</t>
        </is>
      </c>
      <c r="G675" t="n">
        <v>1.2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44688-2021</t>
        </is>
      </c>
      <c r="B676" s="1" t="n">
        <v>44438</v>
      </c>
      <c r="C676" s="1" t="n">
        <v>45181</v>
      </c>
      <c r="D676" t="inlineStr">
        <is>
          <t>GÄVLEBORGS LÄN</t>
        </is>
      </c>
      <c r="E676" t="inlineStr">
        <is>
          <t>LJUSDAL</t>
        </is>
      </c>
      <c r="F676" t="inlineStr">
        <is>
          <t>Sveaskog</t>
        </is>
      </c>
      <c r="G676" t="n">
        <v>4.8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45053-2021</t>
        </is>
      </c>
      <c r="B677" s="1" t="n">
        <v>44439</v>
      </c>
      <c r="C677" s="1" t="n">
        <v>45181</v>
      </c>
      <c r="D677" t="inlineStr">
        <is>
          <t>GÄVLEBORGS LÄN</t>
        </is>
      </c>
      <c r="E677" t="inlineStr">
        <is>
          <t>LJUSDAL</t>
        </is>
      </c>
      <c r="G677" t="n">
        <v>2.2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45368-2021</t>
        </is>
      </c>
      <c r="B678" s="1" t="n">
        <v>44440</v>
      </c>
      <c r="C678" s="1" t="n">
        <v>45181</v>
      </c>
      <c r="D678" t="inlineStr">
        <is>
          <t>GÄVLEBORGS LÄN</t>
        </is>
      </c>
      <c r="E678" t="inlineStr">
        <is>
          <t>LJUSDAL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46642-2021</t>
        </is>
      </c>
      <c r="B679" s="1" t="n">
        <v>44445</v>
      </c>
      <c r="C679" s="1" t="n">
        <v>45181</v>
      </c>
      <c r="D679" t="inlineStr">
        <is>
          <t>GÄVLEBORGS LÄN</t>
        </is>
      </c>
      <c r="E679" t="inlineStr">
        <is>
          <t>LJUSDAL</t>
        </is>
      </c>
      <c r="F679" t="inlineStr">
        <is>
          <t>Sveaskog</t>
        </is>
      </c>
      <c r="G679" t="n">
        <v>2.9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46651-2021</t>
        </is>
      </c>
      <c r="B680" s="1" t="n">
        <v>44445</v>
      </c>
      <c r="C680" s="1" t="n">
        <v>45181</v>
      </c>
      <c r="D680" t="inlineStr">
        <is>
          <t>GÄVLEBORGS LÄN</t>
        </is>
      </c>
      <c r="E680" t="inlineStr">
        <is>
          <t>LJUSDAL</t>
        </is>
      </c>
      <c r="F680" t="inlineStr">
        <is>
          <t>Holmen skog AB</t>
        </is>
      </c>
      <c r="G680" t="n">
        <v>6.2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46679-2021</t>
        </is>
      </c>
      <c r="B681" s="1" t="n">
        <v>44445</v>
      </c>
      <c r="C681" s="1" t="n">
        <v>45181</v>
      </c>
      <c r="D681" t="inlineStr">
        <is>
          <t>GÄVLEBORGS LÄN</t>
        </is>
      </c>
      <c r="E681" t="inlineStr">
        <is>
          <t>LJUSDAL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47268-2021</t>
        </is>
      </c>
      <c r="B682" s="1" t="n">
        <v>44447</v>
      </c>
      <c r="C682" s="1" t="n">
        <v>45181</v>
      </c>
      <c r="D682" t="inlineStr">
        <is>
          <t>GÄVLEBORGS LÄN</t>
        </is>
      </c>
      <c r="E682" t="inlineStr">
        <is>
          <t>LJUSDAL</t>
        </is>
      </c>
      <c r="F682" t="inlineStr">
        <is>
          <t>Bergvik skog väst AB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47553-2021</t>
        </is>
      </c>
      <c r="B683" s="1" t="n">
        <v>44447</v>
      </c>
      <c r="C683" s="1" t="n">
        <v>45181</v>
      </c>
      <c r="D683" t="inlineStr">
        <is>
          <t>GÄVLEBORGS LÄN</t>
        </is>
      </c>
      <c r="E683" t="inlineStr">
        <is>
          <t>LJUSDAL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47924-2021</t>
        </is>
      </c>
      <c r="B684" s="1" t="n">
        <v>44448</v>
      </c>
      <c r="C684" s="1" t="n">
        <v>45181</v>
      </c>
      <c r="D684" t="inlineStr">
        <is>
          <t>GÄVLEBORGS LÄN</t>
        </is>
      </c>
      <c r="E684" t="inlineStr">
        <is>
          <t>LJUSDAL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47925-2021</t>
        </is>
      </c>
      <c r="B685" s="1" t="n">
        <v>44448</v>
      </c>
      <c r="C685" s="1" t="n">
        <v>45181</v>
      </c>
      <c r="D685" t="inlineStr">
        <is>
          <t>GÄVLEBORGS LÄN</t>
        </is>
      </c>
      <c r="E685" t="inlineStr">
        <is>
          <t>LJUSDAL</t>
        </is>
      </c>
      <c r="G685" t="n">
        <v>15.5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48010-2021</t>
        </is>
      </c>
      <c r="B686" s="1" t="n">
        <v>44449</v>
      </c>
      <c r="C686" s="1" t="n">
        <v>45181</v>
      </c>
      <c r="D686" t="inlineStr">
        <is>
          <t>GÄVLEBORGS LÄN</t>
        </is>
      </c>
      <c r="E686" t="inlineStr">
        <is>
          <t>LJUSDAL</t>
        </is>
      </c>
      <c r="G686" t="n">
        <v>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48674-2021</t>
        </is>
      </c>
      <c r="B687" s="1" t="n">
        <v>44452</v>
      </c>
      <c r="C687" s="1" t="n">
        <v>45181</v>
      </c>
      <c r="D687" t="inlineStr">
        <is>
          <t>GÄVLEBORGS LÄN</t>
        </is>
      </c>
      <c r="E687" t="inlineStr">
        <is>
          <t>LJUSDAL</t>
        </is>
      </c>
      <c r="F687" t="inlineStr">
        <is>
          <t>Holmen skog AB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49099-2021</t>
        </is>
      </c>
      <c r="B688" s="1" t="n">
        <v>44453</v>
      </c>
      <c r="C688" s="1" t="n">
        <v>45181</v>
      </c>
      <c r="D688" t="inlineStr">
        <is>
          <t>GÄVLEBORGS LÄN</t>
        </is>
      </c>
      <c r="E688" t="inlineStr">
        <is>
          <t>LJUSDAL</t>
        </is>
      </c>
      <c r="F688" t="inlineStr">
        <is>
          <t>Sveaskog</t>
        </is>
      </c>
      <c r="G688" t="n">
        <v>10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49501-2021</t>
        </is>
      </c>
      <c r="B689" s="1" t="n">
        <v>44455</v>
      </c>
      <c r="C689" s="1" t="n">
        <v>45181</v>
      </c>
      <c r="D689" t="inlineStr">
        <is>
          <t>GÄVLEBORGS LÄN</t>
        </is>
      </c>
      <c r="E689" t="inlineStr">
        <is>
          <t>LJUSDAL</t>
        </is>
      </c>
      <c r="F689" t="inlineStr">
        <is>
          <t>Allmännings- och besparingsskogar</t>
        </is>
      </c>
      <c r="G689" t="n">
        <v>4.5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50849-2021</t>
        </is>
      </c>
      <c r="B690" s="1" t="n">
        <v>44460</v>
      </c>
      <c r="C690" s="1" t="n">
        <v>45181</v>
      </c>
      <c r="D690" t="inlineStr">
        <is>
          <t>GÄVLEBORGS LÄN</t>
        </is>
      </c>
      <c r="E690" t="inlineStr">
        <is>
          <t>LJUSDAL</t>
        </is>
      </c>
      <c r="G690" t="n">
        <v>2.7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50697-2021</t>
        </is>
      </c>
      <c r="B691" s="1" t="n">
        <v>44460</v>
      </c>
      <c r="C691" s="1" t="n">
        <v>45181</v>
      </c>
      <c r="D691" t="inlineStr">
        <is>
          <t>GÄVLEBORGS LÄN</t>
        </is>
      </c>
      <c r="E691" t="inlineStr">
        <is>
          <t>LJUSDAL</t>
        </is>
      </c>
      <c r="F691" t="inlineStr">
        <is>
          <t>Holmen skog AB</t>
        </is>
      </c>
      <c r="G691" t="n">
        <v>4.5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50732-2021</t>
        </is>
      </c>
      <c r="B692" s="1" t="n">
        <v>44460</v>
      </c>
      <c r="C692" s="1" t="n">
        <v>45181</v>
      </c>
      <c r="D692" t="inlineStr">
        <is>
          <t>GÄVLEBORGS LÄN</t>
        </is>
      </c>
      <c r="E692" t="inlineStr">
        <is>
          <t>LJUSDAL</t>
        </is>
      </c>
      <c r="F692" t="inlineStr">
        <is>
          <t>Holmen skog AB</t>
        </is>
      </c>
      <c r="G692" t="n">
        <v>3.6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51431-2021</t>
        </is>
      </c>
      <c r="B693" s="1" t="n">
        <v>44461</v>
      </c>
      <c r="C693" s="1" t="n">
        <v>45181</v>
      </c>
      <c r="D693" t="inlineStr">
        <is>
          <t>GÄVLEBORGS LÄN</t>
        </is>
      </c>
      <c r="E693" t="inlineStr">
        <is>
          <t>LJUSDAL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52613-2021</t>
        </is>
      </c>
      <c r="B694" s="1" t="n">
        <v>44466</v>
      </c>
      <c r="C694" s="1" t="n">
        <v>45181</v>
      </c>
      <c r="D694" t="inlineStr">
        <is>
          <t>GÄVLEBORGS LÄN</t>
        </is>
      </c>
      <c r="E694" t="inlineStr">
        <is>
          <t>LJUSDAL</t>
        </is>
      </c>
      <c r="G694" t="n">
        <v>2.5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52948-2021</t>
        </is>
      </c>
      <c r="B695" s="1" t="n">
        <v>44467</v>
      </c>
      <c r="C695" s="1" t="n">
        <v>45181</v>
      </c>
      <c r="D695" t="inlineStr">
        <is>
          <t>GÄVLEBORGS LÄN</t>
        </is>
      </c>
      <c r="E695" t="inlineStr">
        <is>
          <t>LJUSDAL</t>
        </is>
      </c>
      <c r="F695" t="inlineStr">
        <is>
          <t>Holmen skog AB</t>
        </is>
      </c>
      <c r="G695" t="n">
        <v>2.1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53999-2021</t>
        </is>
      </c>
      <c r="B696" s="1" t="n">
        <v>44470</v>
      </c>
      <c r="C696" s="1" t="n">
        <v>45181</v>
      </c>
      <c r="D696" t="inlineStr">
        <is>
          <t>GÄVLEBORGS LÄN</t>
        </is>
      </c>
      <c r="E696" t="inlineStr">
        <is>
          <t>LJUSDAL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54529-2021</t>
        </is>
      </c>
      <c r="B697" s="1" t="n">
        <v>44473</v>
      </c>
      <c r="C697" s="1" t="n">
        <v>45181</v>
      </c>
      <c r="D697" t="inlineStr">
        <is>
          <t>GÄVLEBORGS LÄN</t>
        </is>
      </c>
      <c r="E697" t="inlineStr">
        <is>
          <t>LJUSDAL</t>
        </is>
      </c>
      <c r="G697" t="n">
        <v>2.1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55546-2021</t>
        </is>
      </c>
      <c r="B698" s="1" t="n">
        <v>44475</v>
      </c>
      <c r="C698" s="1" t="n">
        <v>45181</v>
      </c>
      <c r="D698" t="inlineStr">
        <is>
          <t>GÄVLEBORGS LÄN</t>
        </is>
      </c>
      <c r="E698" t="inlineStr">
        <is>
          <t>LJUSDAL</t>
        </is>
      </c>
      <c r="F698" t="inlineStr">
        <is>
          <t>Holmen skog AB</t>
        </is>
      </c>
      <c r="G698" t="n">
        <v>14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55409-2021</t>
        </is>
      </c>
      <c r="B699" s="1" t="n">
        <v>44475</v>
      </c>
      <c r="C699" s="1" t="n">
        <v>45181</v>
      </c>
      <c r="D699" t="inlineStr">
        <is>
          <t>GÄVLEBORGS LÄN</t>
        </is>
      </c>
      <c r="E699" t="inlineStr">
        <is>
          <t>LJUSDAL</t>
        </is>
      </c>
      <c r="F699" t="inlineStr">
        <is>
          <t>Holmen skog AB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55534-2021</t>
        </is>
      </c>
      <c r="B700" s="1" t="n">
        <v>44475</v>
      </c>
      <c r="C700" s="1" t="n">
        <v>45181</v>
      </c>
      <c r="D700" t="inlineStr">
        <is>
          <t>GÄVLEBORGS LÄN</t>
        </is>
      </c>
      <c r="E700" t="inlineStr">
        <is>
          <t>LJUSDAL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56301-2021</t>
        </is>
      </c>
      <c r="B701" s="1" t="n">
        <v>44480</v>
      </c>
      <c r="C701" s="1" t="n">
        <v>45181</v>
      </c>
      <c r="D701" t="inlineStr">
        <is>
          <t>GÄVLEBORGS LÄN</t>
        </is>
      </c>
      <c r="E701" t="inlineStr">
        <is>
          <t>LJUSDAL</t>
        </is>
      </c>
      <c r="F701" t="inlineStr">
        <is>
          <t>Sveaskog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56846-2021</t>
        </is>
      </c>
      <c r="B702" s="1" t="n">
        <v>44481</v>
      </c>
      <c r="C702" s="1" t="n">
        <v>45181</v>
      </c>
      <c r="D702" t="inlineStr">
        <is>
          <t>GÄVLEBORGS LÄN</t>
        </is>
      </c>
      <c r="E702" t="inlineStr">
        <is>
          <t>LJUSDAL</t>
        </is>
      </c>
      <c r="G702" t="n">
        <v>11.9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57561-2021</t>
        </is>
      </c>
      <c r="B703" s="1" t="n">
        <v>44483</v>
      </c>
      <c r="C703" s="1" t="n">
        <v>45181</v>
      </c>
      <c r="D703" t="inlineStr">
        <is>
          <t>GÄVLEBORGS LÄN</t>
        </is>
      </c>
      <c r="E703" t="inlineStr">
        <is>
          <t>LJUSDAL</t>
        </is>
      </c>
      <c r="F703" t="inlineStr">
        <is>
          <t>SCA</t>
        </is>
      </c>
      <c r="G703" t="n">
        <v>2.8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57726-2021</t>
        </is>
      </c>
      <c r="B704" s="1" t="n">
        <v>44484</v>
      </c>
      <c r="C704" s="1" t="n">
        <v>45181</v>
      </c>
      <c r="D704" t="inlineStr">
        <is>
          <t>GÄVLEBORGS LÄN</t>
        </is>
      </c>
      <c r="E704" t="inlineStr">
        <is>
          <t>LJUSDAL</t>
        </is>
      </c>
      <c r="F704" t="inlineStr">
        <is>
          <t>Sveaskog</t>
        </is>
      </c>
      <c r="G704" t="n">
        <v>4.2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58397-2021</t>
        </is>
      </c>
      <c r="B705" s="1" t="n">
        <v>44488</v>
      </c>
      <c r="C705" s="1" t="n">
        <v>45181</v>
      </c>
      <c r="D705" t="inlineStr">
        <is>
          <t>GÄVLEBORGS LÄN</t>
        </is>
      </c>
      <c r="E705" t="inlineStr">
        <is>
          <t>LJUSDAL</t>
        </is>
      </c>
      <c r="G705" t="n">
        <v>0.5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58648-2021</t>
        </is>
      </c>
      <c r="B706" s="1" t="n">
        <v>44489</v>
      </c>
      <c r="C706" s="1" t="n">
        <v>45181</v>
      </c>
      <c r="D706" t="inlineStr">
        <is>
          <t>GÄVLEBORGS LÄN</t>
        </is>
      </c>
      <c r="E706" t="inlineStr">
        <is>
          <t>LJUSDAL</t>
        </is>
      </c>
      <c r="F706" t="inlineStr">
        <is>
          <t>Holmen skog AB</t>
        </is>
      </c>
      <c r="G706" t="n">
        <v>4.5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58731-2021</t>
        </is>
      </c>
      <c r="B707" s="1" t="n">
        <v>44489</v>
      </c>
      <c r="C707" s="1" t="n">
        <v>45181</v>
      </c>
      <c r="D707" t="inlineStr">
        <is>
          <t>GÄVLEBORGS LÄN</t>
        </is>
      </c>
      <c r="E707" t="inlineStr">
        <is>
          <t>LJUSDAL</t>
        </is>
      </c>
      <c r="F707" t="inlineStr">
        <is>
          <t>Holmen skog AB</t>
        </is>
      </c>
      <c r="G707" t="n">
        <v>2.5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58624-2021</t>
        </is>
      </c>
      <c r="B708" s="1" t="n">
        <v>44489</v>
      </c>
      <c r="C708" s="1" t="n">
        <v>45181</v>
      </c>
      <c r="D708" t="inlineStr">
        <is>
          <t>GÄVLEBORGS LÄN</t>
        </is>
      </c>
      <c r="E708" t="inlineStr">
        <is>
          <t>LJUSDAL</t>
        </is>
      </c>
      <c r="F708" t="inlineStr">
        <is>
          <t>Holmen skog AB</t>
        </is>
      </c>
      <c r="G708" t="n">
        <v>33.3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58874-2021</t>
        </is>
      </c>
      <c r="B709" s="1" t="n">
        <v>44489</v>
      </c>
      <c r="C709" s="1" t="n">
        <v>45181</v>
      </c>
      <c r="D709" t="inlineStr">
        <is>
          <t>GÄVLEBORGS LÄN</t>
        </is>
      </c>
      <c r="E709" t="inlineStr">
        <is>
          <t>LJUSDAL</t>
        </is>
      </c>
      <c r="F709" t="inlineStr">
        <is>
          <t>Holmen skog AB</t>
        </is>
      </c>
      <c r="G709" t="n">
        <v>17.2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59129-2021</t>
        </is>
      </c>
      <c r="B710" s="1" t="n">
        <v>44490</v>
      </c>
      <c r="C710" s="1" t="n">
        <v>45181</v>
      </c>
      <c r="D710" t="inlineStr">
        <is>
          <t>GÄVLEBORGS LÄN</t>
        </is>
      </c>
      <c r="E710" t="inlineStr">
        <is>
          <t>LJUSDAL</t>
        </is>
      </c>
      <c r="F710" t="inlineStr">
        <is>
          <t>Sveaskog</t>
        </is>
      </c>
      <c r="G710" t="n">
        <v>1.2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61010-2021</t>
        </is>
      </c>
      <c r="B711" s="1" t="n">
        <v>44497</v>
      </c>
      <c r="C711" s="1" t="n">
        <v>45181</v>
      </c>
      <c r="D711" t="inlineStr">
        <is>
          <t>GÄVLEBORGS LÄN</t>
        </is>
      </c>
      <c r="E711" t="inlineStr">
        <is>
          <t>LJUSDAL</t>
        </is>
      </c>
      <c r="F711" t="inlineStr">
        <is>
          <t>Holmen skog AB</t>
        </is>
      </c>
      <c r="G711" t="n">
        <v>1.9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61164-2021</t>
        </is>
      </c>
      <c r="B712" s="1" t="n">
        <v>44497</v>
      </c>
      <c r="C712" s="1" t="n">
        <v>45181</v>
      </c>
      <c r="D712" t="inlineStr">
        <is>
          <t>GÄVLEBORGS LÄN</t>
        </is>
      </c>
      <c r="E712" t="inlineStr">
        <is>
          <t>LJUSDAL</t>
        </is>
      </c>
      <c r="G712" t="n">
        <v>0.9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61012-2021</t>
        </is>
      </c>
      <c r="B713" s="1" t="n">
        <v>44497</v>
      </c>
      <c r="C713" s="1" t="n">
        <v>45181</v>
      </c>
      <c r="D713" t="inlineStr">
        <is>
          <t>GÄVLEBORGS LÄN</t>
        </is>
      </c>
      <c r="E713" t="inlineStr">
        <is>
          <t>LJUSDAL</t>
        </is>
      </c>
      <c r="F713" t="inlineStr">
        <is>
          <t>Holmen skog AB</t>
        </is>
      </c>
      <c r="G713" t="n">
        <v>4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61162-2021</t>
        </is>
      </c>
      <c r="B714" s="1" t="n">
        <v>44497</v>
      </c>
      <c r="C714" s="1" t="n">
        <v>45181</v>
      </c>
      <c r="D714" t="inlineStr">
        <is>
          <t>GÄVLEBORGS LÄN</t>
        </is>
      </c>
      <c r="E714" t="inlineStr">
        <is>
          <t>LJUSDAL</t>
        </is>
      </c>
      <c r="G714" t="n">
        <v>11.2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62146-2021</t>
        </is>
      </c>
      <c r="B715" s="1" t="n">
        <v>44502</v>
      </c>
      <c r="C715" s="1" t="n">
        <v>45181</v>
      </c>
      <c r="D715" t="inlineStr">
        <is>
          <t>GÄVLEBORGS LÄN</t>
        </is>
      </c>
      <c r="E715" t="inlineStr">
        <is>
          <t>LJUSDAL</t>
        </is>
      </c>
      <c r="G715" t="n">
        <v>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62256-2021</t>
        </is>
      </c>
      <c r="B716" s="1" t="n">
        <v>44503</v>
      </c>
      <c r="C716" s="1" t="n">
        <v>45181</v>
      </c>
      <c r="D716" t="inlineStr">
        <is>
          <t>GÄVLEBORGS LÄN</t>
        </is>
      </c>
      <c r="E716" t="inlineStr">
        <is>
          <t>LJUSDAL</t>
        </is>
      </c>
      <c r="F716" t="inlineStr">
        <is>
          <t>Holmen skog AB</t>
        </is>
      </c>
      <c r="G716" t="n">
        <v>1.8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62707-2021</t>
        </is>
      </c>
      <c r="B717" s="1" t="n">
        <v>44504</v>
      </c>
      <c r="C717" s="1" t="n">
        <v>45181</v>
      </c>
      <c r="D717" t="inlineStr">
        <is>
          <t>GÄVLEBORGS LÄN</t>
        </is>
      </c>
      <c r="E717" t="inlineStr">
        <is>
          <t>LJUSDAL</t>
        </is>
      </c>
      <c r="F717" t="inlineStr">
        <is>
          <t>Holmen skog AB</t>
        </is>
      </c>
      <c r="G717" t="n">
        <v>0.2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64120-2021</t>
        </is>
      </c>
      <c r="B718" s="1" t="n">
        <v>44510</v>
      </c>
      <c r="C718" s="1" t="n">
        <v>45181</v>
      </c>
      <c r="D718" t="inlineStr">
        <is>
          <t>GÄVLEBORGS LÄN</t>
        </is>
      </c>
      <c r="E718" t="inlineStr">
        <is>
          <t>LJUSDAL</t>
        </is>
      </c>
      <c r="F718" t="inlineStr">
        <is>
          <t>Kommuner</t>
        </is>
      </c>
      <c r="G718" t="n">
        <v>7.3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64601-2021</t>
        </is>
      </c>
      <c r="B719" s="1" t="n">
        <v>44511</v>
      </c>
      <c r="C719" s="1" t="n">
        <v>45181</v>
      </c>
      <c r="D719" t="inlineStr">
        <is>
          <t>GÄVLEBORGS LÄN</t>
        </is>
      </c>
      <c r="E719" t="inlineStr">
        <is>
          <t>LJUSDAL</t>
        </is>
      </c>
      <c r="F719" t="inlineStr">
        <is>
          <t>Kommuner</t>
        </is>
      </c>
      <c r="G719" t="n">
        <v>4.2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64556-2021</t>
        </is>
      </c>
      <c r="B720" s="1" t="n">
        <v>44511</v>
      </c>
      <c r="C720" s="1" t="n">
        <v>45181</v>
      </c>
      <c r="D720" t="inlineStr">
        <is>
          <t>GÄVLEBORGS LÄN</t>
        </is>
      </c>
      <c r="E720" t="inlineStr">
        <is>
          <t>LJUSDAL</t>
        </is>
      </c>
      <c r="F720" t="inlineStr">
        <is>
          <t>Holmen skog AB</t>
        </is>
      </c>
      <c r="G720" t="n">
        <v>4.3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67323-2021</t>
        </is>
      </c>
      <c r="B721" s="1" t="n">
        <v>44523</v>
      </c>
      <c r="C721" s="1" t="n">
        <v>45181</v>
      </c>
      <c r="D721" t="inlineStr">
        <is>
          <t>GÄVLEBORGS LÄN</t>
        </is>
      </c>
      <c r="E721" t="inlineStr">
        <is>
          <t>LJUSDAL</t>
        </is>
      </c>
      <c r="F721" t="inlineStr">
        <is>
          <t>Holmen skog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67380-2021</t>
        </is>
      </c>
      <c r="B722" s="1" t="n">
        <v>44523</v>
      </c>
      <c r="C722" s="1" t="n">
        <v>45181</v>
      </c>
      <c r="D722" t="inlineStr">
        <is>
          <t>GÄVLEBORGS LÄN</t>
        </is>
      </c>
      <c r="E722" t="inlineStr">
        <is>
          <t>LJUSDAL</t>
        </is>
      </c>
      <c r="G722" t="n">
        <v>4.6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69310-2021</t>
        </is>
      </c>
      <c r="B723" s="1" t="n">
        <v>44531</v>
      </c>
      <c r="C723" s="1" t="n">
        <v>45181</v>
      </c>
      <c r="D723" t="inlineStr">
        <is>
          <t>GÄVLEBORGS LÄN</t>
        </is>
      </c>
      <c r="E723" t="inlineStr">
        <is>
          <t>LJUSDAL</t>
        </is>
      </c>
      <c r="G723" t="n">
        <v>19.6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70478-2021</t>
        </is>
      </c>
      <c r="B724" s="1" t="n">
        <v>44536</v>
      </c>
      <c r="C724" s="1" t="n">
        <v>45181</v>
      </c>
      <c r="D724" t="inlineStr">
        <is>
          <t>GÄVLEBORGS LÄN</t>
        </is>
      </c>
      <c r="E724" t="inlineStr">
        <is>
          <t>LJUSDAL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71068-2021</t>
        </is>
      </c>
      <c r="B725" s="1" t="n">
        <v>44538</v>
      </c>
      <c r="C725" s="1" t="n">
        <v>45181</v>
      </c>
      <c r="D725" t="inlineStr">
        <is>
          <t>GÄVLEBORGS LÄN</t>
        </is>
      </c>
      <c r="E725" t="inlineStr">
        <is>
          <t>LJUSDAL</t>
        </is>
      </c>
      <c r="G725" t="n">
        <v>5.8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72150-2021</t>
        </is>
      </c>
      <c r="B726" s="1" t="n">
        <v>44544</v>
      </c>
      <c r="C726" s="1" t="n">
        <v>45181</v>
      </c>
      <c r="D726" t="inlineStr">
        <is>
          <t>GÄVLEBORGS LÄN</t>
        </is>
      </c>
      <c r="E726" t="inlineStr">
        <is>
          <t>LJUSDAL</t>
        </is>
      </c>
      <c r="F726" t="inlineStr">
        <is>
          <t>Holmen skog AB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73190-2021</t>
        </is>
      </c>
      <c r="B727" s="1" t="n">
        <v>44550</v>
      </c>
      <c r="C727" s="1" t="n">
        <v>45181</v>
      </c>
      <c r="D727" t="inlineStr">
        <is>
          <t>GÄVLEBORGS LÄN</t>
        </is>
      </c>
      <c r="E727" t="inlineStr">
        <is>
          <t>LJUSDAL</t>
        </is>
      </c>
      <c r="F727" t="inlineStr">
        <is>
          <t>Holmen skog AB</t>
        </is>
      </c>
      <c r="G727" t="n">
        <v>4.9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73554-2021</t>
        </is>
      </c>
      <c r="B728" s="1" t="n">
        <v>44551</v>
      </c>
      <c r="C728" s="1" t="n">
        <v>45181</v>
      </c>
      <c r="D728" t="inlineStr">
        <is>
          <t>GÄVLEBORGS LÄN</t>
        </is>
      </c>
      <c r="E728" t="inlineStr">
        <is>
          <t>LJUSDAL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73672-2021</t>
        </is>
      </c>
      <c r="B729" s="1" t="n">
        <v>44552</v>
      </c>
      <c r="C729" s="1" t="n">
        <v>45181</v>
      </c>
      <c r="D729" t="inlineStr">
        <is>
          <t>GÄVLEBORGS LÄN</t>
        </is>
      </c>
      <c r="E729" t="inlineStr">
        <is>
          <t>LJUSDAL</t>
        </is>
      </c>
      <c r="G729" t="n">
        <v>1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73750-2021</t>
        </is>
      </c>
      <c r="B730" s="1" t="n">
        <v>44552</v>
      </c>
      <c r="C730" s="1" t="n">
        <v>45181</v>
      </c>
      <c r="D730" t="inlineStr">
        <is>
          <t>GÄVLEBORGS LÄN</t>
        </is>
      </c>
      <c r="E730" t="inlineStr">
        <is>
          <t>LJUSDAL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30-2022</t>
        </is>
      </c>
      <c r="B731" s="1" t="n">
        <v>44564</v>
      </c>
      <c r="C731" s="1" t="n">
        <v>45181</v>
      </c>
      <c r="D731" t="inlineStr">
        <is>
          <t>GÄVLEBORGS LÄN</t>
        </is>
      </c>
      <c r="E731" t="inlineStr">
        <is>
          <t>LJUSDAL</t>
        </is>
      </c>
      <c r="G731" t="n">
        <v>0.5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574-2022</t>
        </is>
      </c>
      <c r="B732" s="1" t="n">
        <v>44566</v>
      </c>
      <c r="C732" s="1" t="n">
        <v>45181</v>
      </c>
      <c r="D732" t="inlineStr">
        <is>
          <t>GÄVLEBORGS LÄN</t>
        </is>
      </c>
      <c r="E732" t="inlineStr">
        <is>
          <t>LJUSDAL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1250-2022</t>
        </is>
      </c>
      <c r="B733" s="1" t="n">
        <v>44572</v>
      </c>
      <c r="C733" s="1" t="n">
        <v>45181</v>
      </c>
      <c r="D733" t="inlineStr">
        <is>
          <t>GÄVLEBORGS LÄN</t>
        </is>
      </c>
      <c r="E733" t="inlineStr">
        <is>
          <t>LJUSDAL</t>
        </is>
      </c>
      <c r="G733" t="n">
        <v>11.5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2449-2022</t>
        </is>
      </c>
      <c r="B734" s="1" t="n">
        <v>44579</v>
      </c>
      <c r="C734" s="1" t="n">
        <v>45181</v>
      </c>
      <c r="D734" t="inlineStr">
        <is>
          <t>GÄVLEBORGS LÄN</t>
        </is>
      </c>
      <c r="E734" t="inlineStr">
        <is>
          <t>LJUSDAL</t>
        </is>
      </c>
      <c r="F734" t="inlineStr">
        <is>
          <t>Holmen skog AB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3098-2022</t>
        </is>
      </c>
      <c r="B735" s="1" t="n">
        <v>44582</v>
      </c>
      <c r="C735" s="1" t="n">
        <v>45181</v>
      </c>
      <c r="D735" t="inlineStr">
        <is>
          <t>GÄVLEBORGS LÄN</t>
        </is>
      </c>
      <c r="E735" t="inlineStr">
        <is>
          <t>LJUSDAL</t>
        </is>
      </c>
      <c r="G735" t="n">
        <v>0.1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3868-2022</t>
        </is>
      </c>
      <c r="B736" s="1" t="n">
        <v>44587</v>
      </c>
      <c r="C736" s="1" t="n">
        <v>45181</v>
      </c>
      <c r="D736" t="inlineStr">
        <is>
          <t>GÄVLEBORGS LÄN</t>
        </is>
      </c>
      <c r="E736" t="inlineStr">
        <is>
          <t>LJUSDAL</t>
        </is>
      </c>
      <c r="F736" t="inlineStr">
        <is>
          <t>Sveaskog</t>
        </is>
      </c>
      <c r="G736" t="n">
        <v>0.2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4813-2022</t>
        </is>
      </c>
      <c r="B737" s="1" t="n">
        <v>44592</v>
      </c>
      <c r="C737" s="1" t="n">
        <v>45181</v>
      </c>
      <c r="D737" t="inlineStr">
        <is>
          <t>GÄVLEBORGS LÄN</t>
        </is>
      </c>
      <c r="E737" t="inlineStr">
        <is>
          <t>LJUSDAL</t>
        </is>
      </c>
      <c r="F737" t="inlineStr">
        <is>
          <t>Sveaskog</t>
        </is>
      </c>
      <c r="G737" t="n">
        <v>0.1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5614-2022</t>
        </is>
      </c>
      <c r="B738" s="1" t="n">
        <v>44595</v>
      </c>
      <c r="C738" s="1" t="n">
        <v>45181</v>
      </c>
      <c r="D738" t="inlineStr">
        <is>
          <t>GÄVLEBORGS LÄN</t>
        </is>
      </c>
      <c r="E738" t="inlineStr">
        <is>
          <t>LJUSDAL</t>
        </is>
      </c>
      <c r="G738" t="n">
        <v>4.2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9194-2022</t>
        </is>
      </c>
      <c r="B739" s="1" t="n">
        <v>44615</v>
      </c>
      <c r="C739" s="1" t="n">
        <v>45181</v>
      </c>
      <c r="D739" t="inlineStr">
        <is>
          <t>GÄVLEBORGS LÄN</t>
        </is>
      </c>
      <c r="E739" t="inlineStr">
        <is>
          <t>LJUSDAL</t>
        </is>
      </c>
      <c r="G739" t="n">
        <v>2.4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9191-2022</t>
        </is>
      </c>
      <c r="B740" s="1" t="n">
        <v>44615</v>
      </c>
      <c r="C740" s="1" t="n">
        <v>45181</v>
      </c>
      <c r="D740" t="inlineStr">
        <is>
          <t>GÄVLEBORGS LÄN</t>
        </is>
      </c>
      <c r="E740" t="inlineStr">
        <is>
          <t>LJUSDAL</t>
        </is>
      </c>
      <c r="G740" t="n">
        <v>1.5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9462-2022</t>
        </is>
      </c>
      <c r="B741" s="1" t="n">
        <v>44616</v>
      </c>
      <c r="C741" s="1" t="n">
        <v>45181</v>
      </c>
      <c r="D741" t="inlineStr">
        <is>
          <t>GÄVLEBORGS LÄN</t>
        </is>
      </c>
      <c r="E741" t="inlineStr">
        <is>
          <t>LJUSDAL</t>
        </is>
      </c>
      <c r="G741" t="n">
        <v>7.9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10074-2022</t>
        </is>
      </c>
      <c r="B742" s="1" t="n">
        <v>44621</v>
      </c>
      <c r="C742" s="1" t="n">
        <v>45181</v>
      </c>
      <c r="D742" t="inlineStr">
        <is>
          <t>GÄVLEBORGS LÄN</t>
        </is>
      </c>
      <c r="E742" t="inlineStr">
        <is>
          <t>LJUSDAL</t>
        </is>
      </c>
      <c r="F742" t="inlineStr">
        <is>
          <t>Kommuner</t>
        </is>
      </c>
      <c r="G742" t="n">
        <v>1.8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10856-2022</t>
        </is>
      </c>
      <c r="B743" s="1" t="n">
        <v>44627</v>
      </c>
      <c r="C743" s="1" t="n">
        <v>45181</v>
      </c>
      <c r="D743" t="inlineStr">
        <is>
          <t>GÄVLEBORGS LÄN</t>
        </is>
      </c>
      <c r="E743" t="inlineStr">
        <is>
          <t>LJUSDAL</t>
        </is>
      </c>
      <c r="G743" t="n">
        <v>1.1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10945-2022</t>
        </is>
      </c>
      <c r="B744" s="1" t="n">
        <v>44627</v>
      </c>
      <c r="C744" s="1" t="n">
        <v>45181</v>
      </c>
      <c r="D744" t="inlineStr">
        <is>
          <t>GÄVLEBORGS LÄN</t>
        </is>
      </c>
      <c r="E744" t="inlineStr">
        <is>
          <t>LJUSDAL</t>
        </is>
      </c>
      <c r="G744" t="n">
        <v>2.2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11242-2022</t>
        </is>
      </c>
      <c r="B745" s="1" t="n">
        <v>44629</v>
      </c>
      <c r="C745" s="1" t="n">
        <v>45181</v>
      </c>
      <c r="D745" t="inlineStr">
        <is>
          <t>GÄVLEBORGS LÄN</t>
        </is>
      </c>
      <c r="E745" t="inlineStr">
        <is>
          <t>LJUSDAL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13622-2022</t>
        </is>
      </c>
      <c r="B746" s="1" t="n">
        <v>44648</v>
      </c>
      <c r="C746" s="1" t="n">
        <v>45181</v>
      </c>
      <c r="D746" t="inlineStr">
        <is>
          <t>GÄVLEBORGS LÄN</t>
        </is>
      </c>
      <c r="E746" t="inlineStr">
        <is>
          <t>LJUSDAL</t>
        </is>
      </c>
      <c r="G746" t="n">
        <v>3.1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14010-2022</t>
        </is>
      </c>
      <c r="B747" s="1" t="n">
        <v>44650</v>
      </c>
      <c r="C747" s="1" t="n">
        <v>45181</v>
      </c>
      <c r="D747" t="inlineStr">
        <is>
          <t>GÄVLEBORGS LÄN</t>
        </is>
      </c>
      <c r="E747" t="inlineStr">
        <is>
          <t>LJUSDAL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15042-2022</t>
        </is>
      </c>
      <c r="B748" s="1" t="n">
        <v>44657</v>
      </c>
      <c r="C748" s="1" t="n">
        <v>45181</v>
      </c>
      <c r="D748" t="inlineStr">
        <is>
          <t>GÄVLEBORGS LÄN</t>
        </is>
      </c>
      <c r="E748" t="inlineStr">
        <is>
          <t>LJUSDAL</t>
        </is>
      </c>
      <c r="G748" t="n">
        <v>4.1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15485-2022</t>
        </is>
      </c>
      <c r="B749" s="1" t="n">
        <v>44662</v>
      </c>
      <c r="C749" s="1" t="n">
        <v>45181</v>
      </c>
      <c r="D749" t="inlineStr">
        <is>
          <t>GÄVLEBORGS LÄN</t>
        </is>
      </c>
      <c r="E749" t="inlineStr">
        <is>
          <t>LJUSDAL</t>
        </is>
      </c>
      <c r="F749" t="inlineStr">
        <is>
          <t>Kyrkan</t>
        </is>
      </c>
      <c r="G749" t="n">
        <v>17.9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15767-2022</t>
        </is>
      </c>
      <c r="B750" s="1" t="n">
        <v>44663</v>
      </c>
      <c r="C750" s="1" t="n">
        <v>45181</v>
      </c>
      <c r="D750" t="inlineStr">
        <is>
          <t>GÄVLEBORGS LÄN</t>
        </is>
      </c>
      <c r="E750" t="inlineStr">
        <is>
          <t>LJUSDAL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15750-2022</t>
        </is>
      </c>
      <c r="B751" s="1" t="n">
        <v>44663</v>
      </c>
      <c r="C751" s="1" t="n">
        <v>45181</v>
      </c>
      <c r="D751" t="inlineStr">
        <is>
          <t>GÄVLEBORGS LÄN</t>
        </is>
      </c>
      <c r="E751" t="inlineStr">
        <is>
          <t>LJUSDAL</t>
        </is>
      </c>
      <c r="G751" t="n">
        <v>3.1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18227-2022</t>
        </is>
      </c>
      <c r="B752" s="1" t="n">
        <v>44685</v>
      </c>
      <c r="C752" s="1" t="n">
        <v>45181</v>
      </c>
      <c r="D752" t="inlineStr">
        <is>
          <t>GÄVLEBORGS LÄN</t>
        </is>
      </c>
      <c r="E752" t="inlineStr">
        <is>
          <t>LJUSDAL</t>
        </is>
      </c>
      <c r="F752" t="inlineStr">
        <is>
          <t>Holmen skog AB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19200-2022</t>
        </is>
      </c>
      <c r="B753" s="1" t="n">
        <v>44691</v>
      </c>
      <c r="C753" s="1" t="n">
        <v>45181</v>
      </c>
      <c r="D753" t="inlineStr">
        <is>
          <t>GÄVLEBORGS LÄN</t>
        </is>
      </c>
      <c r="E753" t="inlineStr">
        <is>
          <t>LJUSDAL</t>
        </is>
      </c>
      <c r="F753" t="inlineStr">
        <is>
          <t>Bergvik skog väst AB</t>
        </is>
      </c>
      <c r="G753" t="n">
        <v>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19252-2022</t>
        </is>
      </c>
      <c r="B754" s="1" t="n">
        <v>44692</v>
      </c>
      <c r="C754" s="1" t="n">
        <v>45181</v>
      </c>
      <c r="D754" t="inlineStr">
        <is>
          <t>GÄVLEBORGS LÄN</t>
        </is>
      </c>
      <c r="E754" t="inlineStr">
        <is>
          <t>LJUSDAL</t>
        </is>
      </c>
      <c r="F754" t="inlineStr">
        <is>
          <t>Holmen skog AB</t>
        </is>
      </c>
      <c r="G754" t="n">
        <v>4.1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19303-2022</t>
        </is>
      </c>
      <c r="B755" s="1" t="n">
        <v>44692</v>
      </c>
      <c r="C755" s="1" t="n">
        <v>45181</v>
      </c>
      <c r="D755" t="inlineStr">
        <is>
          <t>GÄVLEBORGS LÄN</t>
        </is>
      </c>
      <c r="E755" t="inlineStr">
        <is>
          <t>LJUSDAL</t>
        </is>
      </c>
      <c r="F755" t="inlineStr">
        <is>
          <t>Sveaskog</t>
        </is>
      </c>
      <c r="G755" t="n">
        <v>2.4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19531-2022</t>
        </is>
      </c>
      <c r="B756" s="1" t="n">
        <v>44693</v>
      </c>
      <c r="C756" s="1" t="n">
        <v>45181</v>
      </c>
      <c r="D756" t="inlineStr">
        <is>
          <t>GÄVLEBORGS LÄN</t>
        </is>
      </c>
      <c r="E756" t="inlineStr">
        <is>
          <t>LJUSDAL</t>
        </is>
      </c>
      <c r="F756" t="inlineStr">
        <is>
          <t>Allmännings- och besparingsskogar</t>
        </is>
      </c>
      <c r="G756" t="n">
        <v>46.7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19892-2022</t>
        </is>
      </c>
      <c r="B757" s="1" t="n">
        <v>44697</v>
      </c>
      <c r="C757" s="1" t="n">
        <v>45181</v>
      </c>
      <c r="D757" t="inlineStr">
        <is>
          <t>GÄVLEBORGS LÄN</t>
        </is>
      </c>
      <c r="E757" t="inlineStr">
        <is>
          <t>LJUSDAL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20750-2022</t>
        </is>
      </c>
      <c r="B758" s="1" t="n">
        <v>44701</v>
      </c>
      <c r="C758" s="1" t="n">
        <v>45181</v>
      </c>
      <c r="D758" t="inlineStr">
        <is>
          <t>GÄVLEBORGS LÄN</t>
        </is>
      </c>
      <c r="E758" t="inlineStr">
        <is>
          <t>LJUSDAL</t>
        </is>
      </c>
      <c r="F758" t="inlineStr">
        <is>
          <t>Sveaskog</t>
        </is>
      </c>
      <c r="G758" t="n">
        <v>6.8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21965-2022</t>
        </is>
      </c>
      <c r="B759" s="1" t="n">
        <v>44711</v>
      </c>
      <c r="C759" s="1" t="n">
        <v>45181</v>
      </c>
      <c r="D759" t="inlineStr">
        <is>
          <t>GÄVLEBORGS LÄN</t>
        </is>
      </c>
      <c r="E759" t="inlineStr">
        <is>
          <t>LJUSDAL</t>
        </is>
      </c>
      <c r="F759" t="inlineStr">
        <is>
          <t>Bergvik skog väst AB</t>
        </is>
      </c>
      <c r="G759" t="n">
        <v>3.7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21985-2022</t>
        </is>
      </c>
      <c r="B760" s="1" t="n">
        <v>44711</v>
      </c>
      <c r="C760" s="1" t="n">
        <v>45181</v>
      </c>
      <c r="D760" t="inlineStr">
        <is>
          <t>GÄVLEBORGS LÄN</t>
        </is>
      </c>
      <c r="E760" t="inlineStr">
        <is>
          <t>LJUSDAL</t>
        </is>
      </c>
      <c r="F760" t="inlineStr">
        <is>
          <t>Bergvik skog väst AB</t>
        </is>
      </c>
      <c r="G760" t="n">
        <v>8.699999999999999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22155-2022</t>
        </is>
      </c>
      <c r="B761" s="1" t="n">
        <v>44712</v>
      </c>
      <c r="C761" s="1" t="n">
        <v>45181</v>
      </c>
      <c r="D761" t="inlineStr">
        <is>
          <t>GÄVLEBORGS LÄN</t>
        </is>
      </c>
      <c r="E761" t="inlineStr">
        <is>
          <t>LJUSDAL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22699-2022</t>
        </is>
      </c>
      <c r="B762" s="1" t="n">
        <v>44714</v>
      </c>
      <c r="C762" s="1" t="n">
        <v>45181</v>
      </c>
      <c r="D762" t="inlineStr">
        <is>
          <t>GÄVLEBORGS LÄN</t>
        </is>
      </c>
      <c r="E762" t="inlineStr">
        <is>
          <t>LJUSDAL</t>
        </is>
      </c>
      <c r="G762" t="n">
        <v>3.7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23194-2022</t>
        </is>
      </c>
      <c r="B763" s="1" t="n">
        <v>44719</v>
      </c>
      <c r="C763" s="1" t="n">
        <v>45181</v>
      </c>
      <c r="D763" t="inlineStr">
        <is>
          <t>GÄVLEBORGS LÄN</t>
        </is>
      </c>
      <c r="E763" t="inlineStr">
        <is>
          <t>LJUSDAL</t>
        </is>
      </c>
      <c r="G763" t="n">
        <v>6.6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24340-2022</t>
        </is>
      </c>
      <c r="B764" s="1" t="n">
        <v>44726</v>
      </c>
      <c r="C764" s="1" t="n">
        <v>45181</v>
      </c>
      <c r="D764" t="inlineStr">
        <is>
          <t>GÄVLEBORGS LÄN</t>
        </is>
      </c>
      <c r="E764" t="inlineStr">
        <is>
          <t>LJUSDAL</t>
        </is>
      </c>
      <c r="G764" t="n">
        <v>0.9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24342-2022</t>
        </is>
      </c>
      <c r="B765" s="1" t="n">
        <v>44726</v>
      </c>
      <c r="C765" s="1" t="n">
        <v>45181</v>
      </c>
      <c r="D765" t="inlineStr">
        <is>
          <t>GÄVLEBORGS LÄN</t>
        </is>
      </c>
      <c r="E765" t="inlineStr">
        <is>
          <t>LJUSDAL</t>
        </is>
      </c>
      <c r="G765" t="n">
        <v>1.7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24347-2022</t>
        </is>
      </c>
      <c r="B766" s="1" t="n">
        <v>44726</v>
      </c>
      <c r="C766" s="1" t="n">
        <v>45181</v>
      </c>
      <c r="D766" t="inlineStr">
        <is>
          <t>GÄVLEBORGS LÄN</t>
        </is>
      </c>
      <c r="E766" t="inlineStr">
        <is>
          <t>LJUSDAL</t>
        </is>
      </c>
      <c r="G766" t="n">
        <v>1.7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24444-2022</t>
        </is>
      </c>
      <c r="B767" s="1" t="n">
        <v>44726</v>
      </c>
      <c r="C767" s="1" t="n">
        <v>45181</v>
      </c>
      <c r="D767" t="inlineStr">
        <is>
          <t>GÄVLEBORGS LÄN</t>
        </is>
      </c>
      <c r="E767" t="inlineStr">
        <is>
          <t>LJUSDAL</t>
        </is>
      </c>
      <c r="F767" t="inlineStr">
        <is>
          <t>Sveaskog</t>
        </is>
      </c>
      <c r="G767" t="n">
        <v>15.6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24512-2022</t>
        </is>
      </c>
      <c r="B768" s="1" t="n">
        <v>44726</v>
      </c>
      <c r="C768" s="1" t="n">
        <v>45181</v>
      </c>
      <c r="D768" t="inlineStr">
        <is>
          <t>GÄVLEBORGS LÄN</t>
        </is>
      </c>
      <c r="E768" t="inlineStr">
        <is>
          <t>LJUSDAL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25447-2022</t>
        </is>
      </c>
      <c r="B769" s="1" t="n">
        <v>44732</v>
      </c>
      <c r="C769" s="1" t="n">
        <v>45181</v>
      </c>
      <c r="D769" t="inlineStr">
        <is>
          <t>GÄVLEBORGS LÄN</t>
        </is>
      </c>
      <c r="E769" t="inlineStr">
        <is>
          <t>LJUSDAL</t>
        </is>
      </c>
      <c r="F769" t="inlineStr">
        <is>
          <t>Sveaskog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27768-2022</t>
        </is>
      </c>
      <c r="B770" s="1" t="n">
        <v>44743</v>
      </c>
      <c r="C770" s="1" t="n">
        <v>45181</v>
      </c>
      <c r="D770" t="inlineStr">
        <is>
          <t>GÄVLEBORGS LÄN</t>
        </is>
      </c>
      <c r="E770" t="inlineStr">
        <is>
          <t>LJUSDAL</t>
        </is>
      </c>
      <c r="F770" t="inlineStr">
        <is>
          <t>Bergvik skog väst AB</t>
        </is>
      </c>
      <c r="G770" t="n">
        <v>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27809-2022</t>
        </is>
      </c>
      <c r="B771" s="1" t="n">
        <v>44743</v>
      </c>
      <c r="C771" s="1" t="n">
        <v>45181</v>
      </c>
      <c r="D771" t="inlineStr">
        <is>
          <t>GÄVLEBORGS LÄN</t>
        </is>
      </c>
      <c r="E771" t="inlineStr">
        <is>
          <t>LJUSDAL</t>
        </is>
      </c>
      <c r="F771" t="inlineStr">
        <is>
          <t>Sveaskog</t>
        </is>
      </c>
      <c r="G771" t="n">
        <v>2.9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27819-2022</t>
        </is>
      </c>
      <c r="B772" s="1" t="n">
        <v>44743</v>
      </c>
      <c r="C772" s="1" t="n">
        <v>45181</v>
      </c>
      <c r="D772" t="inlineStr">
        <is>
          <t>GÄVLEBORGS LÄN</t>
        </is>
      </c>
      <c r="E772" t="inlineStr">
        <is>
          <t>LJUSDAL</t>
        </is>
      </c>
      <c r="F772" t="inlineStr">
        <is>
          <t>Sveaskog</t>
        </is>
      </c>
      <c r="G772" t="n">
        <v>4.2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27802-2022</t>
        </is>
      </c>
      <c r="B773" s="1" t="n">
        <v>44743</v>
      </c>
      <c r="C773" s="1" t="n">
        <v>45181</v>
      </c>
      <c r="D773" t="inlineStr">
        <is>
          <t>GÄVLEBORGS LÄN</t>
        </is>
      </c>
      <c r="E773" t="inlineStr">
        <is>
          <t>LJUSDAL</t>
        </is>
      </c>
      <c r="F773" t="inlineStr">
        <is>
          <t>Sveaskog</t>
        </is>
      </c>
      <c r="G773" t="n">
        <v>2.8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27764-2022</t>
        </is>
      </c>
      <c r="B774" s="1" t="n">
        <v>44743</v>
      </c>
      <c r="C774" s="1" t="n">
        <v>45181</v>
      </c>
      <c r="D774" t="inlineStr">
        <is>
          <t>GÄVLEBORGS LÄN</t>
        </is>
      </c>
      <c r="E774" t="inlineStr">
        <is>
          <t>LJUSDAL</t>
        </is>
      </c>
      <c r="F774" t="inlineStr">
        <is>
          <t>Bergvik skog väst AB</t>
        </is>
      </c>
      <c r="G774" t="n">
        <v>5.5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27806-2022</t>
        </is>
      </c>
      <c r="B775" s="1" t="n">
        <v>44743</v>
      </c>
      <c r="C775" s="1" t="n">
        <v>45181</v>
      </c>
      <c r="D775" t="inlineStr">
        <is>
          <t>GÄVLEBORGS LÄN</t>
        </is>
      </c>
      <c r="E775" t="inlineStr">
        <is>
          <t>LJUSDAL</t>
        </is>
      </c>
      <c r="F775" t="inlineStr">
        <is>
          <t>Sveaskog</t>
        </is>
      </c>
      <c r="G775" t="n">
        <v>9.699999999999999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27818-2022</t>
        </is>
      </c>
      <c r="B776" s="1" t="n">
        <v>44743</v>
      </c>
      <c r="C776" s="1" t="n">
        <v>45181</v>
      </c>
      <c r="D776" t="inlineStr">
        <is>
          <t>GÄVLEBORGS LÄN</t>
        </is>
      </c>
      <c r="E776" t="inlineStr">
        <is>
          <t>LJUSDAL</t>
        </is>
      </c>
      <c r="F776" t="inlineStr">
        <is>
          <t>Sveaskog</t>
        </is>
      </c>
      <c r="G776" t="n">
        <v>3.5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28460-2022</t>
        </is>
      </c>
      <c r="B777" s="1" t="n">
        <v>44747</v>
      </c>
      <c r="C777" s="1" t="n">
        <v>45181</v>
      </c>
      <c r="D777" t="inlineStr">
        <is>
          <t>GÄVLEBORGS LÄN</t>
        </is>
      </c>
      <c r="E777" t="inlineStr">
        <is>
          <t>LJUSDAL</t>
        </is>
      </c>
      <c r="G777" t="n">
        <v>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28464-2022</t>
        </is>
      </c>
      <c r="B778" s="1" t="n">
        <v>44747</v>
      </c>
      <c r="C778" s="1" t="n">
        <v>45181</v>
      </c>
      <c r="D778" t="inlineStr">
        <is>
          <t>GÄVLEBORGS LÄN</t>
        </is>
      </c>
      <c r="E778" t="inlineStr">
        <is>
          <t>LJUSDAL</t>
        </is>
      </c>
      <c r="G778" t="n">
        <v>7.2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28527-2022</t>
        </is>
      </c>
      <c r="B779" s="1" t="n">
        <v>44748</v>
      </c>
      <c r="C779" s="1" t="n">
        <v>45181</v>
      </c>
      <c r="D779" t="inlineStr">
        <is>
          <t>GÄVLEBORGS LÄN</t>
        </is>
      </c>
      <c r="E779" t="inlineStr">
        <is>
          <t>LJUSDAL</t>
        </is>
      </c>
      <c r="G779" t="n">
        <v>1.1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28747-2022</t>
        </is>
      </c>
      <c r="B780" s="1" t="n">
        <v>44749</v>
      </c>
      <c r="C780" s="1" t="n">
        <v>45181</v>
      </c>
      <c r="D780" t="inlineStr">
        <is>
          <t>GÄVLEBORGS LÄN</t>
        </is>
      </c>
      <c r="E780" t="inlineStr">
        <is>
          <t>LJUSDAL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30202-2022</t>
        </is>
      </c>
      <c r="B781" s="1" t="n">
        <v>44757</v>
      </c>
      <c r="C781" s="1" t="n">
        <v>45181</v>
      </c>
      <c r="D781" t="inlineStr">
        <is>
          <t>GÄVLEBORGS LÄN</t>
        </is>
      </c>
      <c r="E781" t="inlineStr">
        <is>
          <t>LJUSDAL</t>
        </is>
      </c>
      <c r="F781" t="inlineStr">
        <is>
          <t>Allmännings- och besparingsskogar</t>
        </is>
      </c>
      <c r="G781" t="n">
        <v>0.8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30199-2022</t>
        </is>
      </c>
      <c r="B782" s="1" t="n">
        <v>44757</v>
      </c>
      <c r="C782" s="1" t="n">
        <v>45181</v>
      </c>
      <c r="D782" t="inlineStr">
        <is>
          <t>GÄVLEBORGS LÄN</t>
        </is>
      </c>
      <c r="E782" t="inlineStr">
        <is>
          <t>LJUSDAL</t>
        </is>
      </c>
      <c r="F782" t="inlineStr">
        <is>
          <t>Allmännings- och besparingsskogar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30556-2022</t>
        </is>
      </c>
      <c r="B783" s="1" t="n">
        <v>44762</v>
      </c>
      <c r="C783" s="1" t="n">
        <v>45181</v>
      </c>
      <c r="D783" t="inlineStr">
        <is>
          <t>GÄVLEBORGS LÄN</t>
        </is>
      </c>
      <c r="E783" t="inlineStr">
        <is>
          <t>LJUSDAL</t>
        </is>
      </c>
      <c r="F783" t="inlineStr">
        <is>
          <t>Bergvik skog väst AB</t>
        </is>
      </c>
      <c r="G783" t="n">
        <v>3.4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31378-2022</t>
        </is>
      </c>
      <c r="B784" s="1" t="n">
        <v>44774</v>
      </c>
      <c r="C784" s="1" t="n">
        <v>45181</v>
      </c>
      <c r="D784" t="inlineStr">
        <is>
          <t>GÄVLEBORGS LÄN</t>
        </is>
      </c>
      <c r="E784" t="inlineStr">
        <is>
          <t>LJUSDAL</t>
        </is>
      </c>
      <c r="F784" t="inlineStr">
        <is>
          <t>Holmen skog AB</t>
        </is>
      </c>
      <c r="G784" t="n">
        <v>3.9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31336-2022</t>
        </is>
      </c>
      <c r="B785" s="1" t="n">
        <v>44774</v>
      </c>
      <c r="C785" s="1" t="n">
        <v>45181</v>
      </c>
      <c r="D785" t="inlineStr">
        <is>
          <t>GÄVLEBORGS LÄN</t>
        </is>
      </c>
      <c r="E785" t="inlineStr">
        <is>
          <t>LJUSDAL</t>
        </is>
      </c>
      <c r="F785" t="inlineStr">
        <is>
          <t>Holmen skog AB</t>
        </is>
      </c>
      <c r="G785" t="n">
        <v>3.5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31397-2022</t>
        </is>
      </c>
      <c r="B786" s="1" t="n">
        <v>44774</v>
      </c>
      <c r="C786" s="1" t="n">
        <v>45181</v>
      </c>
      <c r="D786" t="inlineStr">
        <is>
          <t>GÄVLEBORGS LÄN</t>
        </is>
      </c>
      <c r="E786" t="inlineStr">
        <is>
          <t>LJUSDAL</t>
        </is>
      </c>
      <c r="F786" t="inlineStr">
        <is>
          <t>Holmen skog AB</t>
        </is>
      </c>
      <c r="G786" t="n">
        <v>5.3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31890-2022</t>
        </is>
      </c>
      <c r="B787" s="1" t="n">
        <v>44777</v>
      </c>
      <c r="C787" s="1" t="n">
        <v>45181</v>
      </c>
      <c r="D787" t="inlineStr">
        <is>
          <t>GÄVLEBORGS LÄN</t>
        </is>
      </c>
      <c r="E787" t="inlineStr">
        <is>
          <t>LJUSDAL</t>
        </is>
      </c>
      <c r="G787" t="n">
        <v>2.1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32035-2022</t>
        </is>
      </c>
      <c r="B788" s="1" t="n">
        <v>44778</v>
      </c>
      <c r="C788" s="1" t="n">
        <v>45181</v>
      </c>
      <c r="D788" t="inlineStr">
        <is>
          <t>GÄVLEBORGS LÄN</t>
        </is>
      </c>
      <c r="E788" t="inlineStr">
        <is>
          <t>LJUSDAL</t>
        </is>
      </c>
      <c r="F788" t="inlineStr">
        <is>
          <t>Sveaskog</t>
        </is>
      </c>
      <c r="G788" t="n">
        <v>1.2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32277-2022</t>
        </is>
      </c>
      <c r="B789" s="1" t="n">
        <v>44781</v>
      </c>
      <c r="C789" s="1" t="n">
        <v>45181</v>
      </c>
      <c r="D789" t="inlineStr">
        <is>
          <t>GÄVLEBORGS LÄN</t>
        </is>
      </c>
      <c r="E789" t="inlineStr">
        <is>
          <t>LJUSDAL</t>
        </is>
      </c>
      <c r="F789" t="inlineStr">
        <is>
          <t>Sveaskog</t>
        </is>
      </c>
      <c r="G789" t="n">
        <v>0.8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32238-2022</t>
        </is>
      </c>
      <c r="B790" s="1" t="n">
        <v>44781</v>
      </c>
      <c r="C790" s="1" t="n">
        <v>45181</v>
      </c>
      <c r="D790" t="inlineStr">
        <is>
          <t>GÄVLEBORGS LÄN</t>
        </is>
      </c>
      <c r="E790" t="inlineStr">
        <is>
          <t>LJUSDAL</t>
        </is>
      </c>
      <c r="F790" t="inlineStr">
        <is>
          <t>Holmen skog AB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33626-2022</t>
        </is>
      </c>
      <c r="B791" s="1" t="n">
        <v>44789</v>
      </c>
      <c r="C791" s="1" t="n">
        <v>45181</v>
      </c>
      <c r="D791" t="inlineStr">
        <is>
          <t>GÄVLEBORGS LÄN</t>
        </is>
      </c>
      <c r="E791" t="inlineStr">
        <is>
          <t>LJUSDAL</t>
        </is>
      </c>
      <c r="G791" t="n">
        <v>0.6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34151-2022</t>
        </is>
      </c>
      <c r="B792" s="1" t="n">
        <v>44791</v>
      </c>
      <c r="C792" s="1" t="n">
        <v>45181</v>
      </c>
      <c r="D792" t="inlineStr">
        <is>
          <t>GÄVLEBORGS LÄN</t>
        </is>
      </c>
      <c r="E792" t="inlineStr">
        <is>
          <t>LJUSDAL</t>
        </is>
      </c>
      <c r="F792" t="inlineStr">
        <is>
          <t>Allmännings- och besparingsskogar</t>
        </is>
      </c>
      <c r="G792" t="n">
        <v>25.2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34172-2022</t>
        </is>
      </c>
      <c r="B793" s="1" t="n">
        <v>44791</v>
      </c>
      <c r="C793" s="1" t="n">
        <v>45181</v>
      </c>
      <c r="D793" t="inlineStr">
        <is>
          <t>GÄVLEBORGS LÄN</t>
        </is>
      </c>
      <c r="E793" t="inlineStr">
        <is>
          <t>LJUSDAL</t>
        </is>
      </c>
      <c r="G793" t="n">
        <v>4.6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34503-2022</t>
        </is>
      </c>
      <c r="B794" s="1" t="n">
        <v>44792</v>
      </c>
      <c r="C794" s="1" t="n">
        <v>45181</v>
      </c>
      <c r="D794" t="inlineStr">
        <is>
          <t>GÄVLEBORGS LÄN</t>
        </is>
      </c>
      <c r="E794" t="inlineStr">
        <is>
          <t>LJUSDAL</t>
        </is>
      </c>
      <c r="F794" t="inlineStr">
        <is>
          <t>Sveaskog</t>
        </is>
      </c>
      <c r="G794" t="n">
        <v>12.5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34419-2022</t>
        </is>
      </c>
      <c r="B795" s="1" t="n">
        <v>44792</v>
      </c>
      <c r="C795" s="1" t="n">
        <v>45181</v>
      </c>
      <c r="D795" t="inlineStr">
        <is>
          <t>GÄVLEBORGS LÄN</t>
        </is>
      </c>
      <c r="E795" t="inlineStr">
        <is>
          <t>LJUSDAL</t>
        </is>
      </c>
      <c r="F795" t="inlineStr">
        <is>
          <t>Sveaskog</t>
        </is>
      </c>
      <c r="G795" t="n">
        <v>3.6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34447-2022</t>
        </is>
      </c>
      <c r="B796" s="1" t="n">
        <v>44792</v>
      </c>
      <c r="C796" s="1" t="n">
        <v>45181</v>
      </c>
      <c r="D796" t="inlineStr">
        <is>
          <t>GÄVLEBORGS LÄN</t>
        </is>
      </c>
      <c r="E796" t="inlineStr">
        <is>
          <t>LJUSDAL</t>
        </is>
      </c>
      <c r="G796" t="n">
        <v>3.5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34457-2022</t>
        </is>
      </c>
      <c r="B797" s="1" t="n">
        <v>44792</v>
      </c>
      <c r="C797" s="1" t="n">
        <v>45181</v>
      </c>
      <c r="D797" t="inlineStr">
        <is>
          <t>GÄVLEBORGS LÄN</t>
        </is>
      </c>
      <c r="E797" t="inlineStr">
        <is>
          <t>LJUSDAL</t>
        </is>
      </c>
      <c r="F797" t="inlineStr">
        <is>
          <t>Sveaskog</t>
        </is>
      </c>
      <c r="G797" t="n">
        <v>11.1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34501-2022</t>
        </is>
      </c>
      <c r="B798" s="1" t="n">
        <v>44792</v>
      </c>
      <c r="C798" s="1" t="n">
        <v>45181</v>
      </c>
      <c r="D798" t="inlineStr">
        <is>
          <t>GÄVLEBORGS LÄN</t>
        </is>
      </c>
      <c r="E798" t="inlineStr">
        <is>
          <t>LJUSDAL</t>
        </is>
      </c>
      <c r="F798" t="inlineStr">
        <is>
          <t>Sveaskog</t>
        </is>
      </c>
      <c r="G798" t="n">
        <v>2.8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34665-2022</t>
        </is>
      </c>
      <c r="B799" s="1" t="n">
        <v>44795</v>
      </c>
      <c r="C799" s="1" t="n">
        <v>45181</v>
      </c>
      <c r="D799" t="inlineStr">
        <is>
          <t>GÄVLEBORGS LÄN</t>
        </is>
      </c>
      <c r="E799" t="inlineStr">
        <is>
          <t>LJUSDAL</t>
        </is>
      </c>
      <c r="F799" t="inlineStr">
        <is>
          <t>Holmen skog AB</t>
        </is>
      </c>
      <c r="G799" t="n">
        <v>11.4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34602-2022</t>
        </is>
      </c>
      <c r="B800" s="1" t="n">
        <v>44795</v>
      </c>
      <c r="C800" s="1" t="n">
        <v>45181</v>
      </c>
      <c r="D800" t="inlineStr">
        <is>
          <t>GÄVLEBORGS LÄN</t>
        </is>
      </c>
      <c r="E800" t="inlineStr">
        <is>
          <t>LJUSDAL</t>
        </is>
      </c>
      <c r="G800" t="n">
        <v>7.7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35035-2022</t>
        </is>
      </c>
      <c r="B801" s="1" t="n">
        <v>44797</v>
      </c>
      <c r="C801" s="1" t="n">
        <v>45181</v>
      </c>
      <c r="D801" t="inlineStr">
        <is>
          <t>GÄVLEBORGS LÄN</t>
        </is>
      </c>
      <c r="E801" t="inlineStr">
        <is>
          <t>LJUSDAL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35467-2022</t>
        </is>
      </c>
      <c r="B802" s="1" t="n">
        <v>44798</v>
      </c>
      <c r="C802" s="1" t="n">
        <v>45181</v>
      </c>
      <c r="D802" t="inlineStr">
        <is>
          <t>GÄVLEBORGS LÄN</t>
        </is>
      </c>
      <c r="E802" t="inlineStr">
        <is>
          <t>LJUSDAL</t>
        </is>
      </c>
      <c r="G802" t="n">
        <v>1.9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35588-2022</t>
        </is>
      </c>
      <c r="B803" s="1" t="n">
        <v>44799</v>
      </c>
      <c r="C803" s="1" t="n">
        <v>45181</v>
      </c>
      <c r="D803" t="inlineStr">
        <is>
          <t>GÄVLEBORGS LÄN</t>
        </is>
      </c>
      <c r="E803" t="inlineStr">
        <is>
          <t>LJUSDAL</t>
        </is>
      </c>
      <c r="F803" t="inlineStr">
        <is>
          <t>Sveaskog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35586-2022</t>
        </is>
      </c>
      <c r="B804" s="1" t="n">
        <v>44799</v>
      </c>
      <c r="C804" s="1" t="n">
        <v>45181</v>
      </c>
      <c r="D804" t="inlineStr">
        <is>
          <t>GÄVLEBORGS LÄN</t>
        </is>
      </c>
      <c r="E804" t="inlineStr">
        <is>
          <t>LJUSDAL</t>
        </is>
      </c>
      <c r="F804" t="inlineStr">
        <is>
          <t>Sveaskog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35584-2022</t>
        </is>
      </c>
      <c r="B805" s="1" t="n">
        <v>44799</v>
      </c>
      <c r="C805" s="1" t="n">
        <v>45181</v>
      </c>
      <c r="D805" t="inlineStr">
        <is>
          <t>GÄVLEBORGS LÄN</t>
        </is>
      </c>
      <c r="E805" t="inlineStr">
        <is>
          <t>LJUSDAL</t>
        </is>
      </c>
      <c r="F805" t="inlineStr">
        <is>
          <t>Sveaskog</t>
        </is>
      </c>
      <c r="G805" t="n">
        <v>0.7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35583-2022</t>
        </is>
      </c>
      <c r="B806" s="1" t="n">
        <v>44799</v>
      </c>
      <c r="C806" s="1" t="n">
        <v>45181</v>
      </c>
      <c r="D806" t="inlineStr">
        <is>
          <t>GÄVLEBORGS LÄN</t>
        </is>
      </c>
      <c r="E806" t="inlineStr">
        <is>
          <t>LJUSDAL</t>
        </is>
      </c>
      <c r="F806" t="inlineStr">
        <is>
          <t>Sveaskog</t>
        </is>
      </c>
      <c r="G806" t="n">
        <v>4.6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36196-2022</t>
        </is>
      </c>
      <c r="B807" s="1" t="n">
        <v>44803</v>
      </c>
      <c r="C807" s="1" t="n">
        <v>45181</v>
      </c>
      <c r="D807" t="inlineStr">
        <is>
          <t>GÄVLEBORGS LÄN</t>
        </is>
      </c>
      <c r="E807" t="inlineStr">
        <is>
          <t>LJUSDAL</t>
        </is>
      </c>
      <c r="G807" t="n">
        <v>37.7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36470-2022</t>
        </is>
      </c>
      <c r="B808" s="1" t="n">
        <v>44804</v>
      </c>
      <c r="C808" s="1" t="n">
        <v>45181</v>
      </c>
      <c r="D808" t="inlineStr">
        <is>
          <t>GÄVLEBORGS LÄN</t>
        </is>
      </c>
      <c r="E808" t="inlineStr">
        <is>
          <t>LJUSDAL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37219-2022</t>
        </is>
      </c>
      <c r="B809" s="1" t="n">
        <v>44806</v>
      </c>
      <c r="C809" s="1" t="n">
        <v>45181</v>
      </c>
      <c r="D809" t="inlineStr">
        <is>
          <t>GÄVLEBORGS LÄN</t>
        </is>
      </c>
      <c r="E809" t="inlineStr">
        <is>
          <t>LJUSDAL</t>
        </is>
      </c>
      <c r="F809" t="inlineStr">
        <is>
          <t>Sveaskog</t>
        </is>
      </c>
      <c r="G809" t="n">
        <v>12.2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38408-2022</t>
        </is>
      </c>
      <c r="B810" s="1" t="n">
        <v>44812</v>
      </c>
      <c r="C810" s="1" t="n">
        <v>45181</v>
      </c>
      <c r="D810" t="inlineStr">
        <is>
          <t>GÄVLEBORGS LÄN</t>
        </is>
      </c>
      <c r="E810" t="inlineStr">
        <is>
          <t>LJUSDAL</t>
        </is>
      </c>
      <c r="G810" t="n">
        <v>4.8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38594-2022</t>
        </is>
      </c>
      <c r="B811" s="1" t="n">
        <v>44813</v>
      </c>
      <c r="C811" s="1" t="n">
        <v>45181</v>
      </c>
      <c r="D811" t="inlineStr">
        <is>
          <t>GÄVLEBORGS LÄN</t>
        </is>
      </c>
      <c r="E811" t="inlineStr">
        <is>
          <t>LJUSDAL</t>
        </is>
      </c>
      <c r="F811" t="inlineStr">
        <is>
          <t>Bergvik skog väst AB</t>
        </is>
      </c>
      <c r="G811" t="n">
        <v>1.4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38598-2022</t>
        </is>
      </c>
      <c r="B812" s="1" t="n">
        <v>44813</v>
      </c>
      <c r="C812" s="1" t="n">
        <v>45181</v>
      </c>
      <c r="D812" t="inlineStr">
        <is>
          <t>GÄVLEBORGS LÄN</t>
        </is>
      </c>
      <c r="E812" t="inlineStr">
        <is>
          <t>LJUSDAL</t>
        </is>
      </c>
      <c r="G812" t="n">
        <v>3.5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38479-2022</t>
        </is>
      </c>
      <c r="B813" s="1" t="n">
        <v>44813</v>
      </c>
      <c r="C813" s="1" t="n">
        <v>45181</v>
      </c>
      <c r="D813" t="inlineStr">
        <is>
          <t>GÄVLEBORGS LÄN</t>
        </is>
      </c>
      <c r="E813" t="inlineStr">
        <is>
          <t>LJUSDAL</t>
        </is>
      </c>
      <c r="F813" t="inlineStr">
        <is>
          <t>Bergvik skog väst AB</t>
        </is>
      </c>
      <c r="G813" t="n">
        <v>4.4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39089-2022</t>
        </is>
      </c>
      <c r="B814" s="1" t="n">
        <v>44817</v>
      </c>
      <c r="C814" s="1" t="n">
        <v>45181</v>
      </c>
      <c r="D814" t="inlineStr">
        <is>
          <t>GÄVLEBORGS LÄN</t>
        </is>
      </c>
      <c r="E814" t="inlineStr">
        <is>
          <t>LJUSDAL</t>
        </is>
      </c>
      <c r="F814" t="inlineStr">
        <is>
          <t>Bergvik skog väst AB</t>
        </is>
      </c>
      <c r="G814" t="n">
        <v>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40787-2022</t>
        </is>
      </c>
      <c r="B815" s="1" t="n">
        <v>44824</v>
      </c>
      <c r="C815" s="1" t="n">
        <v>45181</v>
      </c>
      <c r="D815" t="inlineStr">
        <is>
          <t>GÄVLEBORGS LÄN</t>
        </is>
      </c>
      <c r="E815" t="inlineStr">
        <is>
          <t>LJUSDAL</t>
        </is>
      </c>
      <c r="F815" t="inlineStr">
        <is>
          <t>Holmen skog AB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40729-2022</t>
        </is>
      </c>
      <c r="B816" s="1" t="n">
        <v>44824</v>
      </c>
      <c r="C816" s="1" t="n">
        <v>45181</v>
      </c>
      <c r="D816" t="inlineStr">
        <is>
          <t>GÄVLEBORGS LÄN</t>
        </is>
      </c>
      <c r="E816" t="inlineStr">
        <is>
          <t>LJUSDAL</t>
        </is>
      </c>
      <c r="F816" t="inlineStr">
        <is>
          <t>Holmen skog AB</t>
        </is>
      </c>
      <c r="G816" t="n">
        <v>1.5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40766-2022</t>
        </is>
      </c>
      <c r="B817" s="1" t="n">
        <v>44824</v>
      </c>
      <c r="C817" s="1" t="n">
        <v>45181</v>
      </c>
      <c r="D817" t="inlineStr">
        <is>
          <t>GÄVLEBORGS LÄN</t>
        </is>
      </c>
      <c r="E817" t="inlineStr">
        <is>
          <t>LJUSDAL</t>
        </is>
      </c>
      <c r="F817" t="inlineStr">
        <is>
          <t>Holmen skog AB</t>
        </is>
      </c>
      <c r="G817" t="n">
        <v>1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41087-2022</t>
        </is>
      </c>
      <c r="B818" s="1" t="n">
        <v>44825</v>
      </c>
      <c r="C818" s="1" t="n">
        <v>45181</v>
      </c>
      <c r="D818" t="inlineStr">
        <is>
          <t>GÄVLEBORGS LÄN</t>
        </is>
      </c>
      <c r="E818" t="inlineStr">
        <is>
          <t>LJUSDAL</t>
        </is>
      </c>
      <c r="F818" t="inlineStr">
        <is>
          <t>Övriga Aktiebolag</t>
        </is>
      </c>
      <c r="G818" t="n">
        <v>3.2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41621-2022</t>
        </is>
      </c>
      <c r="B819" s="1" t="n">
        <v>44827</v>
      </c>
      <c r="C819" s="1" t="n">
        <v>45181</v>
      </c>
      <c r="D819" t="inlineStr">
        <is>
          <t>GÄVLEBORGS LÄN</t>
        </is>
      </c>
      <c r="E819" t="inlineStr">
        <is>
          <t>LJUSDAL</t>
        </is>
      </c>
      <c r="F819" t="inlineStr">
        <is>
          <t>Holmen skog AB</t>
        </is>
      </c>
      <c r="G819" t="n">
        <v>8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41718-2022</t>
        </is>
      </c>
      <c r="B820" s="1" t="n">
        <v>44827</v>
      </c>
      <c r="C820" s="1" t="n">
        <v>45181</v>
      </c>
      <c r="D820" t="inlineStr">
        <is>
          <t>GÄVLEBORGS LÄN</t>
        </is>
      </c>
      <c r="E820" t="inlineStr">
        <is>
          <t>LJUSDAL</t>
        </is>
      </c>
      <c r="F820" t="inlineStr">
        <is>
          <t>Bergvik skog väst AB</t>
        </is>
      </c>
      <c r="G820" t="n">
        <v>17.3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42826-2022</t>
        </is>
      </c>
      <c r="B821" s="1" t="n">
        <v>44832</v>
      </c>
      <c r="C821" s="1" t="n">
        <v>45181</v>
      </c>
      <c r="D821" t="inlineStr">
        <is>
          <t>GÄVLEBORGS LÄN</t>
        </is>
      </c>
      <c r="E821" t="inlineStr">
        <is>
          <t>LJUSDAL</t>
        </is>
      </c>
      <c r="F821" t="inlineStr">
        <is>
          <t>Bergvik skog väst AB</t>
        </is>
      </c>
      <c r="G821" t="n">
        <v>5.4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42908-2022</t>
        </is>
      </c>
      <c r="B822" s="1" t="n">
        <v>44833</v>
      </c>
      <c r="C822" s="1" t="n">
        <v>45181</v>
      </c>
      <c r="D822" t="inlineStr">
        <is>
          <t>GÄVLEBORGS LÄN</t>
        </is>
      </c>
      <c r="E822" t="inlineStr">
        <is>
          <t>LJUSDAL</t>
        </is>
      </c>
      <c r="F822" t="inlineStr">
        <is>
          <t>Bergvik skog väst AB</t>
        </is>
      </c>
      <c r="G822" t="n">
        <v>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43016-2022</t>
        </is>
      </c>
      <c r="B823" s="1" t="n">
        <v>44833</v>
      </c>
      <c r="C823" s="1" t="n">
        <v>45181</v>
      </c>
      <c r="D823" t="inlineStr">
        <is>
          <t>GÄVLEBORGS LÄN</t>
        </is>
      </c>
      <c r="E823" t="inlineStr">
        <is>
          <t>LJUSDAL</t>
        </is>
      </c>
      <c r="F823" t="inlineStr">
        <is>
          <t>Naturvårdsverket</t>
        </is>
      </c>
      <c r="G823" t="n">
        <v>4.9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43077-2022</t>
        </is>
      </c>
      <c r="B824" s="1" t="n">
        <v>44833</v>
      </c>
      <c r="C824" s="1" t="n">
        <v>45181</v>
      </c>
      <c r="D824" t="inlineStr">
        <is>
          <t>GÄVLEBORGS LÄN</t>
        </is>
      </c>
      <c r="E824" t="inlineStr">
        <is>
          <t>LJUSDAL</t>
        </is>
      </c>
      <c r="G824" t="n">
        <v>0.8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42972-2022</t>
        </is>
      </c>
      <c r="B825" s="1" t="n">
        <v>44833</v>
      </c>
      <c r="C825" s="1" t="n">
        <v>45181</v>
      </c>
      <c r="D825" t="inlineStr">
        <is>
          <t>GÄVLEBORGS LÄN</t>
        </is>
      </c>
      <c r="E825" t="inlineStr">
        <is>
          <t>LJUSDAL</t>
        </is>
      </c>
      <c r="F825" t="inlineStr">
        <is>
          <t>Bergvik skog väst AB</t>
        </is>
      </c>
      <c r="G825" t="n">
        <v>3.7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43060-2022</t>
        </is>
      </c>
      <c r="B826" s="1" t="n">
        <v>44833</v>
      </c>
      <c r="C826" s="1" t="n">
        <v>45181</v>
      </c>
      <c r="D826" t="inlineStr">
        <is>
          <t>GÄVLEBORGS LÄN</t>
        </is>
      </c>
      <c r="E826" t="inlineStr">
        <is>
          <t>LJUSDAL</t>
        </is>
      </c>
      <c r="G826" t="n">
        <v>8.9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43090-2022</t>
        </is>
      </c>
      <c r="B827" s="1" t="n">
        <v>44833</v>
      </c>
      <c r="C827" s="1" t="n">
        <v>45181</v>
      </c>
      <c r="D827" t="inlineStr">
        <is>
          <t>GÄVLEBORGS LÄN</t>
        </is>
      </c>
      <c r="E827" t="inlineStr">
        <is>
          <t>LJUSDAL</t>
        </is>
      </c>
      <c r="F827" t="inlineStr">
        <is>
          <t>Bergvik skog väst AB</t>
        </is>
      </c>
      <c r="G827" t="n">
        <v>2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43425-2022</t>
        </is>
      </c>
      <c r="B828" s="1" t="n">
        <v>44834</v>
      </c>
      <c r="C828" s="1" t="n">
        <v>45181</v>
      </c>
      <c r="D828" t="inlineStr">
        <is>
          <t>GÄVLEBORGS LÄN</t>
        </is>
      </c>
      <c r="E828" t="inlineStr">
        <is>
          <t>LJUSDAL</t>
        </is>
      </c>
      <c r="F828" t="inlineStr">
        <is>
          <t>SCA</t>
        </is>
      </c>
      <c r="G828" t="n">
        <v>0.6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43424-2022</t>
        </is>
      </c>
      <c r="B829" s="1" t="n">
        <v>44834</v>
      </c>
      <c r="C829" s="1" t="n">
        <v>45181</v>
      </c>
      <c r="D829" t="inlineStr">
        <is>
          <t>GÄVLEBORGS LÄN</t>
        </is>
      </c>
      <c r="E829" t="inlineStr">
        <is>
          <t>LJUSDAL</t>
        </is>
      </c>
      <c r="F829" t="inlineStr">
        <is>
          <t>SCA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43505-2022</t>
        </is>
      </c>
      <c r="B830" s="1" t="n">
        <v>44837</v>
      </c>
      <c r="C830" s="1" t="n">
        <v>45181</v>
      </c>
      <c r="D830" t="inlineStr">
        <is>
          <t>GÄVLEBORGS LÄN</t>
        </is>
      </c>
      <c r="E830" t="inlineStr">
        <is>
          <t>LJUSDAL</t>
        </is>
      </c>
      <c r="F830" t="inlineStr">
        <is>
          <t>Naturvårdsverket</t>
        </is>
      </c>
      <c r="G830" t="n">
        <v>0.6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43523-2022</t>
        </is>
      </c>
      <c r="B831" s="1" t="n">
        <v>44837</v>
      </c>
      <c r="C831" s="1" t="n">
        <v>45181</v>
      </c>
      <c r="D831" t="inlineStr">
        <is>
          <t>GÄVLEBORGS LÄN</t>
        </is>
      </c>
      <c r="E831" t="inlineStr">
        <is>
          <t>LJUSDAL</t>
        </is>
      </c>
      <c r="G831" t="n">
        <v>22.4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43537-2022</t>
        </is>
      </c>
      <c r="B832" s="1" t="n">
        <v>44837</v>
      </c>
      <c r="C832" s="1" t="n">
        <v>45181</v>
      </c>
      <c r="D832" t="inlineStr">
        <is>
          <t>GÄVLEBORGS LÄN</t>
        </is>
      </c>
      <c r="E832" t="inlineStr">
        <is>
          <t>LJUSDAL</t>
        </is>
      </c>
      <c r="F832" t="inlineStr">
        <is>
          <t>Naturvårdsverket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44028-2022</t>
        </is>
      </c>
      <c r="B833" s="1" t="n">
        <v>44838</v>
      </c>
      <c r="C833" s="1" t="n">
        <v>45181</v>
      </c>
      <c r="D833" t="inlineStr">
        <is>
          <t>GÄVLEBORGS LÄN</t>
        </is>
      </c>
      <c r="E833" t="inlineStr">
        <is>
          <t>LJUSDAL</t>
        </is>
      </c>
      <c r="G833" t="n">
        <v>4.9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44032-2022</t>
        </is>
      </c>
      <c r="B834" s="1" t="n">
        <v>44838</v>
      </c>
      <c r="C834" s="1" t="n">
        <v>45181</v>
      </c>
      <c r="D834" t="inlineStr">
        <is>
          <t>GÄVLEBORGS LÄN</t>
        </is>
      </c>
      <c r="E834" t="inlineStr">
        <is>
          <t>LJUSDAL</t>
        </is>
      </c>
      <c r="G834" t="n">
        <v>2.6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45414-2022</t>
        </is>
      </c>
      <c r="B835" s="1" t="n">
        <v>44844</v>
      </c>
      <c r="C835" s="1" t="n">
        <v>45181</v>
      </c>
      <c r="D835" t="inlineStr">
        <is>
          <t>GÄVLEBORGS LÄN</t>
        </is>
      </c>
      <c r="E835" t="inlineStr">
        <is>
          <t>LJUSDAL</t>
        </is>
      </c>
      <c r="F835" t="inlineStr">
        <is>
          <t>Sveaskog</t>
        </is>
      </c>
      <c r="G835" t="n">
        <v>1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45767-2022</t>
        </is>
      </c>
      <c r="B836" s="1" t="n">
        <v>44846</v>
      </c>
      <c r="C836" s="1" t="n">
        <v>45181</v>
      </c>
      <c r="D836" t="inlineStr">
        <is>
          <t>GÄVLEBORGS LÄN</t>
        </is>
      </c>
      <c r="E836" t="inlineStr">
        <is>
          <t>LJUSDAL</t>
        </is>
      </c>
      <c r="F836" t="inlineStr">
        <is>
          <t>Bergvik skog väst AB</t>
        </is>
      </c>
      <c r="G836" t="n">
        <v>11.1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45819-2022</t>
        </is>
      </c>
      <c r="B837" s="1" t="n">
        <v>44846</v>
      </c>
      <c r="C837" s="1" t="n">
        <v>45181</v>
      </c>
      <c r="D837" t="inlineStr">
        <is>
          <t>GÄVLEBORGS LÄN</t>
        </is>
      </c>
      <c r="E837" t="inlineStr">
        <is>
          <t>LJUSDAL</t>
        </is>
      </c>
      <c r="G837" t="n">
        <v>5.9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46157-2022</t>
        </is>
      </c>
      <c r="B838" s="1" t="n">
        <v>44847</v>
      </c>
      <c r="C838" s="1" t="n">
        <v>45181</v>
      </c>
      <c r="D838" t="inlineStr">
        <is>
          <t>GÄVLEBORGS LÄN</t>
        </is>
      </c>
      <c r="E838" t="inlineStr">
        <is>
          <t>LJUSDAL</t>
        </is>
      </c>
      <c r="F838" t="inlineStr">
        <is>
          <t>Bergvik skog väst AB</t>
        </is>
      </c>
      <c r="G838" t="n">
        <v>2.8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46198-2022</t>
        </is>
      </c>
      <c r="B839" s="1" t="n">
        <v>44847</v>
      </c>
      <c r="C839" s="1" t="n">
        <v>45181</v>
      </c>
      <c r="D839" t="inlineStr">
        <is>
          <t>GÄVLEBORGS LÄN</t>
        </is>
      </c>
      <c r="E839" t="inlineStr">
        <is>
          <t>LJUSDAL</t>
        </is>
      </c>
      <c r="F839" t="inlineStr">
        <is>
          <t>Bergvik skog väst AB</t>
        </is>
      </c>
      <c r="G839" t="n">
        <v>1.6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46256-2022</t>
        </is>
      </c>
      <c r="B840" s="1" t="n">
        <v>44847</v>
      </c>
      <c r="C840" s="1" t="n">
        <v>45181</v>
      </c>
      <c r="D840" t="inlineStr">
        <is>
          <t>GÄVLEBORGS LÄN</t>
        </is>
      </c>
      <c r="E840" t="inlineStr">
        <is>
          <t>LJUSDAL</t>
        </is>
      </c>
      <c r="F840" t="inlineStr">
        <is>
          <t>Holmen skog AB</t>
        </is>
      </c>
      <c r="G840" t="n">
        <v>2.5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46572-2022</t>
        </is>
      </c>
      <c r="B841" s="1" t="n">
        <v>44848</v>
      </c>
      <c r="C841" s="1" t="n">
        <v>45181</v>
      </c>
      <c r="D841" t="inlineStr">
        <is>
          <t>GÄVLEBORGS LÄN</t>
        </is>
      </c>
      <c r="E841" t="inlineStr">
        <is>
          <t>LJUSDAL</t>
        </is>
      </c>
      <c r="F841" t="inlineStr">
        <is>
          <t>Sveaskog</t>
        </is>
      </c>
      <c r="G841" t="n">
        <v>2.5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47502-2022</t>
        </is>
      </c>
      <c r="B842" s="1" t="n">
        <v>44853</v>
      </c>
      <c r="C842" s="1" t="n">
        <v>45181</v>
      </c>
      <c r="D842" t="inlineStr">
        <is>
          <t>GÄVLEBORGS LÄN</t>
        </is>
      </c>
      <c r="E842" t="inlineStr">
        <is>
          <t>LJUSDAL</t>
        </is>
      </c>
      <c r="G842" t="n">
        <v>3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47855-2022</t>
        </is>
      </c>
      <c r="B843" s="1" t="n">
        <v>44855</v>
      </c>
      <c r="C843" s="1" t="n">
        <v>45181</v>
      </c>
      <c r="D843" t="inlineStr">
        <is>
          <t>GÄVLEBORGS LÄN</t>
        </is>
      </c>
      <c r="E843" t="inlineStr">
        <is>
          <t>LJUSDAL</t>
        </is>
      </c>
      <c r="F843" t="inlineStr">
        <is>
          <t>Sveaskog</t>
        </is>
      </c>
      <c r="G843" t="n">
        <v>7.8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48332-2022</t>
        </is>
      </c>
      <c r="B844" s="1" t="n">
        <v>44858</v>
      </c>
      <c r="C844" s="1" t="n">
        <v>45181</v>
      </c>
      <c r="D844" t="inlineStr">
        <is>
          <t>GÄVLEBORGS LÄN</t>
        </is>
      </c>
      <c r="E844" t="inlineStr">
        <is>
          <t>LJUSDAL</t>
        </is>
      </c>
      <c r="F844" t="inlineStr">
        <is>
          <t>Bergvik skog väst AB</t>
        </is>
      </c>
      <c r="G844" t="n">
        <v>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49172-2022</t>
        </is>
      </c>
      <c r="B845" s="1" t="n">
        <v>44860</v>
      </c>
      <c r="C845" s="1" t="n">
        <v>45181</v>
      </c>
      <c r="D845" t="inlineStr">
        <is>
          <t>GÄVLEBORGS LÄN</t>
        </is>
      </c>
      <c r="E845" t="inlineStr">
        <is>
          <t>LJUSDAL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49881-2022</t>
        </is>
      </c>
      <c r="B846" s="1" t="n">
        <v>44864</v>
      </c>
      <c r="C846" s="1" t="n">
        <v>45181</v>
      </c>
      <c r="D846" t="inlineStr">
        <is>
          <t>GÄVLEBORGS LÄN</t>
        </is>
      </c>
      <c r="E846" t="inlineStr">
        <is>
          <t>LJUSDAL</t>
        </is>
      </c>
      <c r="G846" t="n">
        <v>5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50369-2022</t>
        </is>
      </c>
      <c r="B847" s="1" t="n">
        <v>44866</v>
      </c>
      <c r="C847" s="1" t="n">
        <v>45181</v>
      </c>
      <c r="D847" t="inlineStr">
        <is>
          <t>GÄVLEBORGS LÄN</t>
        </is>
      </c>
      <c r="E847" t="inlineStr">
        <is>
          <t>LJUSDAL</t>
        </is>
      </c>
      <c r="F847" t="inlineStr">
        <is>
          <t>Bergvik skog väst AB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50579-2022</t>
        </is>
      </c>
      <c r="B848" s="1" t="n">
        <v>44866</v>
      </c>
      <c r="C848" s="1" t="n">
        <v>45181</v>
      </c>
      <c r="D848" t="inlineStr">
        <is>
          <t>GÄVLEBORGS LÄN</t>
        </is>
      </c>
      <c r="E848" t="inlineStr">
        <is>
          <t>LJUSDAL</t>
        </is>
      </c>
      <c r="F848" t="inlineStr">
        <is>
          <t>Bergvik skog väst AB</t>
        </is>
      </c>
      <c r="G848" t="n">
        <v>3.1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50863-2022</t>
        </is>
      </c>
      <c r="B849" s="1" t="n">
        <v>44867</v>
      </c>
      <c r="C849" s="1" t="n">
        <v>45181</v>
      </c>
      <c r="D849" t="inlineStr">
        <is>
          <t>GÄVLEBORGS LÄN</t>
        </is>
      </c>
      <c r="E849" t="inlineStr">
        <is>
          <t>LJUSDAL</t>
        </is>
      </c>
      <c r="F849" t="inlineStr">
        <is>
          <t>Holmen skog AB</t>
        </is>
      </c>
      <c r="G849" t="n">
        <v>5.6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50886-2022</t>
        </is>
      </c>
      <c r="B850" s="1" t="n">
        <v>44867</v>
      </c>
      <c r="C850" s="1" t="n">
        <v>45181</v>
      </c>
      <c r="D850" t="inlineStr">
        <is>
          <t>GÄVLEBORGS LÄN</t>
        </is>
      </c>
      <c r="E850" t="inlineStr">
        <is>
          <t>LJUSDAL</t>
        </is>
      </c>
      <c r="G850" t="n">
        <v>2.4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50931-2022</t>
        </is>
      </c>
      <c r="B851" s="1" t="n">
        <v>44867</v>
      </c>
      <c r="C851" s="1" t="n">
        <v>45181</v>
      </c>
      <c r="D851" t="inlineStr">
        <is>
          <t>GÄVLEBORGS LÄN</t>
        </is>
      </c>
      <c r="E851" t="inlineStr">
        <is>
          <t>LJUSDAL</t>
        </is>
      </c>
      <c r="F851" t="inlineStr">
        <is>
          <t>Sveaskog</t>
        </is>
      </c>
      <c r="G851" t="n">
        <v>9.699999999999999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51099-2022</t>
        </is>
      </c>
      <c r="B852" s="1" t="n">
        <v>44868</v>
      </c>
      <c r="C852" s="1" t="n">
        <v>45181</v>
      </c>
      <c r="D852" t="inlineStr">
        <is>
          <t>GÄVLEBORGS LÄN</t>
        </is>
      </c>
      <c r="E852" t="inlineStr">
        <is>
          <t>LJUSDAL</t>
        </is>
      </c>
      <c r="F852" t="inlineStr">
        <is>
          <t>Bergvik skog väst AB</t>
        </is>
      </c>
      <c r="G852" t="n">
        <v>7.1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51853-2022</t>
        </is>
      </c>
      <c r="B853" s="1" t="n">
        <v>44872</v>
      </c>
      <c r="C853" s="1" t="n">
        <v>45181</v>
      </c>
      <c r="D853" t="inlineStr">
        <is>
          <t>GÄVLEBORGS LÄN</t>
        </is>
      </c>
      <c r="E853" t="inlineStr">
        <is>
          <t>LJUSDAL</t>
        </is>
      </c>
      <c r="F853" t="inlineStr">
        <is>
          <t>Bergvik skog väst AB</t>
        </is>
      </c>
      <c r="G853" t="n">
        <v>0.6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51838-2022</t>
        </is>
      </c>
      <c r="B854" s="1" t="n">
        <v>44872</v>
      </c>
      <c r="C854" s="1" t="n">
        <v>45181</v>
      </c>
      <c r="D854" t="inlineStr">
        <is>
          <t>GÄVLEBORGS LÄN</t>
        </is>
      </c>
      <c r="E854" t="inlineStr">
        <is>
          <t>LJUSDAL</t>
        </is>
      </c>
      <c r="F854" t="inlineStr">
        <is>
          <t>Bergvik skog väst AB</t>
        </is>
      </c>
      <c r="G854" t="n">
        <v>3.7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51922-2022</t>
        </is>
      </c>
      <c r="B855" s="1" t="n">
        <v>44872</v>
      </c>
      <c r="C855" s="1" t="n">
        <v>45181</v>
      </c>
      <c r="D855" t="inlineStr">
        <is>
          <t>GÄVLEBORGS LÄN</t>
        </is>
      </c>
      <c r="E855" t="inlineStr">
        <is>
          <t>LJUSDAL</t>
        </is>
      </c>
      <c r="F855" t="inlineStr">
        <is>
          <t>Kommuner</t>
        </is>
      </c>
      <c r="G855" t="n">
        <v>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51634-2022</t>
        </is>
      </c>
      <c r="B856" s="1" t="n">
        <v>44872</v>
      </c>
      <c r="C856" s="1" t="n">
        <v>45181</v>
      </c>
      <c r="D856" t="inlineStr">
        <is>
          <t>GÄVLEBORGS LÄN</t>
        </is>
      </c>
      <c r="E856" t="inlineStr">
        <is>
          <t>LJUSDAL</t>
        </is>
      </c>
      <c r="G856" t="n">
        <v>3.1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52226-2022</t>
        </is>
      </c>
      <c r="B857" s="1" t="n">
        <v>44873</v>
      </c>
      <c r="C857" s="1" t="n">
        <v>45181</v>
      </c>
      <c r="D857" t="inlineStr">
        <is>
          <t>GÄVLEBORGS LÄN</t>
        </is>
      </c>
      <c r="E857" t="inlineStr">
        <is>
          <t>LJUSDAL</t>
        </is>
      </c>
      <c r="G857" t="n">
        <v>0.6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52222-2022</t>
        </is>
      </c>
      <c r="B858" s="1" t="n">
        <v>44873</v>
      </c>
      <c r="C858" s="1" t="n">
        <v>45181</v>
      </c>
      <c r="D858" t="inlineStr">
        <is>
          <t>GÄVLEBORGS LÄN</t>
        </is>
      </c>
      <c r="E858" t="inlineStr">
        <is>
          <t>LJUSDAL</t>
        </is>
      </c>
      <c r="G858" t="n">
        <v>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52568-2022</t>
        </is>
      </c>
      <c r="B859" s="1" t="n">
        <v>44874</v>
      </c>
      <c r="C859" s="1" t="n">
        <v>45181</v>
      </c>
      <c r="D859" t="inlineStr">
        <is>
          <t>GÄVLEBORGS LÄN</t>
        </is>
      </c>
      <c r="E859" t="inlineStr">
        <is>
          <t>LJUSDAL</t>
        </is>
      </c>
      <c r="F859" t="inlineStr">
        <is>
          <t>Kyrkan</t>
        </is>
      </c>
      <c r="G859" t="n">
        <v>3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52443-2022</t>
        </is>
      </c>
      <c r="B860" s="1" t="n">
        <v>44874</v>
      </c>
      <c r="C860" s="1" t="n">
        <v>45181</v>
      </c>
      <c r="D860" t="inlineStr">
        <is>
          <t>GÄVLEBORGS LÄN</t>
        </is>
      </c>
      <c r="E860" t="inlineStr">
        <is>
          <t>LJUSDAL</t>
        </is>
      </c>
      <c r="F860" t="inlineStr">
        <is>
          <t>Kyrkan</t>
        </is>
      </c>
      <c r="G860" t="n">
        <v>10.4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52626-2022</t>
        </is>
      </c>
      <c r="B861" s="1" t="n">
        <v>44874</v>
      </c>
      <c r="C861" s="1" t="n">
        <v>45181</v>
      </c>
      <c r="D861" t="inlineStr">
        <is>
          <t>GÄVLEBORGS LÄN</t>
        </is>
      </c>
      <c r="E861" t="inlineStr">
        <is>
          <t>LJUSDAL</t>
        </is>
      </c>
      <c r="F861" t="inlineStr">
        <is>
          <t>Kyrkan</t>
        </is>
      </c>
      <c r="G861" t="n">
        <v>3.4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52842-2022</t>
        </is>
      </c>
      <c r="B862" s="1" t="n">
        <v>44875</v>
      </c>
      <c r="C862" s="1" t="n">
        <v>45181</v>
      </c>
      <c r="D862" t="inlineStr">
        <is>
          <t>GÄVLEBORGS LÄN</t>
        </is>
      </c>
      <c r="E862" t="inlineStr">
        <is>
          <t>LJUSDAL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52824-2022</t>
        </is>
      </c>
      <c r="B863" s="1" t="n">
        <v>44875</v>
      </c>
      <c r="C863" s="1" t="n">
        <v>45181</v>
      </c>
      <c r="D863" t="inlineStr">
        <is>
          <t>GÄVLEBORGS LÄN</t>
        </is>
      </c>
      <c r="E863" t="inlineStr">
        <is>
          <t>LJUSDAL</t>
        </is>
      </c>
      <c r="F863" t="inlineStr">
        <is>
          <t>Bergvik skog väst AB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53159-2022</t>
        </is>
      </c>
      <c r="B864" s="1" t="n">
        <v>44876</v>
      </c>
      <c r="C864" s="1" t="n">
        <v>45181</v>
      </c>
      <c r="D864" t="inlineStr">
        <is>
          <t>GÄVLEBORGS LÄN</t>
        </is>
      </c>
      <c r="E864" t="inlineStr">
        <is>
          <t>LJUSDAL</t>
        </is>
      </c>
      <c r="F864" t="inlineStr">
        <is>
          <t>Kyrkan</t>
        </is>
      </c>
      <c r="G864" t="n">
        <v>26.3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53926-2022</t>
        </is>
      </c>
      <c r="B865" s="1" t="n">
        <v>44880</v>
      </c>
      <c r="C865" s="1" t="n">
        <v>45181</v>
      </c>
      <c r="D865" t="inlineStr">
        <is>
          <t>GÄVLEBORGS LÄN</t>
        </is>
      </c>
      <c r="E865" t="inlineStr">
        <is>
          <t>LJUSDAL</t>
        </is>
      </c>
      <c r="F865" t="inlineStr">
        <is>
          <t>Naturvårdsverket</t>
        </is>
      </c>
      <c r="G865" t="n">
        <v>9.1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53927-2022</t>
        </is>
      </c>
      <c r="B866" s="1" t="n">
        <v>44880</v>
      </c>
      <c r="C866" s="1" t="n">
        <v>45181</v>
      </c>
      <c r="D866" t="inlineStr">
        <is>
          <t>GÄVLEBORGS LÄN</t>
        </is>
      </c>
      <c r="E866" t="inlineStr">
        <is>
          <t>LJUSDAL</t>
        </is>
      </c>
      <c r="F866" t="inlineStr">
        <is>
          <t>Naturvårdsverket</t>
        </is>
      </c>
      <c r="G866" t="n">
        <v>17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54472-2022</t>
        </is>
      </c>
      <c r="B867" s="1" t="n">
        <v>44882</v>
      </c>
      <c r="C867" s="1" t="n">
        <v>45181</v>
      </c>
      <c r="D867" t="inlineStr">
        <is>
          <t>GÄVLEBORGS LÄN</t>
        </is>
      </c>
      <c r="E867" t="inlineStr">
        <is>
          <t>LJUSDAL</t>
        </is>
      </c>
      <c r="F867" t="inlineStr">
        <is>
          <t>Bergvik skog väst AB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55046-2022</t>
        </is>
      </c>
      <c r="B868" s="1" t="n">
        <v>44886</v>
      </c>
      <c r="C868" s="1" t="n">
        <v>45181</v>
      </c>
      <c r="D868" t="inlineStr">
        <is>
          <t>GÄVLEBORGS LÄN</t>
        </is>
      </c>
      <c r="E868" t="inlineStr">
        <is>
          <t>LJUSDAL</t>
        </is>
      </c>
      <c r="F868" t="inlineStr">
        <is>
          <t>Bergvik skog väst AB</t>
        </is>
      </c>
      <c r="G868" t="n">
        <v>43.8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55216-2022</t>
        </is>
      </c>
      <c r="B869" s="1" t="n">
        <v>44886</v>
      </c>
      <c r="C869" s="1" t="n">
        <v>45181</v>
      </c>
      <c r="D869" t="inlineStr">
        <is>
          <t>GÄVLEBORGS LÄN</t>
        </is>
      </c>
      <c r="E869" t="inlineStr">
        <is>
          <t>LJUSDAL</t>
        </is>
      </c>
      <c r="F869" t="inlineStr">
        <is>
          <t>SCA</t>
        </is>
      </c>
      <c r="G869" t="n">
        <v>10.1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55215-2022</t>
        </is>
      </c>
      <c r="B870" s="1" t="n">
        <v>44886</v>
      </c>
      <c r="C870" s="1" t="n">
        <v>45181</v>
      </c>
      <c r="D870" t="inlineStr">
        <is>
          <t>GÄVLEBORGS LÄN</t>
        </is>
      </c>
      <c r="E870" t="inlineStr">
        <is>
          <t>LJUSDAL</t>
        </is>
      </c>
      <c r="F870" t="inlineStr">
        <is>
          <t>SCA</t>
        </is>
      </c>
      <c r="G870" t="n">
        <v>14.5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55781-2022</t>
        </is>
      </c>
      <c r="B871" s="1" t="n">
        <v>44888</v>
      </c>
      <c r="C871" s="1" t="n">
        <v>45181</v>
      </c>
      <c r="D871" t="inlineStr">
        <is>
          <t>GÄVLEBORGS LÄN</t>
        </is>
      </c>
      <c r="E871" t="inlineStr">
        <is>
          <t>LJUSDAL</t>
        </is>
      </c>
      <c r="F871" t="inlineStr">
        <is>
          <t>Kommuner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55962-2022</t>
        </is>
      </c>
      <c r="B872" s="1" t="n">
        <v>44889</v>
      </c>
      <c r="C872" s="1" t="n">
        <v>45181</v>
      </c>
      <c r="D872" t="inlineStr">
        <is>
          <t>GÄVLEBORGS LÄN</t>
        </is>
      </c>
      <c r="E872" t="inlineStr">
        <is>
          <t>LJUSDAL</t>
        </is>
      </c>
      <c r="G872" t="n">
        <v>0.1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56766-2022</t>
        </is>
      </c>
      <c r="B873" s="1" t="n">
        <v>44894</v>
      </c>
      <c r="C873" s="1" t="n">
        <v>45181</v>
      </c>
      <c r="D873" t="inlineStr">
        <is>
          <t>GÄVLEBORGS LÄN</t>
        </is>
      </c>
      <c r="E873" t="inlineStr">
        <is>
          <t>LJUSDAL</t>
        </is>
      </c>
      <c r="F873" t="inlineStr">
        <is>
          <t>Holmen skog AB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57269-2022</t>
        </is>
      </c>
      <c r="B874" s="1" t="n">
        <v>44895</v>
      </c>
      <c r="C874" s="1" t="n">
        <v>45181</v>
      </c>
      <c r="D874" t="inlineStr">
        <is>
          <t>GÄVLEBORGS LÄN</t>
        </is>
      </c>
      <c r="E874" t="inlineStr">
        <is>
          <t>LJUSDAL</t>
        </is>
      </c>
      <c r="G874" t="n">
        <v>0.5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57905-2022</t>
        </is>
      </c>
      <c r="B875" s="1" t="n">
        <v>44900</v>
      </c>
      <c r="C875" s="1" t="n">
        <v>45181</v>
      </c>
      <c r="D875" t="inlineStr">
        <is>
          <t>GÄVLEBORGS LÄN</t>
        </is>
      </c>
      <c r="E875" t="inlineStr">
        <is>
          <t>LJUSDAL</t>
        </is>
      </c>
      <c r="F875" t="inlineStr">
        <is>
          <t>Allmännings- och besparingsskogar</t>
        </is>
      </c>
      <c r="G875" t="n">
        <v>11.5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58611-2022</t>
        </is>
      </c>
      <c r="B876" s="1" t="n">
        <v>44902</v>
      </c>
      <c r="C876" s="1" t="n">
        <v>45181</v>
      </c>
      <c r="D876" t="inlineStr">
        <is>
          <t>GÄVLEBORGS LÄN</t>
        </is>
      </c>
      <c r="E876" t="inlineStr">
        <is>
          <t>LJUSDAL</t>
        </is>
      </c>
      <c r="G876" t="n">
        <v>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58783-2022</t>
        </is>
      </c>
      <c r="B877" s="1" t="n">
        <v>44903</v>
      </c>
      <c r="C877" s="1" t="n">
        <v>45181</v>
      </c>
      <c r="D877" t="inlineStr">
        <is>
          <t>GÄVLEBORGS LÄN</t>
        </is>
      </c>
      <c r="E877" t="inlineStr">
        <is>
          <t>LJUSDAL</t>
        </is>
      </c>
      <c r="F877" t="inlineStr">
        <is>
          <t>Kyrkan</t>
        </is>
      </c>
      <c r="G877" t="n">
        <v>5.1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58796-2022</t>
        </is>
      </c>
      <c r="B878" s="1" t="n">
        <v>44903</v>
      </c>
      <c r="C878" s="1" t="n">
        <v>45181</v>
      </c>
      <c r="D878" t="inlineStr">
        <is>
          <t>GÄVLEBORGS LÄN</t>
        </is>
      </c>
      <c r="E878" t="inlineStr">
        <is>
          <t>LJUSDAL</t>
        </is>
      </c>
      <c r="F878" t="inlineStr">
        <is>
          <t>Kyrkan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  <c r="U878">
        <f>HYPERLINK("https://klasma.github.io/Logging_LJUSDAL/knärot/A 58796-2022.png")</f>
        <v/>
      </c>
      <c r="V878">
        <f>HYPERLINK("https://klasma.github.io/Logging_LJUSDAL/klagomål/A 58796-2022.docx")</f>
        <v/>
      </c>
      <c r="W878">
        <f>HYPERLINK("https://klasma.github.io/Logging_LJUSDAL/klagomålsmail/A 58796-2022.docx")</f>
        <v/>
      </c>
      <c r="X878">
        <f>HYPERLINK("https://klasma.github.io/Logging_LJUSDAL/tillsyn/A 58796-2022.docx")</f>
        <v/>
      </c>
      <c r="Y878">
        <f>HYPERLINK("https://klasma.github.io/Logging_LJUSDAL/tillsynsmail/A 58796-2022.docx")</f>
        <v/>
      </c>
    </row>
    <row r="879" ht="15" customHeight="1">
      <c r="A879" t="inlineStr">
        <is>
          <t>A 58820-2022</t>
        </is>
      </c>
      <c r="B879" s="1" t="n">
        <v>44903</v>
      </c>
      <c r="C879" s="1" t="n">
        <v>45181</v>
      </c>
      <c r="D879" t="inlineStr">
        <is>
          <t>GÄVLEBORGS LÄN</t>
        </is>
      </c>
      <c r="E879" t="inlineStr">
        <is>
          <t>LJUSDAL</t>
        </is>
      </c>
      <c r="F879" t="inlineStr">
        <is>
          <t>Kyrkan</t>
        </is>
      </c>
      <c r="G879" t="n">
        <v>13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59077-2022</t>
        </is>
      </c>
      <c r="B880" s="1" t="n">
        <v>44904</v>
      </c>
      <c r="C880" s="1" t="n">
        <v>45181</v>
      </c>
      <c r="D880" t="inlineStr">
        <is>
          <t>GÄVLEBORGS LÄN</t>
        </is>
      </c>
      <c r="E880" t="inlineStr">
        <is>
          <t>LJUSDAL</t>
        </is>
      </c>
      <c r="F880" t="inlineStr">
        <is>
          <t>Holmen skog AB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60822-2022</t>
        </is>
      </c>
      <c r="B881" s="1" t="n">
        <v>44904</v>
      </c>
      <c r="C881" s="1" t="n">
        <v>45181</v>
      </c>
      <c r="D881" t="inlineStr">
        <is>
          <t>GÄVLEBORGS LÄN</t>
        </is>
      </c>
      <c r="E881" t="inlineStr">
        <is>
          <t>LJUSDAL</t>
        </is>
      </c>
      <c r="G881" t="n">
        <v>0.8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60118-2022</t>
        </is>
      </c>
      <c r="B882" s="1" t="n">
        <v>44909</v>
      </c>
      <c r="C882" s="1" t="n">
        <v>45181</v>
      </c>
      <c r="D882" t="inlineStr">
        <is>
          <t>GÄVLEBORGS LÄN</t>
        </is>
      </c>
      <c r="E882" t="inlineStr">
        <is>
          <t>LJUSDAL</t>
        </is>
      </c>
      <c r="F882" t="inlineStr">
        <is>
          <t>Bergvik skog väst AB</t>
        </is>
      </c>
      <c r="G882" t="n">
        <v>4.2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60125-2022</t>
        </is>
      </c>
      <c r="B883" s="1" t="n">
        <v>44909</v>
      </c>
      <c r="C883" s="1" t="n">
        <v>45181</v>
      </c>
      <c r="D883" t="inlineStr">
        <is>
          <t>GÄVLEBORGS LÄN</t>
        </is>
      </c>
      <c r="E883" t="inlineStr">
        <is>
          <t>LJUSDAL</t>
        </is>
      </c>
      <c r="F883" t="inlineStr">
        <is>
          <t>Bergvik skog väst AB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60121-2022</t>
        </is>
      </c>
      <c r="B884" s="1" t="n">
        <v>44909</v>
      </c>
      <c r="C884" s="1" t="n">
        <v>45181</v>
      </c>
      <c r="D884" t="inlineStr">
        <is>
          <t>GÄVLEBORGS LÄN</t>
        </is>
      </c>
      <c r="E884" t="inlineStr">
        <is>
          <t>LJUSDAL</t>
        </is>
      </c>
      <c r="F884" t="inlineStr">
        <is>
          <t>Bergvik skog väst AB</t>
        </is>
      </c>
      <c r="G884" t="n">
        <v>1.5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60183-2022</t>
        </is>
      </c>
      <c r="B885" s="1" t="n">
        <v>44910</v>
      </c>
      <c r="C885" s="1" t="n">
        <v>45181</v>
      </c>
      <c r="D885" t="inlineStr">
        <is>
          <t>GÄVLEBORGS LÄN</t>
        </is>
      </c>
      <c r="E885" t="inlineStr">
        <is>
          <t>LJUSDAL</t>
        </is>
      </c>
      <c r="F885" t="inlineStr">
        <is>
          <t>Holmen skog AB</t>
        </is>
      </c>
      <c r="G885" t="n">
        <v>14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60541-2022</t>
        </is>
      </c>
      <c r="B886" s="1" t="n">
        <v>44911</v>
      </c>
      <c r="C886" s="1" t="n">
        <v>45181</v>
      </c>
      <c r="D886" t="inlineStr">
        <is>
          <t>GÄVLEBORGS LÄN</t>
        </is>
      </c>
      <c r="E886" t="inlineStr">
        <is>
          <t>LJUSDAL</t>
        </is>
      </c>
      <c r="F886" t="inlineStr">
        <is>
          <t>Bergvik skog väst AB</t>
        </is>
      </c>
      <c r="G886" t="n">
        <v>5.4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60553-2022</t>
        </is>
      </c>
      <c r="B887" s="1" t="n">
        <v>44911</v>
      </c>
      <c r="C887" s="1" t="n">
        <v>45181</v>
      </c>
      <c r="D887" t="inlineStr">
        <is>
          <t>GÄVLEBORGS LÄN</t>
        </is>
      </c>
      <c r="E887" t="inlineStr">
        <is>
          <t>LJUSDAL</t>
        </is>
      </c>
      <c r="F887" t="inlineStr">
        <is>
          <t>Bergvik skog väst AB</t>
        </is>
      </c>
      <c r="G887" t="n">
        <v>4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61124-2022</t>
        </is>
      </c>
      <c r="B888" s="1" t="n">
        <v>44915</v>
      </c>
      <c r="C888" s="1" t="n">
        <v>45181</v>
      </c>
      <c r="D888" t="inlineStr">
        <is>
          <t>GÄVLEBORGS LÄN</t>
        </is>
      </c>
      <c r="E888" t="inlineStr">
        <is>
          <t>LJUSDAL</t>
        </is>
      </c>
      <c r="F888" t="inlineStr">
        <is>
          <t>Holmen skog AB</t>
        </is>
      </c>
      <c r="G888" t="n">
        <v>12.1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61603-2022</t>
        </is>
      </c>
      <c r="B889" s="1" t="n">
        <v>44916</v>
      </c>
      <c r="C889" s="1" t="n">
        <v>45181</v>
      </c>
      <c r="D889" t="inlineStr">
        <is>
          <t>GÄVLEBORGS LÄN</t>
        </is>
      </c>
      <c r="E889" t="inlineStr">
        <is>
          <t>LJUSDAL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62489-2022</t>
        </is>
      </c>
      <c r="B890" s="1" t="n">
        <v>44924</v>
      </c>
      <c r="C890" s="1" t="n">
        <v>45181</v>
      </c>
      <c r="D890" t="inlineStr">
        <is>
          <t>GÄVLEBORGS LÄN</t>
        </is>
      </c>
      <c r="E890" t="inlineStr">
        <is>
          <t>LJUSDAL</t>
        </is>
      </c>
      <c r="G890" t="n">
        <v>1.2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62420-2022</t>
        </is>
      </c>
      <c r="B891" s="1" t="n">
        <v>44924</v>
      </c>
      <c r="C891" s="1" t="n">
        <v>45181</v>
      </c>
      <c r="D891" t="inlineStr">
        <is>
          <t>GÄVLEBORGS LÄN</t>
        </is>
      </c>
      <c r="E891" t="inlineStr">
        <is>
          <t>LJUSDAL</t>
        </is>
      </c>
      <c r="G891" t="n">
        <v>2.6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62631-2022</t>
        </is>
      </c>
      <c r="B892" s="1" t="n">
        <v>44925</v>
      </c>
      <c r="C892" s="1" t="n">
        <v>45181</v>
      </c>
      <c r="D892" t="inlineStr">
        <is>
          <t>GÄVLEBORGS LÄN</t>
        </is>
      </c>
      <c r="E892" t="inlineStr">
        <is>
          <t>LJUSDAL</t>
        </is>
      </c>
      <c r="G892" t="n">
        <v>13.8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835-2023</t>
        </is>
      </c>
      <c r="B893" s="1" t="n">
        <v>44931</v>
      </c>
      <c r="C893" s="1" t="n">
        <v>45181</v>
      </c>
      <c r="D893" t="inlineStr">
        <is>
          <t>GÄVLEBORGS LÄN</t>
        </is>
      </c>
      <c r="E893" t="inlineStr">
        <is>
          <t>LJUSDAL</t>
        </is>
      </c>
      <c r="G893" t="n">
        <v>2.2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1005-2023</t>
        </is>
      </c>
      <c r="B894" s="1" t="n">
        <v>44935</v>
      </c>
      <c r="C894" s="1" t="n">
        <v>45181</v>
      </c>
      <c r="D894" t="inlineStr">
        <is>
          <t>GÄVLEBORGS LÄN</t>
        </is>
      </c>
      <c r="E894" t="inlineStr">
        <is>
          <t>LJUSDAL</t>
        </is>
      </c>
      <c r="F894" t="inlineStr">
        <is>
          <t>Holmen skog AB</t>
        </is>
      </c>
      <c r="G894" t="n">
        <v>1.5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1471-2023</t>
        </is>
      </c>
      <c r="B895" s="1" t="n">
        <v>44937</v>
      </c>
      <c r="C895" s="1" t="n">
        <v>45181</v>
      </c>
      <c r="D895" t="inlineStr">
        <is>
          <t>GÄVLEBORGS LÄN</t>
        </is>
      </c>
      <c r="E895" t="inlineStr">
        <is>
          <t>LJUSDAL</t>
        </is>
      </c>
      <c r="F895" t="inlineStr">
        <is>
          <t>Bergvik skog väst AB</t>
        </is>
      </c>
      <c r="G895" t="n">
        <v>5.2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2013-2023</t>
        </is>
      </c>
      <c r="B896" s="1" t="n">
        <v>44939</v>
      </c>
      <c r="C896" s="1" t="n">
        <v>45181</v>
      </c>
      <c r="D896" t="inlineStr">
        <is>
          <t>GÄVLEBORGS LÄN</t>
        </is>
      </c>
      <c r="E896" t="inlineStr">
        <is>
          <t>LJUSDAL</t>
        </is>
      </c>
      <c r="F896" t="inlineStr">
        <is>
          <t>Sveaskog</t>
        </is>
      </c>
      <c r="G896" t="n">
        <v>3.1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2378-2023</t>
        </is>
      </c>
      <c r="B897" s="1" t="n">
        <v>44942</v>
      </c>
      <c r="C897" s="1" t="n">
        <v>45181</v>
      </c>
      <c r="D897" t="inlineStr">
        <is>
          <t>GÄVLEBORGS LÄN</t>
        </is>
      </c>
      <c r="E897" t="inlineStr">
        <is>
          <t>LJUSDAL</t>
        </is>
      </c>
      <c r="G897" t="n">
        <v>4.8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2370-2023</t>
        </is>
      </c>
      <c r="B898" s="1" t="n">
        <v>44942</v>
      </c>
      <c r="C898" s="1" t="n">
        <v>45181</v>
      </c>
      <c r="D898" t="inlineStr">
        <is>
          <t>GÄVLEBORGS LÄN</t>
        </is>
      </c>
      <c r="E898" t="inlineStr">
        <is>
          <t>LJUSDAL</t>
        </is>
      </c>
      <c r="G898" t="n">
        <v>3.2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3193-2023</t>
        </is>
      </c>
      <c r="B899" s="1" t="n">
        <v>44946</v>
      </c>
      <c r="C899" s="1" t="n">
        <v>45181</v>
      </c>
      <c r="D899" t="inlineStr">
        <is>
          <t>GÄVLEBORGS LÄN</t>
        </is>
      </c>
      <c r="E899" t="inlineStr">
        <is>
          <t>LJUSDAL</t>
        </is>
      </c>
      <c r="F899" t="inlineStr">
        <is>
          <t>Holmen skog AB</t>
        </is>
      </c>
      <c r="G899" t="n">
        <v>25.7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3188-2023</t>
        </is>
      </c>
      <c r="B900" s="1" t="n">
        <v>44946</v>
      </c>
      <c r="C900" s="1" t="n">
        <v>45181</v>
      </c>
      <c r="D900" t="inlineStr">
        <is>
          <t>GÄVLEBORGS LÄN</t>
        </is>
      </c>
      <c r="E900" t="inlineStr">
        <is>
          <t>LJUSDAL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3365-2023</t>
        </is>
      </c>
      <c r="B901" s="1" t="n">
        <v>44949</v>
      </c>
      <c r="C901" s="1" t="n">
        <v>45181</v>
      </c>
      <c r="D901" t="inlineStr">
        <is>
          <t>GÄVLEBORGS LÄN</t>
        </is>
      </c>
      <c r="E901" t="inlineStr">
        <is>
          <t>LJUSDAL</t>
        </is>
      </c>
      <c r="F901" t="inlineStr">
        <is>
          <t>Holmen skog AB</t>
        </is>
      </c>
      <c r="G901" t="n">
        <v>21.6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3532-2023</t>
        </is>
      </c>
      <c r="B902" s="1" t="n">
        <v>44950</v>
      </c>
      <c r="C902" s="1" t="n">
        <v>45181</v>
      </c>
      <c r="D902" t="inlineStr">
        <is>
          <t>GÄVLEBORGS LÄN</t>
        </is>
      </c>
      <c r="E902" t="inlineStr">
        <is>
          <t>LJUSDAL</t>
        </is>
      </c>
      <c r="G902" t="n">
        <v>4.6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3635-2023</t>
        </is>
      </c>
      <c r="B903" s="1" t="n">
        <v>44950</v>
      </c>
      <c r="C903" s="1" t="n">
        <v>45181</v>
      </c>
      <c r="D903" t="inlineStr">
        <is>
          <t>GÄVLEBORGS LÄN</t>
        </is>
      </c>
      <c r="E903" t="inlineStr">
        <is>
          <t>LJUSDAL</t>
        </is>
      </c>
      <c r="G903" t="n">
        <v>0.8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4034-2023</t>
        </is>
      </c>
      <c r="B904" s="1" t="n">
        <v>44952</v>
      </c>
      <c r="C904" s="1" t="n">
        <v>45181</v>
      </c>
      <c r="D904" t="inlineStr">
        <is>
          <t>GÄVLEBORGS LÄN</t>
        </is>
      </c>
      <c r="E904" t="inlineStr">
        <is>
          <t>LJUSDAL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4148-2023</t>
        </is>
      </c>
      <c r="B905" s="1" t="n">
        <v>44953</v>
      </c>
      <c r="C905" s="1" t="n">
        <v>45181</v>
      </c>
      <c r="D905" t="inlineStr">
        <is>
          <t>GÄVLEBORGS LÄN</t>
        </is>
      </c>
      <c r="E905" t="inlineStr">
        <is>
          <t>LJUSDAL</t>
        </is>
      </c>
      <c r="F905" t="inlineStr">
        <is>
          <t>Holmen skog AB</t>
        </is>
      </c>
      <c r="G905" t="n">
        <v>5.4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4197-2023</t>
        </is>
      </c>
      <c r="B906" s="1" t="n">
        <v>44953</v>
      </c>
      <c r="C906" s="1" t="n">
        <v>45181</v>
      </c>
      <c r="D906" t="inlineStr">
        <is>
          <t>GÄVLEBORGS LÄN</t>
        </is>
      </c>
      <c r="E906" t="inlineStr">
        <is>
          <t>LJUSDAL</t>
        </is>
      </c>
      <c r="F906" t="inlineStr">
        <is>
          <t>Holmen skog AB</t>
        </is>
      </c>
      <c r="G906" t="n">
        <v>12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4476-2023</t>
        </is>
      </c>
      <c r="B907" s="1" t="n">
        <v>44956</v>
      </c>
      <c r="C907" s="1" t="n">
        <v>45181</v>
      </c>
      <c r="D907" t="inlineStr">
        <is>
          <t>GÄVLEBORGS LÄN</t>
        </is>
      </c>
      <c r="E907" t="inlineStr">
        <is>
          <t>LJUSDAL</t>
        </is>
      </c>
      <c r="G907" t="n">
        <v>0.6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4824-2023</t>
        </is>
      </c>
      <c r="B908" s="1" t="n">
        <v>44957</v>
      </c>
      <c r="C908" s="1" t="n">
        <v>45181</v>
      </c>
      <c r="D908" t="inlineStr">
        <is>
          <t>GÄVLEBORGS LÄN</t>
        </is>
      </c>
      <c r="E908" t="inlineStr">
        <is>
          <t>LJUSDAL</t>
        </is>
      </c>
      <c r="F908" t="inlineStr">
        <is>
          <t>Holmen skog AB</t>
        </is>
      </c>
      <c r="G908" t="n">
        <v>4.6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4865-2023</t>
        </is>
      </c>
      <c r="B909" s="1" t="n">
        <v>44957</v>
      </c>
      <c r="C909" s="1" t="n">
        <v>45181</v>
      </c>
      <c r="D909" t="inlineStr">
        <is>
          <t>GÄVLEBORGS LÄN</t>
        </is>
      </c>
      <c r="E909" t="inlineStr">
        <is>
          <t>LJUSDAL</t>
        </is>
      </c>
      <c r="G909" t="n">
        <v>3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5203-2023</t>
        </is>
      </c>
      <c r="B910" s="1" t="n">
        <v>44959</v>
      </c>
      <c r="C910" s="1" t="n">
        <v>45181</v>
      </c>
      <c r="D910" t="inlineStr">
        <is>
          <t>GÄVLEBORGS LÄN</t>
        </is>
      </c>
      <c r="E910" t="inlineStr">
        <is>
          <t>LJUSDAL</t>
        </is>
      </c>
      <c r="G910" t="n">
        <v>2.5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5639-2023</t>
        </is>
      </c>
      <c r="B911" s="1" t="n">
        <v>44960</v>
      </c>
      <c r="C911" s="1" t="n">
        <v>45181</v>
      </c>
      <c r="D911" t="inlineStr">
        <is>
          <t>GÄVLEBORGS LÄN</t>
        </is>
      </c>
      <c r="E911" t="inlineStr">
        <is>
          <t>LJUSDAL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5833-2023</t>
        </is>
      </c>
      <c r="B912" s="1" t="n">
        <v>44963</v>
      </c>
      <c r="C912" s="1" t="n">
        <v>45181</v>
      </c>
      <c r="D912" t="inlineStr">
        <is>
          <t>GÄVLEBORGS LÄN</t>
        </is>
      </c>
      <c r="E912" t="inlineStr">
        <is>
          <t>LJUSDAL</t>
        </is>
      </c>
      <c r="G912" t="n">
        <v>8.9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6153-2023</t>
        </is>
      </c>
      <c r="B913" s="1" t="n">
        <v>44964</v>
      </c>
      <c r="C913" s="1" t="n">
        <v>45181</v>
      </c>
      <c r="D913" t="inlineStr">
        <is>
          <t>GÄVLEBORGS LÄN</t>
        </is>
      </c>
      <c r="E913" t="inlineStr">
        <is>
          <t>LJUSDAL</t>
        </is>
      </c>
      <c r="F913" t="inlineStr">
        <is>
          <t>Holmen skog AB</t>
        </is>
      </c>
      <c r="G913" t="n">
        <v>3.2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6259-2023</t>
        </is>
      </c>
      <c r="B914" s="1" t="n">
        <v>44965</v>
      </c>
      <c r="C914" s="1" t="n">
        <v>45181</v>
      </c>
      <c r="D914" t="inlineStr">
        <is>
          <t>GÄVLEBORGS LÄN</t>
        </is>
      </c>
      <c r="E914" t="inlineStr">
        <is>
          <t>LJUSDAL</t>
        </is>
      </c>
      <c r="F914" t="inlineStr">
        <is>
          <t>Holmen skog AB</t>
        </is>
      </c>
      <c r="G914" t="n">
        <v>1.9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7012-2023</t>
        </is>
      </c>
      <c r="B915" s="1" t="n">
        <v>44967</v>
      </c>
      <c r="C915" s="1" t="n">
        <v>45181</v>
      </c>
      <c r="D915" t="inlineStr">
        <is>
          <t>GÄVLEBORGS LÄN</t>
        </is>
      </c>
      <c r="E915" t="inlineStr">
        <is>
          <t>LJUSDAL</t>
        </is>
      </c>
      <c r="G915" t="n">
        <v>1.6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7177-2023</t>
        </is>
      </c>
      <c r="B916" s="1" t="n">
        <v>44970</v>
      </c>
      <c r="C916" s="1" t="n">
        <v>45181</v>
      </c>
      <c r="D916" t="inlineStr">
        <is>
          <t>GÄVLEBORGS LÄN</t>
        </is>
      </c>
      <c r="E916" t="inlineStr">
        <is>
          <t>LJUSDAL</t>
        </is>
      </c>
      <c r="G916" t="n">
        <v>2.9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7182-2023</t>
        </is>
      </c>
      <c r="B917" s="1" t="n">
        <v>44970</v>
      </c>
      <c r="C917" s="1" t="n">
        <v>45181</v>
      </c>
      <c r="D917" t="inlineStr">
        <is>
          <t>GÄVLEBORGS LÄN</t>
        </is>
      </c>
      <c r="E917" t="inlineStr">
        <is>
          <t>LJUSDAL</t>
        </is>
      </c>
      <c r="G917" t="n">
        <v>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7192-2023</t>
        </is>
      </c>
      <c r="B918" s="1" t="n">
        <v>44970</v>
      </c>
      <c r="C918" s="1" t="n">
        <v>45181</v>
      </c>
      <c r="D918" t="inlineStr">
        <is>
          <t>GÄVLEBORGS LÄN</t>
        </is>
      </c>
      <c r="E918" t="inlineStr">
        <is>
          <t>LJUSDAL</t>
        </is>
      </c>
      <c r="G918" t="n">
        <v>3.6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7569-2023</t>
        </is>
      </c>
      <c r="B919" s="1" t="n">
        <v>44972</v>
      </c>
      <c r="C919" s="1" t="n">
        <v>45181</v>
      </c>
      <c r="D919" t="inlineStr">
        <is>
          <t>GÄVLEBORGS LÄN</t>
        </is>
      </c>
      <c r="E919" t="inlineStr">
        <is>
          <t>LJUSDAL</t>
        </is>
      </c>
      <c r="F919" t="inlineStr">
        <is>
          <t>Kommuner</t>
        </is>
      </c>
      <c r="G919" t="n">
        <v>6.9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8078-2023</t>
        </is>
      </c>
      <c r="B920" s="1" t="n">
        <v>44974</v>
      </c>
      <c r="C920" s="1" t="n">
        <v>45181</v>
      </c>
      <c r="D920" t="inlineStr">
        <is>
          <t>GÄVLEBORGS LÄN</t>
        </is>
      </c>
      <c r="E920" t="inlineStr">
        <is>
          <t>LJUSDAL</t>
        </is>
      </c>
      <c r="G920" t="n">
        <v>19.1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8659-2023</t>
        </is>
      </c>
      <c r="B921" s="1" t="n">
        <v>44977</v>
      </c>
      <c r="C921" s="1" t="n">
        <v>45181</v>
      </c>
      <c r="D921" t="inlineStr">
        <is>
          <t>GÄVLEBORGS LÄN</t>
        </is>
      </c>
      <c r="E921" t="inlineStr">
        <is>
          <t>LJUSDAL</t>
        </is>
      </c>
      <c r="F921" t="inlineStr">
        <is>
          <t>SCA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8663-2023</t>
        </is>
      </c>
      <c r="B922" s="1" t="n">
        <v>44977</v>
      </c>
      <c r="C922" s="1" t="n">
        <v>45181</v>
      </c>
      <c r="D922" t="inlineStr">
        <is>
          <t>GÄVLEBORGS LÄN</t>
        </is>
      </c>
      <c r="E922" t="inlineStr">
        <is>
          <t>LJUSDAL</t>
        </is>
      </c>
      <c r="F922" t="inlineStr">
        <is>
          <t>SCA</t>
        </is>
      </c>
      <c r="G922" t="n">
        <v>4.3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8662-2023</t>
        </is>
      </c>
      <c r="B923" s="1" t="n">
        <v>44977</v>
      </c>
      <c r="C923" s="1" t="n">
        <v>45181</v>
      </c>
      <c r="D923" t="inlineStr">
        <is>
          <t>GÄVLEBORGS LÄN</t>
        </is>
      </c>
      <c r="E923" t="inlineStr">
        <is>
          <t>LJUSDAL</t>
        </is>
      </c>
      <c r="F923" t="inlineStr">
        <is>
          <t>SCA</t>
        </is>
      </c>
      <c r="G923" t="n">
        <v>17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8660-2023</t>
        </is>
      </c>
      <c r="B924" s="1" t="n">
        <v>44977</v>
      </c>
      <c r="C924" s="1" t="n">
        <v>45181</v>
      </c>
      <c r="D924" t="inlineStr">
        <is>
          <t>GÄVLEBORGS LÄN</t>
        </is>
      </c>
      <c r="E924" t="inlineStr">
        <is>
          <t>LJUSDAL</t>
        </is>
      </c>
      <c r="F924" t="inlineStr">
        <is>
          <t>SCA</t>
        </is>
      </c>
      <c r="G924" t="n">
        <v>6.7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8664-2023</t>
        </is>
      </c>
      <c r="B925" s="1" t="n">
        <v>44977</v>
      </c>
      <c r="C925" s="1" t="n">
        <v>45181</v>
      </c>
      <c r="D925" t="inlineStr">
        <is>
          <t>GÄVLEBORGS LÄN</t>
        </is>
      </c>
      <c r="E925" t="inlineStr">
        <is>
          <t>LJUSDAL</t>
        </is>
      </c>
      <c r="F925" t="inlineStr">
        <is>
          <t>SCA</t>
        </is>
      </c>
      <c r="G925" t="n">
        <v>23.3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8661-2023</t>
        </is>
      </c>
      <c r="B926" s="1" t="n">
        <v>44977</v>
      </c>
      <c r="C926" s="1" t="n">
        <v>45181</v>
      </c>
      <c r="D926" t="inlineStr">
        <is>
          <t>GÄVLEBORGS LÄN</t>
        </is>
      </c>
      <c r="E926" t="inlineStr">
        <is>
          <t>LJUSDAL</t>
        </is>
      </c>
      <c r="F926" t="inlineStr">
        <is>
          <t>SCA</t>
        </is>
      </c>
      <c r="G926" t="n">
        <v>41.6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10192-2023</t>
        </is>
      </c>
      <c r="B927" s="1" t="n">
        <v>44980</v>
      </c>
      <c r="C927" s="1" t="n">
        <v>45181</v>
      </c>
      <c r="D927" t="inlineStr">
        <is>
          <t>GÄVLEBORGS LÄN</t>
        </is>
      </c>
      <c r="E927" t="inlineStr">
        <is>
          <t>LJUSDAL</t>
        </is>
      </c>
      <c r="F927" t="inlineStr">
        <is>
          <t>Allmännings- och besparingsskogar</t>
        </is>
      </c>
      <c r="G927" t="n">
        <v>24.3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9241-2023</t>
        </is>
      </c>
      <c r="B928" s="1" t="n">
        <v>44980</v>
      </c>
      <c r="C928" s="1" t="n">
        <v>45181</v>
      </c>
      <c r="D928" t="inlineStr">
        <is>
          <t>GÄVLEBORGS LÄN</t>
        </is>
      </c>
      <c r="E928" t="inlineStr">
        <is>
          <t>LJUSDAL</t>
        </is>
      </c>
      <c r="G928" t="n">
        <v>5.3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9772-2023</t>
        </is>
      </c>
      <c r="B929" s="1" t="n">
        <v>44984</v>
      </c>
      <c r="C929" s="1" t="n">
        <v>45181</v>
      </c>
      <c r="D929" t="inlineStr">
        <is>
          <t>GÄVLEBORGS LÄN</t>
        </is>
      </c>
      <c r="E929" t="inlineStr">
        <is>
          <t>LJUSDAL</t>
        </is>
      </c>
      <c r="G929" t="n">
        <v>2.5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9926-2023</t>
        </is>
      </c>
      <c r="B930" s="1" t="n">
        <v>44985</v>
      </c>
      <c r="C930" s="1" t="n">
        <v>45181</v>
      </c>
      <c r="D930" t="inlineStr">
        <is>
          <t>GÄVLEBORGS LÄN</t>
        </is>
      </c>
      <c r="E930" t="inlineStr">
        <is>
          <t>LJUSDAL</t>
        </is>
      </c>
      <c r="F930" t="inlineStr">
        <is>
          <t>Bergvik skog väst AB</t>
        </is>
      </c>
      <c r="G930" t="n">
        <v>17.5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9946-2023</t>
        </is>
      </c>
      <c r="B931" s="1" t="n">
        <v>44985</v>
      </c>
      <c r="C931" s="1" t="n">
        <v>45181</v>
      </c>
      <c r="D931" t="inlineStr">
        <is>
          <t>GÄVLEBORGS LÄN</t>
        </is>
      </c>
      <c r="E931" t="inlineStr">
        <is>
          <t>LJUSDAL</t>
        </is>
      </c>
      <c r="F931" t="inlineStr">
        <is>
          <t>Bergvik skog väst AB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10038-2023</t>
        </is>
      </c>
      <c r="B932" s="1" t="n">
        <v>44985</v>
      </c>
      <c r="C932" s="1" t="n">
        <v>45181</v>
      </c>
      <c r="D932" t="inlineStr">
        <is>
          <t>GÄVLEBORGS LÄN</t>
        </is>
      </c>
      <c r="E932" t="inlineStr">
        <is>
          <t>LJUSDAL</t>
        </is>
      </c>
      <c r="G932" t="n">
        <v>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10026-2023</t>
        </is>
      </c>
      <c r="B933" s="1" t="n">
        <v>44985</v>
      </c>
      <c r="C933" s="1" t="n">
        <v>45181</v>
      </c>
      <c r="D933" t="inlineStr">
        <is>
          <t>GÄVLEBORGS LÄN</t>
        </is>
      </c>
      <c r="E933" t="inlineStr">
        <is>
          <t>LJUSDAL</t>
        </is>
      </c>
      <c r="F933" t="inlineStr">
        <is>
          <t>Holmen skog AB</t>
        </is>
      </c>
      <c r="G933" t="n">
        <v>6.8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10197-2023</t>
        </is>
      </c>
      <c r="B934" s="1" t="n">
        <v>44986</v>
      </c>
      <c r="C934" s="1" t="n">
        <v>45181</v>
      </c>
      <c r="D934" t="inlineStr">
        <is>
          <t>GÄVLEBORGS LÄN</t>
        </is>
      </c>
      <c r="E934" t="inlineStr">
        <is>
          <t>LJUSDAL</t>
        </is>
      </c>
      <c r="F934" t="inlineStr">
        <is>
          <t>Bergvik skog väst AB</t>
        </is>
      </c>
      <c r="G934" t="n">
        <v>1.6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12741-2023</t>
        </is>
      </c>
      <c r="B935" s="1" t="n">
        <v>45000</v>
      </c>
      <c r="C935" s="1" t="n">
        <v>45181</v>
      </c>
      <c r="D935" t="inlineStr">
        <is>
          <t>GÄVLEBORGS LÄN</t>
        </is>
      </c>
      <c r="E935" t="inlineStr">
        <is>
          <t>LJUSDAL</t>
        </is>
      </c>
      <c r="F935" t="inlineStr">
        <is>
          <t>SCA</t>
        </is>
      </c>
      <c r="G935" t="n">
        <v>5.3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13667-2023</t>
        </is>
      </c>
      <c r="B936" s="1" t="n">
        <v>45006</v>
      </c>
      <c r="C936" s="1" t="n">
        <v>45181</v>
      </c>
      <c r="D936" t="inlineStr">
        <is>
          <t>GÄVLEBORGS LÄN</t>
        </is>
      </c>
      <c r="E936" t="inlineStr">
        <is>
          <t>LJUSDAL</t>
        </is>
      </c>
      <c r="G936" t="n">
        <v>1.1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13854-2023</t>
        </is>
      </c>
      <c r="B937" s="1" t="n">
        <v>45007</v>
      </c>
      <c r="C937" s="1" t="n">
        <v>45181</v>
      </c>
      <c r="D937" t="inlineStr">
        <is>
          <t>GÄVLEBORGS LÄN</t>
        </is>
      </c>
      <c r="E937" t="inlineStr">
        <is>
          <t>LJUSDAL</t>
        </is>
      </c>
      <c r="G937" t="n">
        <v>4.6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13775-2023</t>
        </is>
      </c>
      <c r="B938" s="1" t="n">
        <v>45007</v>
      </c>
      <c r="C938" s="1" t="n">
        <v>45181</v>
      </c>
      <c r="D938" t="inlineStr">
        <is>
          <t>GÄVLEBORGS LÄN</t>
        </is>
      </c>
      <c r="E938" t="inlineStr">
        <is>
          <t>LJUSDAL</t>
        </is>
      </c>
      <c r="F938" t="inlineStr">
        <is>
          <t>Allmännings- och besparingsskogar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14473-2023</t>
        </is>
      </c>
      <c r="B939" s="1" t="n">
        <v>45012</v>
      </c>
      <c r="C939" s="1" t="n">
        <v>45181</v>
      </c>
      <c r="D939" t="inlineStr">
        <is>
          <t>GÄVLEBORGS LÄN</t>
        </is>
      </c>
      <c r="E939" t="inlineStr">
        <is>
          <t>LJUSDAL</t>
        </is>
      </c>
      <c r="F939" t="inlineStr">
        <is>
          <t>Kyrkan</t>
        </is>
      </c>
      <c r="G939" t="n">
        <v>5.1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14479-2023</t>
        </is>
      </c>
      <c r="B940" s="1" t="n">
        <v>45012</v>
      </c>
      <c r="C940" s="1" t="n">
        <v>45181</v>
      </c>
      <c r="D940" t="inlineStr">
        <is>
          <t>GÄVLEBORGS LÄN</t>
        </is>
      </c>
      <c r="E940" t="inlineStr">
        <is>
          <t>LJUSDAL</t>
        </is>
      </c>
      <c r="F940" t="inlineStr">
        <is>
          <t>Kyrkan</t>
        </is>
      </c>
      <c r="G940" t="n">
        <v>27.5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15171-2023</t>
        </is>
      </c>
      <c r="B941" s="1" t="n">
        <v>45016</v>
      </c>
      <c r="C941" s="1" t="n">
        <v>45181</v>
      </c>
      <c r="D941" t="inlineStr">
        <is>
          <t>GÄVLEBORGS LÄN</t>
        </is>
      </c>
      <c r="E941" t="inlineStr">
        <is>
          <t>LJUSDAL</t>
        </is>
      </c>
      <c r="G941" t="n">
        <v>1.8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15537-2023</t>
        </is>
      </c>
      <c r="B942" s="1" t="n">
        <v>45020</v>
      </c>
      <c r="C942" s="1" t="n">
        <v>45181</v>
      </c>
      <c r="D942" t="inlineStr">
        <is>
          <t>GÄVLEBORGS LÄN</t>
        </is>
      </c>
      <c r="E942" t="inlineStr">
        <is>
          <t>LJUSDAL</t>
        </is>
      </c>
      <c r="G942" t="n">
        <v>9.5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16047-2023</t>
        </is>
      </c>
      <c r="B943" s="1" t="n">
        <v>45027</v>
      </c>
      <c r="C943" s="1" t="n">
        <v>45181</v>
      </c>
      <c r="D943" t="inlineStr">
        <is>
          <t>GÄVLEBORGS LÄN</t>
        </is>
      </c>
      <c r="E943" t="inlineStr">
        <is>
          <t>LJUSDAL</t>
        </is>
      </c>
      <c r="F943" t="inlineStr">
        <is>
          <t>Holmen skog AB</t>
        </is>
      </c>
      <c r="G943" t="n">
        <v>8.300000000000001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16081-2023</t>
        </is>
      </c>
      <c r="B944" s="1" t="n">
        <v>45027</v>
      </c>
      <c r="C944" s="1" t="n">
        <v>45181</v>
      </c>
      <c r="D944" t="inlineStr">
        <is>
          <t>GÄVLEBORGS LÄN</t>
        </is>
      </c>
      <c r="E944" t="inlineStr">
        <is>
          <t>LJUSDAL</t>
        </is>
      </c>
      <c r="F944" t="inlineStr">
        <is>
          <t>Bergvik skog väst AB</t>
        </is>
      </c>
      <c r="G944" t="n">
        <v>46.6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16197-2023</t>
        </is>
      </c>
      <c r="B945" s="1" t="n">
        <v>45028</v>
      </c>
      <c r="C945" s="1" t="n">
        <v>45181</v>
      </c>
      <c r="D945" t="inlineStr">
        <is>
          <t>GÄVLEBORGS LÄN</t>
        </is>
      </c>
      <c r="E945" t="inlineStr">
        <is>
          <t>LJUSDAL</t>
        </is>
      </c>
      <c r="G945" t="n">
        <v>4.4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17004-2023</t>
        </is>
      </c>
      <c r="B946" s="1" t="n">
        <v>45033</v>
      </c>
      <c r="C946" s="1" t="n">
        <v>45181</v>
      </c>
      <c r="D946" t="inlineStr">
        <is>
          <t>GÄVLEBORGS LÄN</t>
        </is>
      </c>
      <c r="E946" t="inlineStr">
        <is>
          <t>LJUSDAL</t>
        </is>
      </c>
      <c r="F946" t="inlineStr">
        <is>
          <t>SCA</t>
        </is>
      </c>
      <c r="G946" t="n">
        <v>8.5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17499-2023</t>
        </is>
      </c>
      <c r="B947" s="1" t="n">
        <v>45036</v>
      </c>
      <c r="C947" s="1" t="n">
        <v>45181</v>
      </c>
      <c r="D947" t="inlineStr">
        <is>
          <t>GÄVLEBORGS LÄN</t>
        </is>
      </c>
      <c r="E947" t="inlineStr">
        <is>
          <t>LJUSDAL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17681-2023</t>
        </is>
      </c>
      <c r="B948" s="1" t="n">
        <v>45037</v>
      </c>
      <c r="C948" s="1" t="n">
        <v>45181</v>
      </c>
      <c r="D948" t="inlineStr">
        <is>
          <t>GÄVLEBORGS LÄN</t>
        </is>
      </c>
      <c r="E948" t="inlineStr">
        <is>
          <t>LJUSDAL</t>
        </is>
      </c>
      <c r="G948" t="n">
        <v>3.8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18221-2023</t>
        </is>
      </c>
      <c r="B949" s="1" t="n">
        <v>45041</v>
      </c>
      <c r="C949" s="1" t="n">
        <v>45181</v>
      </c>
      <c r="D949" t="inlineStr">
        <is>
          <t>GÄVLEBORGS LÄN</t>
        </is>
      </c>
      <c r="E949" t="inlineStr">
        <is>
          <t>LJUSDAL</t>
        </is>
      </c>
      <c r="F949" t="inlineStr">
        <is>
          <t>Bergvik skog väst AB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19022-2023</t>
        </is>
      </c>
      <c r="B950" s="1" t="n">
        <v>45047</v>
      </c>
      <c r="C950" s="1" t="n">
        <v>45181</v>
      </c>
      <c r="D950" t="inlineStr">
        <is>
          <t>GÄVLEBORGS LÄN</t>
        </is>
      </c>
      <c r="E950" t="inlineStr">
        <is>
          <t>LJUSDAL</t>
        </is>
      </c>
      <c r="G950" t="n">
        <v>2.8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20171-2023</t>
        </is>
      </c>
      <c r="B951" s="1" t="n">
        <v>45055</v>
      </c>
      <c r="C951" s="1" t="n">
        <v>45181</v>
      </c>
      <c r="D951" t="inlineStr">
        <is>
          <t>GÄVLEBORGS LÄN</t>
        </is>
      </c>
      <c r="E951" t="inlineStr">
        <is>
          <t>LJUSDAL</t>
        </is>
      </c>
      <c r="F951" t="inlineStr">
        <is>
          <t>Sveaskog</t>
        </is>
      </c>
      <c r="G951" t="n">
        <v>3.4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20412-2023</t>
        </is>
      </c>
      <c r="B952" s="1" t="n">
        <v>45056</v>
      </c>
      <c r="C952" s="1" t="n">
        <v>45181</v>
      </c>
      <c r="D952" t="inlineStr">
        <is>
          <t>GÄVLEBORGS LÄN</t>
        </is>
      </c>
      <c r="E952" t="inlineStr">
        <is>
          <t>LJUSDAL</t>
        </is>
      </c>
      <c r="F952" t="inlineStr">
        <is>
          <t>Bergvik skog väst AB</t>
        </is>
      </c>
      <c r="G952" t="n">
        <v>3.4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20646-2023</t>
        </is>
      </c>
      <c r="B953" s="1" t="n">
        <v>45058</v>
      </c>
      <c r="C953" s="1" t="n">
        <v>45181</v>
      </c>
      <c r="D953" t="inlineStr">
        <is>
          <t>GÄVLEBORGS LÄN</t>
        </is>
      </c>
      <c r="E953" t="inlineStr">
        <is>
          <t>LJUSDAL</t>
        </is>
      </c>
      <c r="G953" t="n">
        <v>4.9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20660-2023</t>
        </is>
      </c>
      <c r="B954" s="1" t="n">
        <v>45058</v>
      </c>
      <c r="C954" s="1" t="n">
        <v>45181</v>
      </c>
      <c r="D954" t="inlineStr">
        <is>
          <t>GÄVLEBORGS LÄN</t>
        </is>
      </c>
      <c r="E954" t="inlineStr">
        <is>
          <t>LJUSDAL</t>
        </is>
      </c>
      <c r="G954" t="n">
        <v>6.5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20909-2023</t>
        </is>
      </c>
      <c r="B955" s="1" t="n">
        <v>45060</v>
      </c>
      <c r="C955" s="1" t="n">
        <v>45181</v>
      </c>
      <c r="D955" t="inlineStr">
        <is>
          <t>GÄVLEBORGS LÄN</t>
        </is>
      </c>
      <c r="E955" t="inlineStr">
        <is>
          <t>LJUSDAL</t>
        </is>
      </c>
      <c r="G955" t="n">
        <v>5.3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20910-2023</t>
        </is>
      </c>
      <c r="B956" s="1" t="n">
        <v>45061</v>
      </c>
      <c r="C956" s="1" t="n">
        <v>45181</v>
      </c>
      <c r="D956" t="inlineStr">
        <is>
          <t>GÄVLEBORGS LÄN</t>
        </is>
      </c>
      <c r="E956" t="inlineStr">
        <is>
          <t>LJUSDAL</t>
        </is>
      </c>
      <c r="F956" t="inlineStr">
        <is>
          <t>Bergvik skog väst AB</t>
        </is>
      </c>
      <c r="G956" t="n">
        <v>0.9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20911-2023</t>
        </is>
      </c>
      <c r="B957" s="1" t="n">
        <v>45061</v>
      </c>
      <c r="C957" s="1" t="n">
        <v>45181</v>
      </c>
      <c r="D957" t="inlineStr">
        <is>
          <t>GÄVLEBORGS LÄN</t>
        </is>
      </c>
      <c r="E957" t="inlineStr">
        <is>
          <t>LJUSDAL</t>
        </is>
      </c>
      <c r="F957" t="inlineStr">
        <is>
          <t>Bergvik skog väst AB</t>
        </is>
      </c>
      <c r="G957" t="n">
        <v>1.2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20912-2023</t>
        </is>
      </c>
      <c r="B958" s="1" t="n">
        <v>45061</v>
      </c>
      <c r="C958" s="1" t="n">
        <v>45181</v>
      </c>
      <c r="D958" t="inlineStr">
        <is>
          <t>GÄVLEBORGS LÄN</t>
        </is>
      </c>
      <c r="E958" t="inlineStr">
        <is>
          <t>LJUSDAL</t>
        </is>
      </c>
      <c r="F958" t="inlineStr">
        <is>
          <t>Bergvik skog väst AB</t>
        </is>
      </c>
      <c r="G958" t="n">
        <v>1.7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21591-2023</t>
        </is>
      </c>
      <c r="B959" s="1" t="n">
        <v>45063</v>
      </c>
      <c r="C959" s="1" t="n">
        <v>45181</v>
      </c>
      <c r="D959" t="inlineStr">
        <is>
          <t>GÄVLEBORGS LÄN</t>
        </is>
      </c>
      <c r="E959" t="inlineStr">
        <is>
          <t>LJUSDAL</t>
        </is>
      </c>
      <c r="G959" t="n">
        <v>8.699999999999999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21742-2023</t>
        </is>
      </c>
      <c r="B960" s="1" t="n">
        <v>45065</v>
      </c>
      <c r="C960" s="1" t="n">
        <v>45181</v>
      </c>
      <c r="D960" t="inlineStr">
        <is>
          <t>GÄVLEBORGS LÄN</t>
        </is>
      </c>
      <c r="E960" t="inlineStr">
        <is>
          <t>LJUSDAL</t>
        </is>
      </c>
      <c r="F960" t="inlineStr">
        <is>
          <t>Allmännings- och besparingsskogar</t>
        </is>
      </c>
      <c r="G960" t="n">
        <v>17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21816-2023</t>
        </is>
      </c>
      <c r="B961" s="1" t="n">
        <v>45068</v>
      </c>
      <c r="C961" s="1" t="n">
        <v>45181</v>
      </c>
      <c r="D961" t="inlineStr">
        <is>
          <t>GÄVLEBORGS LÄN</t>
        </is>
      </c>
      <c r="E961" t="inlineStr">
        <is>
          <t>LJUSDAL</t>
        </is>
      </c>
      <c r="F961" t="inlineStr">
        <is>
          <t>Bergvik skog väst AB</t>
        </is>
      </c>
      <c r="G961" t="n">
        <v>4.2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21914-2023</t>
        </is>
      </c>
      <c r="B962" s="1" t="n">
        <v>45068</v>
      </c>
      <c r="C962" s="1" t="n">
        <v>45181</v>
      </c>
      <c r="D962" t="inlineStr">
        <is>
          <t>GÄVLEBORGS LÄN</t>
        </is>
      </c>
      <c r="E962" t="inlineStr">
        <is>
          <t>LJUSDAL</t>
        </is>
      </c>
      <c r="F962" t="inlineStr">
        <is>
          <t>Allmännings- och besparingsskogar</t>
        </is>
      </c>
      <c r="G962" t="n">
        <v>17.3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22066-2023</t>
        </is>
      </c>
      <c r="B963" s="1" t="n">
        <v>45069</v>
      </c>
      <c r="C963" s="1" t="n">
        <v>45181</v>
      </c>
      <c r="D963" t="inlineStr">
        <is>
          <t>GÄVLEBORGS LÄN</t>
        </is>
      </c>
      <c r="E963" t="inlineStr">
        <is>
          <t>LJUSDAL</t>
        </is>
      </c>
      <c r="F963" t="inlineStr">
        <is>
          <t>Allmännings- och besparingsskogar</t>
        </is>
      </c>
      <c r="G963" t="n">
        <v>3.9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22096-2023</t>
        </is>
      </c>
      <c r="B964" s="1" t="n">
        <v>45069</v>
      </c>
      <c r="C964" s="1" t="n">
        <v>45181</v>
      </c>
      <c r="D964" t="inlineStr">
        <is>
          <t>GÄVLEBORGS LÄN</t>
        </is>
      </c>
      <c r="E964" t="inlineStr">
        <is>
          <t>LJUSDAL</t>
        </is>
      </c>
      <c r="G964" t="n">
        <v>9.699999999999999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22039-2023</t>
        </is>
      </c>
      <c r="B965" s="1" t="n">
        <v>45069</v>
      </c>
      <c r="C965" s="1" t="n">
        <v>45181</v>
      </c>
      <c r="D965" t="inlineStr">
        <is>
          <t>GÄVLEBORGS LÄN</t>
        </is>
      </c>
      <c r="E965" t="inlineStr">
        <is>
          <t>LJUSDAL</t>
        </is>
      </c>
      <c r="G965" t="n">
        <v>2.6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22252-2023</t>
        </is>
      </c>
      <c r="B966" s="1" t="n">
        <v>45070</v>
      </c>
      <c r="C966" s="1" t="n">
        <v>45181</v>
      </c>
      <c r="D966" t="inlineStr">
        <is>
          <t>GÄVLEBORGS LÄN</t>
        </is>
      </c>
      <c r="E966" t="inlineStr">
        <is>
          <t>LJUSDAL</t>
        </is>
      </c>
      <c r="F966" t="inlineStr">
        <is>
          <t>Sveaskog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22276-2023</t>
        </is>
      </c>
      <c r="B967" s="1" t="n">
        <v>45070</v>
      </c>
      <c r="C967" s="1" t="n">
        <v>45181</v>
      </c>
      <c r="D967" t="inlineStr">
        <is>
          <t>GÄVLEBORGS LÄN</t>
        </is>
      </c>
      <c r="E967" t="inlineStr">
        <is>
          <t>LJUSDAL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22317-2023</t>
        </is>
      </c>
      <c r="B968" s="1" t="n">
        <v>45070</v>
      </c>
      <c r="C968" s="1" t="n">
        <v>45181</v>
      </c>
      <c r="D968" t="inlineStr">
        <is>
          <t>GÄVLEBORGS LÄN</t>
        </is>
      </c>
      <c r="E968" t="inlineStr">
        <is>
          <t>LJUSDAL</t>
        </is>
      </c>
      <c r="G968" t="n">
        <v>3.2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22251-2023</t>
        </is>
      </c>
      <c r="B969" s="1" t="n">
        <v>45070</v>
      </c>
      <c r="C969" s="1" t="n">
        <v>45181</v>
      </c>
      <c r="D969" t="inlineStr">
        <is>
          <t>GÄVLEBORGS LÄN</t>
        </is>
      </c>
      <c r="E969" t="inlineStr">
        <is>
          <t>LJUSDAL</t>
        </is>
      </c>
      <c r="G969" t="n">
        <v>1.7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22462-2023</t>
        </is>
      </c>
      <c r="B970" s="1" t="n">
        <v>45070</v>
      </c>
      <c r="C970" s="1" t="n">
        <v>45181</v>
      </c>
      <c r="D970" t="inlineStr">
        <is>
          <t>GÄVLEBORGS LÄN</t>
        </is>
      </c>
      <c r="E970" t="inlineStr">
        <is>
          <t>LJUSDAL</t>
        </is>
      </c>
      <c r="G970" t="n">
        <v>2.2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22629-2023</t>
        </is>
      </c>
      <c r="B971" s="1" t="n">
        <v>45071</v>
      </c>
      <c r="C971" s="1" t="n">
        <v>45181</v>
      </c>
      <c r="D971" t="inlineStr">
        <is>
          <t>GÄVLEBORGS LÄN</t>
        </is>
      </c>
      <c r="E971" t="inlineStr">
        <is>
          <t>LJUSDAL</t>
        </is>
      </c>
      <c r="F971" t="inlineStr">
        <is>
          <t>Bergvik skog väst AB</t>
        </is>
      </c>
      <c r="G971" t="n">
        <v>4.7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22678-2023</t>
        </is>
      </c>
      <c r="B972" s="1" t="n">
        <v>45071</v>
      </c>
      <c r="C972" s="1" t="n">
        <v>45181</v>
      </c>
      <c r="D972" t="inlineStr">
        <is>
          <t>GÄVLEBORGS LÄN</t>
        </is>
      </c>
      <c r="E972" t="inlineStr">
        <is>
          <t>LJUSDAL</t>
        </is>
      </c>
      <c r="G972" t="n">
        <v>0.1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22608-2023</t>
        </is>
      </c>
      <c r="B973" s="1" t="n">
        <v>45071</v>
      </c>
      <c r="C973" s="1" t="n">
        <v>45181</v>
      </c>
      <c r="D973" t="inlineStr">
        <is>
          <t>GÄVLEBORGS LÄN</t>
        </is>
      </c>
      <c r="E973" t="inlineStr">
        <is>
          <t>LJUSDAL</t>
        </is>
      </c>
      <c r="G973" t="n">
        <v>2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22558-2023</t>
        </is>
      </c>
      <c r="B974" s="1" t="n">
        <v>45071</v>
      </c>
      <c r="C974" s="1" t="n">
        <v>45181</v>
      </c>
      <c r="D974" t="inlineStr">
        <is>
          <t>GÄVLEBORGS LÄN</t>
        </is>
      </c>
      <c r="E974" t="inlineStr">
        <is>
          <t>LJUSDAL</t>
        </is>
      </c>
      <c r="G974" t="n">
        <v>0.5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22959-2023</t>
        </is>
      </c>
      <c r="B975" s="1" t="n">
        <v>45072</v>
      </c>
      <c r="C975" s="1" t="n">
        <v>45181</v>
      </c>
      <c r="D975" t="inlineStr">
        <is>
          <t>GÄVLEBORGS LÄN</t>
        </is>
      </c>
      <c r="E975" t="inlineStr">
        <is>
          <t>LJUSDAL</t>
        </is>
      </c>
      <c r="G975" t="n">
        <v>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23560-2023</t>
        </is>
      </c>
      <c r="B976" s="1" t="n">
        <v>45077</v>
      </c>
      <c r="C976" s="1" t="n">
        <v>45181</v>
      </c>
      <c r="D976" t="inlineStr">
        <is>
          <t>GÄVLEBORGS LÄN</t>
        </is>
      </c>
      <c r="E976" t="inlineStr">
        <is>
          <t>LJUSDAL</t>
        </is>
      </c>
      <c r="F976" t="inlineStr">
        <is>
          <t>Allmännings- och besparingsskogar</t>
        </is>
      </c>
      <c r="G976" t="n">
        <v>21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23846-2023</t>
        </is>
      </c>
      <c r="B977" s="1" t="n">
        <v>45078</v>
      </c>
      <c r="C977" s="1" t="n">
        <v>45181</v>
      </c>
      <c r="D977" t="inlineStr">
        <is>
          <t>GÄVLEBORGS LÄN</t>
        </is>
      </c>
      <c r="E977" t="inlineStr">
        <is>
          <t>LJUSDAL</t>
        </is>
      </c>
      <c r="F977" t="inlineStr">
        <is>
          <t>Allmännings- och besparingsskogar</t>
        </is>
      </c>
      <c r="G977" t="n">
        <v>6.8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23930-2023</t>
        </is>
      </c>
      <c r="B978" s="1" t="n">
        <v>45078</v>
      </c>
      <c r="C978" s="1" t="n">
        <v>45181</v>
      </c>
      <c r="D978" t="inlineStr">
        <is>
          <t>GÄVLEBORGS LÄN</t>
        </is>
      </c>
      <c r="E978" t="inlineStr">
        <is>
          <t>LJUSDAL</t>
        </is>
      </c>
      <c r="G978" t="n">
        <v>3.8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23961-2023</t>
        </is>
      </c>
      <c r="B979" s="1" t="n">
        <v>45078</v>
      </c>
      <c r="C979" s="1" t="n">
        <v>45181</v>
      </c>
      <c r="D979" t="inlineStr">
        <is>
          <t>GÄVLEBORGS LÄN</t>
        </is>
      </c>
      <c r="E979" t="inlineStr">
        <is>
          <t>LJUSDAL</t>
        </is>
      </c>
      <c r="G979" t="n">
        <v>22.5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24190-2023</t>
        </is>
      </c>
      <c r="B980" s="1" t="n">
        <v>45079</v>
      </c>
      <c r="C980" s="1" t="n">
        <v>45181</v>
      </c>
      <c r="D980" t="inlineStr">
        <is>
          <t>GÄVLEBORGS LÄN</t>
        </is>
      </c>
      <c r="E980" t="inlineStr">
        <is>
          <t>LJUSDAL</t>
        </is>
      </c>
      <c r="G980" t="n">
        <v>5.9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24654-2023</t>
        </is>
      </c>
      <c r="B981" s="1" t="n">
        <v>45084</v>
      </c>
      <c r="C981" s="1" t="n">
        <v>45181</v>
      </c>
      <c r="D981" t="inlineStr">
        <is>
          <t>GÄVLEBORGS LÄN</t>
        </is>
      </c>
      <c r="E981" t="inlineStr">
        <is>
          <t>LJUSDAL</t>
        </is>
      </c>
      <c r="F981" t="inlineStr">
        <is>
          <t>Sveaskog</t>
        </is>
      </c>
      <c r="G981" t="n">
        <v>28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25822-2023</t>
        </is>
      </c>
      <c r="B982" s="1" t="n">
        <v>45090</v>
      </c>
      <c r="C982" s="1" t="n">
        <v>45181</v>
      </c>
      <c r="D982" t="inlineStr">
        <is>
          <t>GÄVLEBORGS LÄN</t>
        </is>
      </c>
      <c r="E982" t="inlineStr">
        <is>
          <t>LJUSDAL</t>
        </is>
      </c>
      <c r="F982" t="inlineStr">
        <is>
          <t>Allmännings- och besparingsskogar</t>
        </is>
      </c>
      <c r="G982" t="n">
        <v>1.3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25992-2023</t>
        </is>
      </c>
      <c r="B983" s="1" t="n">
        <v>45090</v>
      </c>
      <c r="C983" s="1" t="n">
        <v>45181</v>
      </c>
      <c r="D983" t="inlineStr">
        <is>
          <t>GÄVLEBORGS LÄN</t>
        </is>
      </c>
      <c r="E983" t="inlineStr">
        <is>
          <t>LJUSDAL</t>
        </is>
      </c>
      <c r="G983" t="n">
        <v>3.8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26510-2023</t>
        </is>
      </c>
      <c r="B984" s="1" t="n">
        <v>45092</v>
      </c>
      <c r="C984" s="1" t="n">
        <v>45181</v>
      </c>
      <c r="D984" t="inlineStr">
        <is>
          <t>GÄVLEBORGS LÄN</t>
        </is>
      </c>
      <c r="E984" t="inlineStr">
        <is>
          <t>LJUSDAL</t>
        </is>
      </c>
      <c r="F984" t="inlineStr">
        <is>
          <t>Sveaskog</t>
        </is>
      </c>
      <c r="G984" t="n">
        <v>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26539-2023</t>
        </is>
      </c>
      <c r="B985" s="1" t="n">
        <v>45092</v>
      </c>
      <c r="C985" s="1" t="n">
        <v>45181</v>
      </c>
      <c r="D985" t="inlineStr">
        <is>
          <t>GÄVLEBORGS LÄN</t>
        </is>
      </c>
      <c r="E985" t="inlineStr">
        <is>
          <t>LJUSDAL</t>
        </is>
      </c>
      <c r="F985" t="inlineStr">
        <is>
          <t>Sveaskog</t>
        </is>
      </c>
      <c r="G985" t="n">
        <v>11.4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26502-2023</t>
        </is>
      </c>
      <c r="B986" s="1" t="n">
        <v>45092</v>
      </c>
      <c r="C986" s="1" t="n">
        <v>45181</v>
      </c>
      <c r="D986" t="inlineStr">
        <is>
          <t>GÄVLEBORGS LÄN</t>
        </is>
      </c>
      <c r="E986" t="inlineStr">
        <is>
          <t>LJUSDAL</t>
        </is>
      </c>
      <c r="F986" t="inlineStr">
        <is>
          <t>Sveaskog</t>
        </is>
      </c>
      <c r="G986" t="n">
        <v>1.7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26503-2023</t>
        </is>
      </c>
      <c r="B987" s="1" t="n">
        <v>45092</v>
      </c>
      <c r="C987" s="1" t="n">
        <v>45181</v>
      </c>
      <c r="D987" t="inlineStr">
        <is>
          <t>GÄVLEBORGS LÄN</t>
        </is>
      </c>
      <c r="E987" t="inlineStr">
        <is>
          <t>LJUSDAL</t>
        </is>
      </c>
      <c r="F987" t="inlineStr">
        <is>
          <t>Sveaskog</t>
        </is>
      </c>
      <c r="G987" t="n">
        <v>8.199999999999999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26781-2023</t>
        </is>
      </c>
      <c r="B988" s="1" t="n">
        <v>45093</v>
      </c>
      <c r="C988" s="1" t="n">
        <v>45181</v>
      </c>
      <c r="D988" t="inlineStr">
        <is>
          <t>GÄVLEBORGS LÄN</t>
        </is>
      </c>
      <c r="E988" t="inlineStr">
        <is>
          <t>LJUSDAL</t>
        </is>
      </c>
      <c r="F988" t="inlineStr">
        <is>
          <t>Sveaskog</t>
        </is>
      </c>
      <c r="G988" t="n">
        <v>3.1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27564-2023</t>
        </is>
      </c>
      <c r="B989" s="1" t="n">
        <v>45097</v>
      </c>
      <c r="C989" s="1" t="n">
        <v>45181</v>
      </c>
      <c r="D989" t="inlineStr">
        <is>
          <t>GÄVLEBORGS LÄN</t>
        </is>
      </c>
      <c r="E989" t="inlineStr">
        <is>
          <t>LJUSDAL</t>
        </is>
      </c>
      <c r="F989" t="inlineStr">
        <is>
          <t>Holmen skog AB</t>
        </is>
      </c>
      <c r="G989" t="n">
        <v>9.4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27460-2023</t>
        </is>
      </c>
      <c r="B990" s="1" t="n">
        <v>45097</v>
      </c>
      <c r="C990" s="1" t="n">
        <v>45181</v>
      </c>
      <c r="D990" t="inlineStr">
        <is>
          <t>GÄVLEBORGS LÄN</t>
        </is>
      </c>
      <c r="E990" t="inlineStr">
        <is>
          <t>LJUSDAL</t>
        </is>
      </c>
      <c r="G990" t="n">
        <v>3.7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27490-2023</t>
        </is>
      </c>
      <c r="B991" s="1" t="n">
        <v>45097</v>
      </c>
      <c r="C991" s="1" t="n">
        <v>45181</v>
      </c>
      <c r="D991" t="inlineStr">
        <is>
          <t>GÄVLEBORGS LÄN</t>
        </is>
      </c>
      <c r="E991" t="inlineStr">
        <is>
          <t>LJUSDAL</t>
        </is>
      </c>
      <c r="G991" t="n">
        <v>3.7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27512-2023</t>
        </is>
      </c>
      <c r="B992" s="1" t="n">
        <v>45097</v>
      </c>
      <c r="C992" s="1" t="n">
        <v>45181</v>
      </c>
      <c r="D992" t="inlineStr">
        <is>
          <t>GÄVLEBORGS LÄN</t>
        </is>
      </c>
      <c r="E992" t="inlineStr">
        <is>
          <t>LJUSDAL</t>
        </is>
      </c>
      <c r="F992" t="inlineStr">
        <is>
          <t>Holmen skog AB</t>
        </is>
      </c>
      <c r="G992" t="n">
        <v>1.1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27497-2023</t>
        </is>
      </c>
      <c r="B993" s="1" t="n">
        <v>45097</v>
      </c>
      <c r="C993" s="1" t="n">
        <v>45181</v>
      </c>
      <c r="D993" t="inlineStr">
        <is>
          <t>GÄVLEBORGS LÄN</t>
        </is>
      </c>
      <c r="E993" t="inlineStr">
        <is>
          <t>LJUSDAL</t>
        </is>
      </c>
      <c r="F993" t="inlineStr">
        <is>
          <t>Bergvik skog väst AB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27777-2023</t>
        </is>
      </c>
      <c r="B994" s="1" t="n">
        <v>45098</v>
      </c>
      <c r="C994" s="1" t="n">
        <v>45181</v>
      </c>
      <c r="D994" t="inlineStr">
        <is>
          <t>GÄVLEBORGS LÄN</t>
        </is>
      </c>
      <c r="E994" t="inlineStr">
        <is>
          <t>LJUSDAL</t>
        </is>
      </c>
      <c r="F994" t="inlineStr">
        <is>
          <t>Bergvik skog väst AB</t>
        </is>
      </c>
      <c r="G994" t="n">
        <v>1.8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29845-2023</t>
        </is>
      </c>
      <c r="B995" s="1" t="n">
        <v>45099</v>
      </c>
      <c r="C995" s="1" t="n">
        <v>45181</v>
      </c>
      <c r="D995" t="inlineStr">
        <is>
          <t>GÄVLEBORGS LÄN</t>
        </is>
      </c>
      <c r="E995" t="inlineStr">
        <is>
          <t>LJUSDAL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29807-2023</t>
        </is>
      </c>
      <c r="B996" s="1" t="n">
        <v>45099</v>
      </c>
      <c r="C996" s="1" t="n">
        <v>45181</v>
      </c>
      <c r="D996" t="inlineStr">
        <is>
          <t>GÄVLEBORGS LÄN</t>
        </is>
      </c>
      <c r="E996" t="inlineStr">
        <is>
          <t>LJUSDAL</t>
        </is>
      </c>
      <c r="G996" t="n">
        <v>0.8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29831-2023</t>
        </is>
      </c>
      <c r="B997" s="1" t="n">
        <v>45099</v>
      </c>
      <c r="C997" s="1" t="n">
        <v>45181</v>
      </c>
      <c r="D997" t="inlineStr">
        <is>
          <t>GÄVLEBORGS LÄN</t>
        </is>
      </c>
      <c r="E997" t="inlineStr">
        <is>
          <t>LJUSDAL</t>
        </is>
      </c>
      <c r="G997" t="n">
        <v>0.8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28114-2023</t>
        </is>
      </c>
      <c r="B998" s="1" t="n">
        <v>45099</v>
      </c>
      <c r="C998" s="1" t="n">
        <v>45181</v>
      </c>
      <c r="D998" t="inlineStr">
        <is>
          <t>GÄVLEBORGS LÄN</t>
        </is>
      </c>
      <c r="E998" t="inlineStr">
        <is>
          <t>LJUSDAL</t>
        </is>
      </c>
      <c r="G998" t="n">
        <v>2.6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29841-2023</t>
        </is>
      </c>
      <c r="B999" s="1" t="n">
        <v>45099</v>
      </c>
      <c r="C999" s="1" t="n">
        <v>45181</v>
      </c>
      <c r="D999" t="inlineStr">
        <is>
          <t>GÄVLEBORGS LÄN</t>
        </is>
      </c>
      <c r="E999" t="inlineStr">
        <is>
          <t>LJUSDAL</t>
        </is>
      </c>
      <c r="G999" t="n">
        <v>0.8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28865-2023</t>
        </is>
      </c>
      <c r="B1000" s="1" t="n">
        <v>45104</v>
      </c>
      <c r="C1000" s="1" t="n">
        <v>45181</v>
      </c>
      <c r="D1000" t="inlineStr">
        <is>
          <t>GÄVLEBORGS LÄN</t>
        </is>
      </c>
      <c r="E1000" t="inlineStr">
        <is>
          <t>LJUSDAL</t>
        </is>
      </c>
      <c r="G1000" t="n">
        <v>3.1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29238-2023</t>
        </is>
      </c>
      <c r="B1001" s="1" t="n">
        <v>45105</v>
      </c>
      <c r="C1001" s="1" t="n">
        <v>45181</v>
      </c>
      <c r="D1001" t="inlineStr">
        <is>
          <t>GÄVLEBORGS LÄN</t>
        </is>
      </c>
      <c r="E1001" t="inlineStr">
        <is>
          <t>LJUSDAL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29439-2023</t>
        </is>
      </c>
      <c r="B1002" s="1" t="n">
        <v>45106</v>
      </c>
      <c r="C1002" s="1" t="n">
        <v>45181</v>
      </c>
      <c r="D1002" t="inlineStr">
        <is>
          <t>GÄVLEBORGS LÄN</t>
        </is>
      </c>
      <c r="E1002" t="inlineStr">
        <is>
          <t>LJUSDAL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32293-2023</t>
        </is>
      </c>
      <c r="B1003" s="1" t="n">
        <v>45107</v>
      </c>
      <c r="C1003" s="1" t="n">
        <v>45181</v>
      </c>
      <c r="D1003" t="inlineStr">
        <is>
          <t>GÄVLEBORGS LÄN</t>
        </is>
      </c>
      <c r="E1003" t="inlineStr">
        <is>
          <t>LJUSDAL</t>
        </is>
      </c>
      <c r="G1003" t="n">
        <v>1.4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32287-2023</t>
        </is>
      </c>
      <c r="B1004" s="1" t="n">
        <v>45107</v>
      </c>
      <c r="C1004" s="1" t="n">
        <v>45181</v>
      </c>
      <c r="D1004" t="inlineStr">
        <is>
          <t>GÄVLEBORGS LÄN</t>
        </is>
      </c>
      <c r="E1004" t="inlineStr">
        <is>
          <t>LJUSDAL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29928-2023</t>
        </is>
      </c>
      <c r="B1005" s="1" t="n">
        <v>45107</v>
      </c>
      <c r="C1005" s="1" t="n">
        <v>45181</v>
      </c>
      <c r="D1005" t="inlineStr">
        <is>
          <t>GÄVLEBORGS LÄN</t>
        </is>
      </c>
      <c r="E1005" t="inlineStr">
        <is>
          <t>LJUSDAL</t>
        </is>
      </c>
      <c r="F1005" t="inlineStr">
        <is>
          <t>Sveaskog</t>
        </is>
      </c>
      <c r="G1005" t="n">
        <v>24.2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32289-2023</t>
        </is>
      </c>
      <c r="B1006" s="1" t="n">
        <v>45107</v>
      </c>
      <c r="C1006" s="1" t="n">
        <v>45181</v>
      </c>
      <c r="D1006" t="inlineStr">
        <is>
          <t>GÄVLEBORGS LÄN</t>
        </is>
      </c>
      <c r="E1006" t="inlineStr">
        <is>
          <t>LJUSDAL</t>
        </is>
      </c>
      <c r="G1006" t="n">
        <v>0.7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32294-2023</t>
        </is>
      </c>
      <c r="B1007" s="1" t="n">
        <v>45107</v>
      </c>
      <c r="C1007" s="1" t="n">
        <v>45181</v>
      </c>
      <c r="D1007" t="inlineStr">
        <is>
          <t>GÄVLEBORGS LÄN</t>
        </is>
      </c>
      <c r="E1007" t="inlineStr">
        <is>
          <t>LJUSDAL</t>
        </is>
      </c>
      <c r="G1007" t="n">
        <v>0.8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30061-2023</t>
        </is>
      </c>
      <c r="B1008" s="1" t="n">
        <v>45110</v>
      </c>
      <c r="C1008" s="1" t="n">
        <v>45181</v>
      </c>
      <c r="D1008" t="inlineStr">
        <is>
          <t>GÄVLEBORGS LÄN</t>
        </is>
      </c>
      <c r="E1008" t="inlineStr">
        <is>
          <t>LJUSDAL</t>
        </is>
      </c>
      <c r="G1008" t="n">
        <v>2.8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30245-2023</t>
        </is>
      </c>
      <c r="B1009" s="1" t="n">
        <v>45110</v>
      </c>
      <c r="C1009" s="1" t="n">
        <v>45181</v>
      </c>
      <c r="D1009" t="inlineStr">
        <is>
          <t>GÄVLEBORGS LÄN</t>
        </is>
      </c>
      <c r="E1009" t="inlineStr">
        <is>
          <t>LJUSDAL</t>
        </is>
      </c>
      <c r="F1009" t="inlineStr">
        <is>
          <t>Sveaskog</t>
        </is>
      </c>
      <c r="G1009" t="n">
        <v>32.1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30622-2023</t>
        </is>
      </c>
      <c r="B1010" s="1" t="n">
        <v>45112</v>
      </c>
      <c r="C1010" s="1" t="n">
        <v>45181</v>
      </c>
      <c r="D1010" t="inlineStr">
        <is>
          <t>GÄVLEBORGS LÄN</t>
        </is>
      </c>
      <c r="E1010" t="inlineStr">
        <is>
          <t>LJUSDAL</t>
        </is>
      </c>
      <c r="G1010" t="n">
        <v>4.4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30669-2023</t>
        </is>
      </c>
      <c r="B1011" s="1" t="n">
        <v>45112</v>
      </c>
      <c r="C1011" s="1" t="n">
        <v>45181</v>
      </c>
      <c r="D1011" t="inlineStr">
        <is>
          <t>GÄVLEBORGS LÄN</t>
        </is>
      </c>
      <c r="E1011" t="inlineStr">
        <is>
          <t>LJUSDAL</t>
        </is>
      </c>
      <c r="F1011" t="inlineStr">
        <is>
          <t>Allmännings- och besparingsskogar</t>
        </is>
      </c>
      <c r="G1011" t="n">
        <v>35.5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30973-2023</t>
        </is>
      </c>
      <c r="B1012" s="1" t="n">
        <v>45113</v>
      </c>
      <c r="C1012" s="1" t="n">
        <v>45181</v>
      </c>
      <c r="D1012" t="inlineStr">
        <is>
          <t>GÄVLEBORGS LÄN</t>
        </is>
      </c>
      <c r="E1012" t="inlineStr">
        <is>
          <t>LJUSDAL</t>
        </is>
      </c>
      <c r="G1012" t="n">
        <v>2.1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30913-2023</t>
        </is>
      </c>
      <c r="B1013" s="1" t="n">
        <v>45113</v>
      </c>
      <c r="C1013" s="1" t="n">
        <v>45181</v>
      </c>
      <c r="D1013" t="inlineStr">
        <is>
          <t>GÄVLEBORGS LÄN</t>
        </is>
      </c>
      <c r="E1013" t="inlineStr">
        <is>
          <t>LJUSDAL</t>
        </is>
      </c>
      <c r="G1013" t="n">
        <v>1.5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31473-2023</t>
        </is>
      </c>
      <c r="B1014" s="1" t="n">
        <v>45114</v>
      </c>
      <c r="C1014" s="1" t="n">
        <v>45181</v>
      </c>
      <c r="D1014" t="inlineStr">
        <is>
          <t>GÄVLEBORGS LÄN</t>
        </is>
      </c>
      <c r="E1014" t="inlineStr">
        <is>
          <t>LJUSDAL</t>
        </is>
      </c>
      <c r="F1014" t="inlineStr">
        <is>
          <t>Sveaskog</t>
        </is>
      </c>
      <c r="G1014" t="n">
        <v>15.5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31890-2023</t>
        </is>
      </c>
      <c r="B1015" s="1" t="n">
        <v>45118</v>
      </c>
      <c r="C1015" s="1" t="n">
        <v>45181</v>
      </c>
      <c r="D1015" t="inlineStr">
        <is>
          <t>GÄVLEBORGS LÄN</t>
        </is>
      </c>
      <c r="E1015" t="inlineStr">
        <is>
          <t>LJUSDAL</t>
        </is>
      </c>
      <c r="G1015" t="n">
        <v>0.8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31892-2023</t>
        </is>
      </c>
      <c r="B1016" s="1" t="n">
        <v>45118</v>
      </c>
      <c r="C1016" s="1" t="n">
        <v>45181</v>
      </c>
      <c r="D1016" t="inlineStr">
        <is>
          <t>GÄVLEBORGS LÄN</t>
        </is>
      </c>
      <c r="E1016" t="inlineStr">
        <is>
          <t>LJUSDAL</t>
        </is>
      </c>
      <c r="G1016" t="n">
        <v>1.5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32098-2023</t>
        </is>
      </c>
      <c r="B1017" s="1" t="n">
        <v>45119</v>
      </c>
      <c r="C1017" s="1" t="n">
        <v>45181</v>
      </c>
      <c r="D1017" t="inlineStr">
        <is>
          <t>GÄVLEBORGS LÄN</t>
        </is>
      </c>
      <c r="E1017" t="inlineStr">
        <is>
          <t>LJUSDAL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32130-2023</t>
        </is>
      </c>
      <c r="B1018" s="1" t="n">
        <v>45119</v>
      </c>
      <c r="C1018" s="1" t="n">
        <v>45181</v>
      </c>
      <c r="D1018" t="inlineStr">
        <is>
          <t>GÄVLEBORGS LÄN</t>
        </is>
      </c>
      <c r="E1018" t="inlineStr">
        <is>
          <t>LJUSDAL</t>
        </is>
      </c>
      <c r="G1018" t="n">
        <v>2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32502-2023</t>
        </is>
      </c>
      <c r="B1019" s="1" t="n">
        <v>45121</v>
      </c>
      <c r="C1019" s="1" t="n">
        <v>45181</v>
      </c>
      <c r="D1019" t="inlineStr">
        <is>
          <t>GÄVLEBORGS LÄN</t>
        </is>
      </c>
      <c r="E1019" t="inlineStr">
        <is>
          <t>LJUSDAL</t>
        </is>
      </c>
      <c r="F1019" t="inlineStr">
        <is>
          <t>Sveaskog</t>
        </is>
      </c>
      <c r="G1019" t="n">
        <v>9.199999999999999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34040-2023</t>
        </is>
      </c>
      <c r="B1020" s="1" t="n">
        <v>45124</v>
      </c>
      <c r="C1020" s="1" t="n">
        <v>45181</v>
      </c>
      <c r="D1020" t="inlineStr">
        <is>
          <t>GÄVLEBORGS LÄN</t>
        </is>
      </c>
      <c r="E1020" t="inlineStr">
        <is>
          <t>LJUSDAL</t>
        </is>
      </c>
      <c r="F1020" t="inlineStr">
        <is>
          <t>SCA</t>
        </is>
      </c>
      <c r="G1020" t="n">
        <v>18.4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32947-2023</t>
        </is>
      </c>
      <c r="B1021" s="1" t="n">
        <v>45125</v>
      </c>
      <c r="C1021" s="1" t="n">
        <v>45181</v>
      </c>
      <c r="D1021" t="inlineStr">
        <is>
          <t>GÄVLEBORGS LÄN</t>
        </is>
      </c>
      <c r="E1021" t="inlineStr">
        <is>
          <t>LJUSDAL</t>
        </is>
      </c>
      <c r="G1021" t="n">
        <v>11.5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32943-2023</t>
        </is>
      </c>
      <c r="B1022" s="1" t="n">
        <v>45125</v>
      </c>
      <c r="C1022" s="1" t="n">
        <v>45181</v>
      </c>
      <c r="D1022" t="inlineStr">
        <is>
          <t>GÄVLEBORGS LÄN</t>
        </is>
      </c>
      <c r="E1022" t="inlineStr">
        <is>
          <t>LJUSDAL</t>
        </is>
      </c>
      <c r="G1022" t="n">
        <v>0.5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32986-2023</t>
        </is>
      </c>
      <c r="B1023" s="1" t="n">
        <v>45125</v>
      </c>
      <c r="C1023" s="1" t="n">
        <v>45181</v>
      </c>
      <c r="D1023" t="inlineStr">
        <is>
          <t>GÄVLEBORGS LÄN</t>
        </is>
      </c>
      <c r="E1023" t="inlineStr">
        <is>
          <t>LJUSDAL</t>
        </is>
      </c>
      <c r="F1023" t="inlineStr">
        <is>
          <t>Allmännings- och besparingsskogar</t>
        </is>
      </c>
      <c r="G1023" t="n">
        <v>15.1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32941-2023</t>
        </is>
      </c>
      <c r="B1024" s="1" t="n">
        <v>45125</v>
      </c>
      <c r="C1024" s="1" t="n">
        <v>45181</v>
      </c>
      <c r="D1024" t="inlineStr">
        <is>
          <t>GÄVLEBORGS LÄN</t>
        </is>
      </c>
      <c r="E1024" t="inlineStr">
        <is>
          <t>LJUSDAL</t>
        </is>
      </c>
      <c r="G1024" t="n">
        <v>1.4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33199-2023</t>
        </is>
      </c>
      <c r="B1025" s="1" t="n">
        <v>45127</v>
      </c>
      <c r="C1025" s="1" t="n">
        <v>45181</v>
      </c>
      <c r="D1025" t="inlineStr">
        <is>
          <t>GÄVLEBORGS LÄN</t>
        </is>
      </c>
      <c r="E1025" t="inlineStr">
        <is>
          <t>LJUSDAL</t>
        </is>
      </c>
      <c r="F1025" t="inlineStr">
        <is>
          <t>Bergvik skog väst AB</t>
        </is>
      </c>
      <c r="G1025" t="n">
        <v>6.7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33198-2023</t>
        </is>
      </c>
      <c r="B1026" s="1" t="n">
        <v>45127</v>
      </c>
      <c r="C1026" s="1" t="n">
        <v>45181</v>
      </c>
      <c r="D1026" t="inlineStr">
        <is>
          <t>GÄVLEBORGS LÄN</t>
        </is>
      </c>
      <c r="E1026" t="inlineStr">
        <is>
          <t>LJUSDAL</t>
        </is>
      </c>
      <c r="F1026" t="inlineStr">
        <is>
          <t>Bergvik skog väst AB</t>
        </is>
      </c>
      <c r="G1026" t="n">
        <v>2.2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34228-2023</t>
        </is>
      </c>
      <c r="B1027" s="1" t="n">
        <v>45127</v>
      </c>
      <c r="C1027" s="1" t="n">
        <v>45181</v>
      </c>
      <c r="D1027" t="inlineStr">
        <is>
          <t>GÄVLEBORGS LÄN</t>
        </is>
      </c>
      <c r="E1027" t="inlineStr">
        <is>
          <t>LJUSDAL</t>
        </is>
      </c>
      <c r="G1027" t="n">
        <v>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33200-2023</t>
        </is>
      </c>
      <c r="B1028" s="1" t="n">
        <v>45127</v>
      </c>
      <c r="C1028" s="1" t="n">
        <v>45181</v>
      </c>
      <c r="D1028" t="inlineStr">
        <is>
          <t>GÄVLEBORGS LÄN</t>
        </is>
      </c>
      <c r="E1028" t="inlineStr">
        <is>
          <t>LJUSDAL</t>
        </is>
      </c>
      <c r="F1028" t="inlineStr">
        <is>
          <t>Bergvik skog väst AB</t>
        </is>
      </c>
      <c r="G1028" t="n">
        <v>9.9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34814-2023</t>
        </is>
      </c>
      <c r="B1029" s="1" t="n">
        <v>45141</v>
      </c>
      <c r="C1029" s="1" t="n">
        <v>45181</v>
      </c>
      <c r="D1029" t="inlineStr">
        <is>
          <t>GÄVLEBORGS LÄN</t>
        </is>
      </c>
      <c r="E1029" t="inlineStr">
        <is>
          <t>LJUSDAL</t>
        </is>
      </c>
      <c r="G1029" t="n">
        <v>5.8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34974-2023</t>
        </is>
      </c>
      <c r="B1030" s="1" t="n">
        <v>45142</v>
      </c>
      <c r="C1030" s="1" t="n">
        <v>45181</v>
      </c>
      <c r="D1030" t="inlineStr">
        <is>
          <t>GÄVLEBORGS LÄN</t>
        </is>
      </c>
      <c r="E1030" t="inlineStr">
        <is>
          <t>LJUSDAL</t>
        </is>
      </c>
      <c r="G1030" t="n">
        <v>7.2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35154-2023</t>
        </is>
      </c>
      <c r="B1031" s="1" t="n">
        <v>45145</v>
      </c>
      <c r="C1031" s="1" t="n">
        <v>45181</v>
      </c>
      <c r="D1031" t="inlineStr">
        <is>
          <t>GÄVLEBORGS LÄN</t>
        </is>
      </c>
      <c r="E1031" t="inlineStr">
        <is>
          <t>LJUSDAL</t>
        </is>
      </c>
      <c r="G1031" t="n">
        <v>2.3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35373-2023</t>
        </is>
      </c>
      <c r="B1032" s="1" t="n">
        <v>45145</v>
      </c>
      <c r="C1032" s="1" t="n">
        <v>45181</v>
      </c>
      <c r="D1032" t="inlineStr">
        <is>
          <t>GÄVLEBORGS LÄN</t>
        </is>
      </c>
      <c r="E1032" t="inlineStr">
        <is>
          <t>LJUSDAL</t>
        </is>
      </c>
      <c r="G1032" t="n">
        <v>1.6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35683-2023</t>
        </is>
      </c>
      <c r="B1033" s="1" t="n">
        <v>45147</v>
      </c>
      <c r="C1033" s="1" t="n">
        <v>45181</v>
      </c>
      <c r="D1033" t="inlineStr">
        <is>
          <t>GÄVLEBORGS LÄN</t>
        </is>
      </c>
      <c r="E1033" t="inlineStr">
        <is>
          <t>LJUSDAL</t>
        </is>
      </c>
      <c r="G1033" t="n">
        <v>2.9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35782-2023</t>
        </is>
      </c>
      <c r="B1034" s="1" t="n">
        <v>45148</v>
      </c>
      <c r="C1034" s="1" t="n">
        <v>45181</v>
      </c>
      <c r="D1034" t="inlineStr">
        <is>
          <t>GÄVLEBORGS LÄN</t>
        </is>
      </c>
      <c r="E1034" t="inlineStr">
        <is>
          <t>LJUSDAL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35877-2023</t>
        </is>
      </c>
      <c r="B1035" s="1" t="n">
        <v>45148</v>
      </c>
      <c r="C1035" s="1" t="n">
        <v>45181</v>
      </c>
      <c r="D1035" t="inlineStr">
        <is>
          <t>GÄVLEBORGS LÄN</t>
        </is>
      </c>
      <c r="E1035" t="inlineStr">
        <is>
          <t>LJUSDAL</t>
        </is>
      </c>
      <c r="G1035" t="n">
        <v>1.1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37633-2023</t>
        </is>
      </c>
      <c r="B1036" s="1" t="n">
        <v>45159</v>
      </c>
      <c r="C1036" s="1" t="n">
        <v>45181</v>
      </c>
      <c r="D1036" t="inlineStr">
        <is>
          <t>GÄVLEBORGS LÄN</t>
        </is>
      </c>
      <c r="E1036" t="inlineStr">
        <is>
          <t>LJUSDAL</t>
        </is>
      </c>
      <c r="F1036" t="inlineStr">
        <is>
          <t>Holmen skog AB</t>
        </is>
      </c>
      <c r="G1036" t="n">
        <v>13.6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37599-2023</t>
        </is>
      </c>
      <c r="B1037" s="1" t="n">
        <v>45159</v>
      </c>
      <c r="C1037" s="1" t="n">
        <v>45181</v>
      </c>
      <c r="D1037" t="inlineStr">
        <is>
          <t>GÄVLEBORGS LÄN</t>
        </is>
      </c>
      <c r="E1037" t="inlineStr">
        <is>
          <t>LJUSDAL</t>
        </is>
      </c>
      <c r="F1037" t="inlineStr">
        <is>
          <t>Holmen skog AB</t>
        </is>
      </c>
      <c r="G1037" t="n">
        <v>5.9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38027-2023</t>
        </is>
      </c>
      <c r="B1038" s="1" t="n">
        <v>45160</v>
      </c>
      <c r="C1038" s="1" t="n">
        <v>45181</v>
      </c>
      <c r="D1038" t="inlineStr">
        <is>
          <t>GÄVLEBORGS LÄN</t>
        </is>
      </c>
      <c r="E1038" t="inlineStr">
        <is>
          <t>LJUSDAL</t>
        </is>
      </c>
      <c r="F1038" t="inlineStr">
        <is>
          <t>Holmen skog AB</t>
        </is>
      </c>
      <c r="G1038" t="n">
        <v>5.8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38014-2023</t>
        </is>
      </c>
      <c r="B1039" s="1" t="n">
        <v>45160</v>
      </c>
      <c r="C1039" s="1" t="n">
        <v>45181</v>
      </c>
      <c r="D1039" t="inlineStr">
        <is>
          <t>GÄVLEBORGS LÄN</t>
        </is>
      </c>
      <c r="E1039" t="inlineStr">
        <is>
          <t>LJUSDAL</t>
        </is>
      </c>
      <c r="F1039" t="inlineStr">
        <is>
          <t>Holmen skog AB</t>
        </is>
      </c>
      <c r="G1039" t="n">
        <v>2.4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38518-2023</t>
        </is>
      </c>
      <c r="B1040" s="1" t="n">
        <v>45162</v>
      </c>
      <c r="C1040" s="1" t="n">
        <v>45181</v>
      </c>
      <c r="D1040" t="inlineStr">
        <is>
          <t>GÄVLEBORGS LÄN</t>
        </is>
      </c>
      <c r="E1040" t="inlineStr">
        <is>
          <t>LJUSDAL</t>
        </is>
      </c>
      <c r="G1040" t="n">
        <v>4.7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39738-2023</t>
        </is>
      </c>
      <c r="B1041" s="1" t="n">
        <v>45167</v>
      </c>
      <c r="C1041" s="1" t="n">
        <v>45181</v>
      </c>
      <c r="D1041" t="inlineStr">
        <is>
          <t>GÄVLEBORGS LÄN</t>
        </is>
      </c>
      <c r="E1041" t="inlineStr">
        <is>
          <t>LJUSDAL</t>
        </is>
      </c>
      <c r="G1041" t="n">
        <v>3.1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39932-2023</t>
        </is>
      </c>
      <c r="B1042" s="1" t="n">
        <v>45168</v>
      </c>
      <c r="C1042" s="1" t="n">
        <v>45181</v>
      </c>
      <c r="D1042" t="inlineStr">
        <is>
          <t>GÄVLEBORGS LÄN</t>
        </is>
      </c>
      <c r="E1042" t="inlineStr">
        <is>
          <t>LJUSDAL</t>
        </is>
      </c>
      <c r="F1042" t="inlineStr">
        <is>
          <t>Bergvik skog väst AB</t>
        </is>
      </c>
      <c r="G1042" t="n">
        <v>1.9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>
      <c r="A1043" t="inlineStr">
        <is>
          <t>A 40943-2023</t>
        </is>
      </c>
      <c r="B1043" s="1" t="n">
        <v>45173</v>
      </c>
      <c r="C1043" s="1" t="n">
        <v>45181</v>
      </c>
      <c r="D1043" t="inlineStr">
        <is>
          <t>GÄVLEBORGS LÄN</t>
        </is>
      </c>
      <c r="E1043" t="inlineStr">
        <is>
          <t>LJUSDAL</t>
        </is>
      </c>
      <c r="G1043" t="n">
        <v>5.8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2023-09-12T04:13:21Z</dcterms:created>
  <dcterms:modified xmlns:dcterms="http://purl.org/dc/terms/" xmlns:xsi="http://www.w3.org/2001/XMLSchema-instance" xsi:type="dcterms:W3CDTF">2023-09-12T04:13:22Z</dcterms:modified>
</cp:coreProperties>
</file>