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45206</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45206</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45206</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45206</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45206</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45206</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45206</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45206</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45206</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45206</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45206</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45206</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45206</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45206</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45206</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45206</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45206</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45206</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45206</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45206</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45206</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45206</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45206</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45206</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45206</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45206</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45206</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45206</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45206</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45206</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45206</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45206</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38281-2020</t>
        </is>
      </c>
      <c r="B34" s="1" t="n">
        <v>44060</v>
      </c>
      <c r="C34" s="1" t="n">
        <v>45206</v>
      </c>
      <c r="D34" t="inlineStr">
        <is>
          <t>NORRBOTTENS LÄN</t>
        </is>
      </c>
      <c r="E34" t="inlineStr">
        <is>
          <t>KIRUNA</t>
        </is>
      </c>
      <c r="F34" t="inlineStr">
        <is>
          <t>Allmännings- och besparingsskogar</t>
        </is>
      </c>
      <c r="G34" t="n">
        <v>20</v>
      </c>
      <c r="H34" t="n">
        <v>1</v>
      </c>
      <c r="I34" t="n">
        <v>5</v>
      </c>
      <c r="J34" t="n">
        <v>7</v>
      </c>
      <c r="K34" t="n">
        <v>1</v>
      </c>
      <c r="L34" t="n">
        <v>0</v>
      </c>
      <c r="M34" t="n">
        <v>0</v>
      </c>
      <c r="N34" t="n">
        <v>0</v>
      </c>
      <c r="O34" t="n">
        <v>8</v>
      </c>
      <c r="P34" t="n">
        <v>1</v>
      </c>
      <c r="Q34" t="n">
        <v>13</v>
      </c>
      <c r="R34" s="2" t="inlineStr">
        <is>
          <t>Fläckporing
Blå taggsvamp
Granticka
Nordtagging
Orange taggsvamp
Rosenticka
Violmussling
Vitplätt
Blodticka
Dropptaggsvamp
Plattlummer
Skarp dropptaggsvamp
Vedticka</t>
        </is>
      </c>
      <c r="S34">
        <f>HYPERLINK("https://klasma.github.io/Logging_KIRUNA/artfynd/A 38281-2020.xlsx", "A 38281-2020")</f>
        <v/>
      </c>
      <c r="T34">
        <f>HYPERLINK("https://klasma.github.io/Logging_KIRUNA/kartor/A 38281-2020.png", "A 38281-2020")</f>
        <v/>
      </c>
      <c r="V34">
        <f>HYPERLINK("https://klasma.github.io/Logging_KIRUNA/klagomål/A 38281-2020.docx", "A 38281-2020")</f>
        <v/>
      </c>
      <c r="W34">
        <f>HYPERLINK("https://klasma.github.io/Logging_KIRUNA/klagomålsmail/A 38281-2020.docx", "A 38281-2020")</f>
        <v/>
      </c>
      <c r="X34">
        <f>HYPERLINK("https://klasma.github.io/Logging_KIRUNA/tillsyn/A 38281-2020.docx", "A 38281-2020")</f>
        <v/>
      </c>
      <c r="Y34">
        <f>HYPERLINK("https://klasma.github.io/Logging_KIRUNA/tillsynsmail/A 38281-2020.docx", "A 38281-2020")</f>
        <v/>
      </c>
    </row>
    <row r="35" ht="15" customHeight="1">
      <c r="A35" t="inlineStr">
        <is>
          <t>A 39991-2020</t>
        </is>
      </c>
      <c r="B35" s="1" t="n">
        <v>44067</v>
      </c>
      <c r="C35" s="1" t="n">
        <v>45206</v>
      </c>
      <c r="D35" t="inlineStr">
        <is>
          <t>NORRBOTTENS LÄN</t>
        </is>
      </c>
      <c r="E35" t="inlineStr">
        <is>
          <t>ARVIDSJAUR</t>
        </is>
      </c>
      <c r="F35" t="inlineStr">
        <is>
          <t>Sveaskog</t>
        </is>
      </c>
      <c r="G35" t="n">
        <v>26.4</v>
      </c>
      <c r="H35" t="n">
        <v>0</v>
      </c>
      <c r="I35" t="n">
        <v>2</v>
      </c>
      <c r="J35" t="n">
        <v>9</v>
      </c>
      <c r="K35" t="n">
        <v>2</v>
      </c>
      <c r="L35" t="n">
        <v>0</v>
      </c>
      <c r="M35" t="n">
        <v>0</v>
      </c>
      <c r="N35" t="n">
        <v>0</v>
      </c>
      <c r="O35" t="n">
        <v>11</v>
      </c>
      <c r="P35" t="n">
        <v>2</v>
      </c>
      <c r="Q35" t="n">
        <v>13</v>
      </c>
      <c r="R35" s="2" t="inlineStr">
        <is>
          <t>Gräddporing
Rynkskinn
Blågrå svartspik
Garnlav
Granticka
Gränsticka
Lunglav
Mörk kolflarnlav
Rosenticka
Ullticka
Vitplätt
Luddlav
Skinnlav</t>
        </is>
      </c>
      <c r="S35">
        <f>HYPERLINK("https://klasma.github.io/Logging_ARVIDSJAUR/artfynd/A 39991-2020.xlsx", "A 39991-2020")</f>
        <v/>
      </c>
      <c r="T35">
        <f>HYPERLINK("https://klasma.github.io/Logging_ARVIDSJAUR/kartor/A 39991-2020.png", "A 39991-2020")</f>
        <v/>
      </c>
      <c r="V35">
        <f>HYPERLINK("https://klasma.github.io/Logging_ARVIDSJAUR/klagomål/A 39991-2020.docx", "A 39991-2020")</f>
        <v/>
      </c>
      <c r="W35">
        <f>HYPERLINK("https://klasma.github.io/Logging_ARVIDSJAUR/klagomålsmail/A 39991-2020.docx", "A 39991-2020")</f>
        <v/>
      </c>
      <c r="X35">
        <f>HYPERLINK("https://klasma.github.io/Logging_ARVIDSJAUR/tillsyn/A 39991-2020.docx", "A 39991-2020")</f>
        <v/>
      </c>
      <c r="Y35">
        <f>HYPERLINK("https://klasma.github.io/Logging_ARVIDSJAUR/tillsynsmail/A 39991-2020.docx", "A 39991-2020")</f>
        <v/>
      </c>
    </row>
    <row r="36" ht="15" customHeight="1">
      <c r="A36" t="inlineStr">
        <is>
          <t>A 42505-2020</t>
        </is>
      </c>
      <c r="B36" s="1" t="n">
        <v>44074</v>
      </c>
      <c r="C36" s="1" t="n">
        <v>45206</v>
      </c>
      <c r="D36" t="inlineStr">
        <is>
          <t>NORRBOTTENS LÄN</t>
        </is>
      </c>
      <c r="E36" t="inlineStr">
        <is>
          <t>KIRUNA</t>
        </is>
      </c>
      <c r="F36" t="inlineStr">
        <is>
          <t>Sveaskog</t>
        </is>
      </c>
      <c r="G36" t="n">
        <v>30.4</v>
      </c>
      <c r="H36" t="n">
        <v>0</v>
      </c>
      <c r="I36" t="n">
        <v>2</v>
      </c>
      <c r="J36" t="n">
        <v>8</v>
      </c>
      <c r="K36" t="n">
        <v>3</v>
      </c>
      <c r="L36" t="n">
        <v>0</v>
      </c>
      <c r="M36" t="n">
        <v>0</v>
      </c>
      <c r="N36" t="n">
        <v>0</v>
      </c>
      <c r="O36" t="n">
        <v>11</v>
      </c>
      <c r="P36" t="n">
        <v>3</v>
      </c>
      <c r="Q36" t="n">
        <v>13</v>
      </c>
      <c r="R36" s="2" t="inlineStr">
        <is>
          <t>Kristallticka
Lappticka
Rynkskinn
Garnlav
Granticka
Gränsticka
Harticka
Knottrig blåslav
Rosenticka
Stjärntagging
Ullticka
Blodticka
Vedticka</t>
        </is>
      </c>
      <c r="S36">
        <f>HYPERLINK("https://klasma.github.io/Logging_KIRUNA/artfynd/A 42505-2020.xlsx", "A 42505-2020")</f>
        <v/>
      </c>
      <c r="T36">
        <f>HYPERLINK("https://klasma.github.io/Logging_KIRUNA/kartor/A 42505-2020.png", "A 42505-2020")</f>
        <v/>
      </c>
      <c r="V36">
        <f>HYPERLINK("https://klasma.github.io/Logging_KIRUNA/klagomål/A 42505-2020.docx", "A 42505-2020")</f>
        <v/>
      </c>
      <c r="W36">
        <f>HYPERLINK("https://klasma.github.io/Logging_KIRUNA/klagomålsmail/A 42505-2020.docx", "A 42505-2020")</f>
        <v/>
      </c>
      <c r="X36">
        <f>HYPERLINK("https://klasma.github.io/Logging_KIRUNA/tillsyn/A 42505-2020.docx", "A 42505-2020")</f>
        <v/>
      </c>
      <c r="Y36">
        <f>HYPERLINK("https://klasma.github.io/Logging_KIRUNA/tillsynsmail/A 42505-2020.docx", "A 42505-2020")</f>
        <v/>
      </c>
    </row>
    <row r="37" ht="15" customHeight="1">
      <c r="A37" t="inlineStr">
        <is>
          <t>A 62607-2021</t>
        </is>
      </c>
      <c r="B37" s="1" t="n">
        <v>44503</v>
      </c>
      <c r="C37" s="1" t="n">
        <v>45206</v>
      </c>
      <c r="D37" t="inlineStr">
        <is>
          <t>NORRBOTTENS LÄN</t>
        </is>
      </c>
      <c r="E37" t="inlineStr">
        <is>
          <t>PAJALA</t>
        </is>
      </c>
      <c r="F37" t="inlineStr">
        <is>
          <t>Sveaskog</t>
        </is>
      </c>
      <c r="G37" t="n">
        <v>14.3</v>
      </c>
      <c r="H37" t="n">
        <v>2</v>
      </c>
      <c r="I37" t="n">
        <v>3</v>
      </c>
      <c r="J37" t="n">
        <v>8</v>
      </c>
      <c r="K37" t="n">
        <v>2</v>
      </c>
      <c r="L37" t="n">
        <v>0</v>
      </c>
      <c r="M37" t="n">
        <v>0</v>
      </c>
      <c r="N37" t="n">
        <v>0</v>
      </c>
      <c r="O37" t="n">
        <v>10</v>
      </c>
      <c r="P37" t="n">
        <v>2</v>
      </c>
      <c r="Q37" t="n">
        <v>13</v>
      </c>
      <c r="R37" s="2" t="inlineStr">
        <is>
          <t>Fläckporing
Gräddporing
Blanksvart spiklav
Garnlav
Kolflarnlav
Lunglav
Mörk kolflarnlav
Rosenticka
Spillkråka
Vaddporing
Plattlummer
Stuplav
Vedticka</t>
        </is>
      </c>
      <c r="S37">
        <f>HYPERLINK("https://klasma.github.io/Logging_PAJALA/artfynd/A 62607-2021.xlsx", "A 62607-2021")</f>
        <v/>
      </c>
      <c r="T37">
        <f>HYPERLINK("https://klasma.github.io/Logging_PAJALA/kartor/A 62607-2021.png", "A 62607-2021")</f>
        <v/>
      </c>
      <c r="V37">
        <f>HYPERLINK("https://klasma.github.io/Logging_PAJALA/klagomål/A 62607-2021.docx", "A 62607-2021")</f>
        <v/>
      </c>
      <c r="W37">
        <f>HYPERLINK("https://klasma.github.io/Logging_PAJALA/klagomålsmail/A 62607-2021.docx", "A 62607-2021")</f>
        <v/>
      </c>
      <c r="X37">
        <f>HYPERLINK("https://klasma.github.io/Logging_PAJALA/tillsyn/A 62607-2021.docx", "A 62607-2021")</f>
        <v/>
      </c>
      <c r="Y37">
        <f>HYPERLINK("https://klasma.github.io/Logging_PAJALA/tillsynsmail/A 62607-2021.docx", "A 62607-2021")</f>
        <v/>
      </c>
    </row>
    <row r="38" ht="15" customHeight="1">
      <c r="A38" t="inlineStr">
        <is>
          <t>A 24072-2022</t>
        </is>
      </c>
      <c r="B38" s="1" t="n">
        <v>44722</v>
      </c>
      <c r="C38" s="1" t="n">
        <v>45206</v>
      </c>
      <c r="D38" t="inlineStr">
        <is>
          <t>NORRBOTTENS LÄN</t>
        </is>
      </c>
      <c r="E38" t="inlineStr">
        <is>
          <t>JOKKMOKK</t>
        </is>
      </c>
      <c r="F38" t="inlineStr">
        <is>
          <t>Övriga statliga verk och myndigheter</t>
        </is>
      </c>
      <c r="G38" t="n">
        <v>19.9</v>
      </c>
      <c r="H38" t="n">
        <v>0</v>
      </c>
      <c r="I38" t="n">
        <v>4</v>
      </c>
      <c r="J38" t="n">
        <v>7</v>
      </c>
      <c r="K38" t="n">
        <v>2</v>
      </c>
      <c r="L38" t="n">
        <v>0</v>
      </c>
      <c r="M38" t="n">
        <v>0</v>
      </c>
      <c r="N38" t="n">
        <v>0</v>
      </c>
      <c r="O38" t="n">
        <v>9</v>
      </c>
      <c r="P38" t="n">
        <v>2</v>
      </c>
      <c r="Q38" t="n">
        <v>13</v>
      </c>
      <c r="R38" s="2" t="inlineStr">
        <is>
          <t>Fläckporing
Gräddporing
Blanksvart spiklav
Dvärgbägarlav
Gränsticka
Skrovellav
Tallticka
Vedskivlav
Vitplätt
Bårdlav
Luddlav
Skarp dropptaggsvamp
Stuplav</t>
        </is>
      </c>
      <c r="S38">
        <f>HYPERLINK("https://klasma.github.io/Logging_JOKKMOKK/artfynd/A 24072-2022.xlsx", "A 24072-2022")</f>
        <v/>
      </c>
      <c r="T38">
        <f>HYPERLINK("https://klasma.github.io/Logging_JOKKMOKK/kartor/A 24072-2022.png", "A 24072-2022")</f>
        <v/>
      </c>
      <c r="V38">
        <f>HYPERLINK("https://klasma.github.io/Logging_JOKKMOKK/klagomål/A 24072-2022.docx", "A 24072-2022")</f>
        <v/>
      </c>
      <c r="W38">
        <f>HYPERLINK("https://klasma.github.io/Logging_JOKKMOKK/klagomålsmail/A 24072-2022.docx", "A 24072-2022")</f>
        <v/>
      </c>
      <c r="X38">
        <f>HYPERLINK("https://klasma.github.io/Logging_JOKKMOKK/tillsyn/A 24072-2022.docx", "A 24072-2022")</f>
        <v/>
      </c>
      <c r="Y38">
        <f>HYPERLINK("https://klasma.github.io/Logging_JOKKMOKK/tillsynsmail/A 24072-2022.docx", "A 24072-2022")</f>
        <v/>
      </c>
    </row>
    <row r="39" ht="15" customHeight="1">
      <c r="A39" t="inlineStr">
        <is>
          <t>A 62527-2022</t>
        </is>
      </c>
      <c r="B39" s="1" t="n">
        <v>44917</v>
      </c>
      <c r="C39" s="1" t="n">
        <v>45206</v>
      </c>
      <c r="D39" t="inlineStr">
        <is>
          <t>NORRBOTTENS LÄN</t>
        </is>
      </c>
      <c r="E39" t="inlineStr">
        <is>
          <t>KALIX</t>
        </is>
      </c>
      <c r="G39" t="n">
        <v>6.3</v>
      </c>
      <c r="H39" t="n">
        <v>6</v>
      </c>
      <c r="I39" t="n">
        <v>5</v>
      </c>
      <c r="J39" t="n">
        <v>4</v>
      </c>
      <c r="K39" t="n">
        <v>2</v>
      </c>
      <c r="L39" t="n">
        <v>0</v>
      </c>
      <c r="M39" t="n">
        <v>0</v>
      </c>
      <c r="N39" t="n">
        <v>0</v>
      </c>
      <c r="O39" t="n">
        <v>6</v>
      </c>
      <c r="P39" t="n">
        <v>2</v>
      </c>
      <c r="Q39" t="n">
        <v>13</v>
      </c>
      <c r="R39" s="2" t="inlineStr">
        <is>
          <t>Knärot
Norna
Garnlav
Motaggsvamp
Skrovlig taggsvamp
Äggvaxskivling
Guckusko
Spindelblomster
Stuplav
Tulpanskål
Vedticka
Fläcknycklar
Nattviol</t>
        </is>
      </c>
      <c r="S39">
        <f>HYPERLINK("https://klasma.github.io/Logging_KALIX/artfynd/A 62527-2022.xlsx", "A 62527-2022")</f>
        <v/>
      </c>
      <c r="T39">
        <f>HYPERLINK("https://klasma.github.io/Logging_KALIX/kartor/A 62527-2022.png", "A 62527-2022")</f>
        <v/>
      </c>
      <c r="U39">
        <f>HYPERLINK("https://klasma.github.io/Logging_KALIX/knärot/A 62527-2022.png", "A 62527-2022")</f>
        <v/>
      </c>
      <c r="V39">
        <f>HYPERLINK("https://klasma.github.io/Logging_KALIX/klagomål/A 62527-2022.docx", "A 62527-2022")</f>
        <v/>
      </c>
      <c r="W39">
        <f>HYPERLINK("https://klasma.github.io/Logging_KALIX/klagomålsmail/A 62527-2022.docx", "A 62527-2022")</f>
        <v/>
      </c>
      <c r="X39">
        <f>HYPERLINK("https://klasma.github.io/Logging_KALIX/tillsyn/A 62527-2022.docx", "A 62527-2022")</f>
        <v/>
      </c>
      <c r="Y39">
        <f>HYPERLINK("https://klasma.github.io/Logging_KALIX/tillsynsmail/A 62527-2022.docx", "A 62527-2022")</f>
        <v/>
      </c>
    </row>
    <row r="40" ht="15" customHeight="1">
      <c r="A40" t="inlineStr">
        <is>
          <t>A 21840-2023</t>
        </is>
      </c>
      <c r="B40" s="1" t="n">
        <v>45068</v>
      </c>
      <c r="C40" s="1" t="n">
        <v>45206</v>
      </c>
      <c r="D40" t="inlineStr">
        <is>
          <t>NORRBOTTENS LÄN</t>
        </is>
      </c>
      <c r="E40" t="inlineStr">
        <is>
          <t>ÖVERTORNEÅ</t>
        </is>
      </c>
      <c r="G40" t="n">
        <v>30.5</v>
      </c>
      <c r="H40" t="n">
        <v>8</v>
      </c>
      <c r="I40" t="n">
        <v>5</v>
      </c>
      <c r="J40" t="n">
        <v>4</v>
      </c>
      <c r="K40" t="n">
        <v>2</v>
      </c>
      <c r="L40" t="n">
        <v>0</v>
      </c>
      <c r="M40" t="n">
        <v>0</v>
      </c>
      <c r="N40" t="n">
        <v>0</v>
      </c>
      <c r="O40" t="n">
        <v>6</v>
      </c>
      <c r="P40" t="n">
        <v>2</v>
      </c>
      <c r="Q40" t="n">
        <v>13</v>
      </c>
      <c r="R40" s="2" t="inlineStr">
        <is>
          <t>Doftticka
Knärot
Garnlav
Spillkråka
Talltita
Ullticka
Bårdlav
Norrlandslav
Plattlummer
Spindelblomster
Stuplav
Fläcknycklar
Revlummer</t>
        </is>
      </c>
      <c r="S40">
        <f>HYPERLINK("https://klasma.github.io/Logging_OVERTORNEA/artfynd/A 21840-2023.xlsx", "A 21840-2023")</f>
        <v/>
      </c>
      <c r="T40">
        <f>HYPERLINK("https://klasma.github.io/Logging_OVERTORNEA/kartor/A 21840-2023.png", "A 21840-2023")</f>
        <v/>
      </c>
      <c r="U40">
        <f>HYPERLINK("https://klasma.github.io/Logging_OVERTORNEA/knärot/A 21840-2023.png", "A 21840-2023")</f>
        <v/>
      </c>
      <c r="V40">
        <f>HYPERLINK("https://klasma.github.io/Logging_OVERTORNEA/klagomål/A 21840-2023.docx", "A 21840-2023")</f>
        <v/>
      </c>
      <c r="W40">
        <f>HYPERLINK("https://klasma.github.io/Logging_OVERTORNEA/klagomålsmail/A 21840-2023.docx", "A 21840-2023")</f>
        <v/>
      </c>
      <c r="X40">
        <f>HYPERLINK("https://klasma.github.io/Logging_OVERTORNEA/tillsyn/A 21840-2023.docx", "A 21840-2023")</f>
        <v/>
      </c>
      <c r="Y40">
        <f>HYPERLINK("https://klasma.github.io/Logging_OVERTORNEA/tillsynsmail/A 21840-2023.docx", "A 21840-2023")</f>
        <v/>
      </c>
    </row>
    <row r="41" ht="15" customHeight="1">
      <c r="A41" t="inlineStr">
        <is>
          <t>A 65339-2020</t>
        </is>
      </c>
      <c r="B41" s="1" t="n">
        <v>44173</v>
      </c>
      <c r="C41" s="1" t="n">
        <v>45206</v>
      </c>
      <c r="D41" t="inlineStr">
        <is>
          <t>NORRBOTTENS LÄN</t>
        </is>
      </c>
      <c r="E41" t="inlineStr">
        <is>
          <t>JOKKMOKK</t>
        </is>
      </c>
      <c r="F41" t="inlineStr">
        <is>
          <t>Sveaskog</t>
        </is>
      </c>
      <c r="G41" t="n">
        <v>29.1</v>
      </c>
      <c r="H41" t="n">
        <v>1</v>
      </c>
      <c r="I41" t="n">
        <v>0</v>
      </c>
      <c r="J41" t="n">
        <v>11</v>
      </c>
      <c r="K41" t="n">
        <v>1</v>
      </c>
      <c r="L41" t="n">
        <v>0</v>
      </c>
      <c r="M41" t="n">
        <v>0</v>
      </c>
      <c r="N41" t="n">
        <v>0</v>
      </c>
      <c r="O41" t="n">
        <v>12</v>
      </c>
      <c r="P41" t="n">
        <v>1</v>
      </c>
      <c r="Q41" t="n">
        <v>12</v>
      </c>
      <c r="R41" s="2" t="inlineStr">
        <is>
          <t>Tallgråticka
Blanksvart spiklav
Blågrå svartspik
Dvärgbägarlav
Kolflarnlav
Mörk kolflarnlav
Skrovlig taggsvamp
Tretåig hackspett
Vedflamlav
Vedskivlav
Violmussling
Vitplätt</t>
        </is>
      </c>
      <c r="S41">
        <f>HYPERLINK("https://klasma.github.io/Logging_JOKKMOKK/artfynd/A 65339-2020.xlsx", "A 65339-2020")</f>
        <v/>
      </c>
      <c r="T41">
        <f>HYPERLINK("https://klasma.github.io/Logging_JOKKMOKK/kartor/A 65339-2020.png", "A 65339-2020")</f>
        <v/>
      </c>
      <c r="V41">
        <f>HYPERLINK("https://klasma.github.io/Logging_JOKKMOKK/klagomål/A 65339-2020.docx", "A 65339-2020")</f>
        <v/>
      </c>
      <c r="W41">
        <f>HYPERLINK("https://klasma.github.io/Logging_JOKKMOKK/klagomålsmail/A 65339-2020.docx", "A 65339-2020")</f>
        <v/>
      </c>
      <c r="X41">
        <f>HYPERLINK("https://klasma.github.io/Logging_JOKKMOKK/tillsyn/A 65339-2020.docx", "A 65339-2020")</f>
        <v/>
      </c>
      <c r="Y41">
        <f>HYPERLINK("https://klasma.github.io/Logging_JOKKMOKK/tillsynsmail/A 65339-2020.docx", "A 65339-2020")</f>
        <v/>
      </c>
    </row>
    <row r="42" ht="15" customHeight="1">
      <c r="A42" t="inlineStr">
        <is>
          <t>A 47547-2022</t>
        </is>
      </c>
      <c r="B42" s="1" t="n">
        <v>44853</v>
      </c>
      <c r="C42" s="1" t="n">
        <v>45206</v>
      </c>
      <c r="D42" t="inlineStr">
        <is>
          <t>NORRBOTTENS LÄN</t>
        </is>
      </c>
      <c r="E42" t="inlineStr">
        <is>
          <t>BODEN</t>
        </is>
      </c>
      <c r="G42" t="n">
        <v>14.6</v>
      </c>
      <c r="H42" t="n">
        <v>3</v>
      </c>
      <c r="I42" t="n">
        <v>3</v>
      </c>
      <c r="J42" t="n">
        <v>8</v>
      </c>
      <c r="K42" t="n">
        <v>0</v>
      </c>
      <c r="L42" t="n">
        <v>0</v>
      </c>
      <c r="M42" t="n">
        <v>0</v>
      </c>
      <c r="N42" t="n">
        <v>0</v>
      </c>
      <c r="O42" t="n">
        <v>8</v>
      </c>
      <c r="P42" t="n">
        <v>0</v>
      </c>
      <c r="Q42" t="n">
        <v>12</v>
      </c>
      <c r="R42" s="2" t="inlineStr">
        <is>
          <t>Blå taggsvamp
Gammelgransskål
Garnlav
Kolflarnlav
Lunglav
Talltita
Tretåig hackspett
Vedskivlav
Bårdlav
Luddlav
Stuplav
Revlummer</t>
        </is>
      </c>
      <c r="S42">
        <f>HYPERLINK("https://klasma.github.io/Logging_BODEN/artfynd/A 47547-2022.xlsx", "A 47547-2022")</f>
        <v/>
      </c>
      <c r="T42">
        <f>HYPERLINK("https://klasma.github.io/Logging_BODEN/kartor/A 47547-2022.png", "A 47547-2022")</f>
        <v/>
      </c>
      <c r="V42">
        <f>HYPERLINK("https://klasma.github.io/Logging_BODEN/klagomål/A 47547-2022.docx", "A 47547-2022")</f>
        <v/>
      </c>
      <c r="W42">
        <f>HYPERLINK("https://klasma.github.io/Logging_BODEN/klagomålsmail/A 47547-2022.docx", "A 47547-2022")</f>
        <v/>
      </c>
      <c r="X42">
        <f>HYPERLINK("https://klasma.github.io/Logging_BODEN/tillsyn/A 47547-2022.docx", "A 47547-2022")</f>
        <v/>
      </c>
      <c r="Y42">
        <f>HYPERLINK("https://klasma.github.io/Logging_BODEN/tillsynsmail/A 47547-2022.docx", "A 47547-2022")</f>
        <v/>
      </c>
    </row>
    <row r="43" ht="15" customHeight="1">
      <c r="A43" t="inlineStr">
        <is>
          <t>A 50304-2022</t>
        </is>
      </c>
      <c r="B43" s="1" t="n">
        <v>44865</v>
      </c>
      <c r="C43" s="1" t="n">
        <v>45206</v>
      </c>
      <c r="D43" t="inlineStr">
        <is>
          <t>NORRBOTTENS LÄN</t>
        </is>
      </c>
      <c r="E43" t="inlineStr">
        <is>
          <t>ARVIDSJAUR</t>
        </is>
      </c>
      <c r="G43" t="n">
        <v>14.5</v>
      </c>
      <c r="H43" t="n">
        <v>2</v>
      </c>
      <c r="I43" t="n">
        <v>2</v>
      </c>
      <c r="J43" t="n">
        <v>8</v>
      </c>
      <c r="K43" t="n">
        <v>2</v>
      </c>
      <c r="L43" t="n">
        <v>0</v>
      </c>
      <c r="M43" t="n">
        <v>0</v>
      </c>
      <c r="N43" t="n">
        <v>0</v>
      </c>
      <c r="O43" t="n">
        <v>10</v>
      </c>
      <c r="P43" t="n">
        <v>2</v>
      </c>
      <c r="Q43" t="n">
        <v>12</v>
      </c>
      <c r="R43" s="2" t="inlineStr">
        <is>
          <t>Ostticka
Rynkskinn
Gammelgransskål
Garnlav
Granticka
Gränsticka
Rosenticka
Spillkråka
Tretåig hackspett
Ullticka
Dropptaggsvamp
Vedticka</t>
        </is>
      </c>
      <c r="S43">
        <f>HYPERLINK("https://klasma.github.io/Logging_ARVIDSJAUR/artfynd/A 50304-2022.xlsx", "A 50304-2022")</f>
        <v/>
      </c>
      <c r="T43">
        <f>HYPERLINK("https://klasma.github.io/Logging_ARVIDSJAUR/kartor/A 50304-2022.png", "A 50304-2022")</f>
        <v/>
      </c>
      <c r="V43">
        <f>HYPERLINK("https://klasma.github.io/Logging_ARVIDSJAUR/klagomål/A 50304-2022.docx", "A 50304-2022")</f>
        <v/>
      </c>
      <c r="W43">
        <f>HYPERLINK("https://klasma.github.io/Logging_ARVIDSJAUR/klagomålsmail/A 50304-2022.docx", "A 50304-2022")</f>
        <v/>
      </c>
      <c r="X43">
        <f>HYPERLINK("https://klasma.github.io/Logging_ARVIDSJAUR/tillsyn/A 50304-2022.docx", "A 50304-2022")</f>
        <v/>
      </c>
      <c r="Y43">
        <f>HYPERLINK("https://klasma.github.io/Logging_ARVIDSJAUR/tillsynsmail/A 50304-2022.docx", "A 50304-2022")</f>
        <v/>
      </c>
    </row>
    <row r="44" ht="15" customHeight="1">
      <c r="A44" t="inlineStr">
        <is>
          <t>A 19776-2019</t>
        </is>
      </c>
      <c r="B44" s="1" t="n">
        <v>43566</v>
      </c>
      <c r="C44" s="1" t="n">
        <v>45206</v>
      </c>
      <c r="D44" t="inlineStr">
        <is>
          <t>NORRBOTTENS LÄN</t>
        </is>
      </c>
      <c r="E44" t="inlineStr">
        <is>
          <t>JOKKMOKK</t>
        </is>
      </c>
      <c r="G44" t="n">
        <v>13.9</v>
      </c>
      <c r="H44" t="n">
        <v>2</v>
      </c>
      <c r="I44" t="n">
        <v>5</v>
      </c>
      <c r="J44" t="n">
        <v>5</v>
      </c>
      <c r="K44" t="n">
        <v>0</v>
      </c>
      <c r="L44" t="n">
        <v>0</v>
      </c>
      <c r="M44" t="n">
        <v>0</v>
      </c>
      <c r="N44" t="n">
        <v>0</v>
      </c>
      <c r="O44" t="n">
        <v>5</v>
      </c>
      <c r="P44" t="n">
        <v>0</v>
      </c>
      <c r="Q44" t="n">
        <v>11</v>
      </c>
      <c r="R44" s="2" t="inlineStr">
        <is>
          <t>Brunpudrad nållav
Gammelgransskål
Garnlav
Lunglav
Talltita
Bårdlav
Luddlav
Norrlandslav
Nästlav
Stuplav
Revlummer</t>
        </is>
      </c>
      <c r="S44">
        <f>HYPERLINK("https://klasma.github.io/Logging_JOKKMOKK/artfynd/A 19776-2019.xlsx", "A 19776-2019")</f>
        <v/>
      </c>
      <c r="T44">
        <f>HYPERLINK("https://klasma.github.io/Logging_JOKKMOKK/kartor/A 19776-2019.png", "A 19776-2019")</f>
        <v/>
      </c>
      <c r="V44">
        <f>HYPERLINK("https://klasma.github.io/Logging_JOKKMOKK/klagomål/A 19776-2019.docx", "A 19776-2019")</f>
        <v/>
      </c>
      <c r="W44">
        <f>HYPERLINK("https://klasma.github.io/Logging_JOKKMOKK/klagomålsmail/A 19776-2019.docx", "A 19776-2019")</f>
        <v/>
      </c>
      <c r="X44">
        <f>HYPERLINK("https://klasma.github.io/Logging_JOKKMOKK/tillsyn/A 19776-2019.docx", "A 19776-2019")</f>
        <v/>
      </c>
      <c r="Y44">
        <f>HYPERLINK("https://klasma.github.io/Logging_JOKKMOKK/tillsynsmail/A 19776-2019.docx", "A 19776-2019")</f>
        <v/>
      </c>
    </row>
    <row r="45" ht="15" customHeight="1">
      <c r="A45" t="inlineStr">
        <is>
          <t>A 30926-2019</t>
        </is>
      </c>
      <c r="B45" s="1" t="n">
        <v>43636</v>
      </c>
      <c r="C45" s="1" t="n">
        <v>45206</v>
      </c>
      <c r="D45" t="inlineStr">
        <is>
          <t>NORRBOTTENS LÄN</t>
        </is>
      </c>
      <c r="E45" t="inlineStr">
        <is>
          <t>GÄLLIVARE</t>
        </is>
      </c>
      <c r="F45" t="inlineStr">
        <is>
          <t>SCA</t>
        </is>
      </c>
      <c r="G45" t="n">
        <v>2.4</v>
      </c>
      <c r="H45" t="n">
        <v>0</v>
      </c>
      <c r="I45" t="n">
        <v>1</v>
      </c>
      <c r="J45" t="n">
        <v>5</v>
      </c>
      <c r="K45" t="n">
        <v>5</v>
      </c>
      <c r="L45" t="n">
        <v>0</v>
      </c>
      <c r="M45" t="n">
        <v>0</v>
      </c>
      <c r="N45" t="n">
        <v>0</v>
      </c>
      <c r="O45" t="n">
        <v>10</v>
      </c>
      <c r="P45" t="n">
        <v>5</v>
      </c>
      <c r="Q45" t="n">
        <v>11</v>
      </c>
      <c r="R45" s="2" t="inlineStr">
        <is>
          <t>Lammticka
Rotfingersvamp
Tallgråticka
Tallstocksticka
Torrmusseron
Blå taggsvamp
Mjölsvärting
Motaggsvamp
Tallriska
Talltaggsvamp
Skarp dropptaggsvamp</t>
        </is>
      </c>
      <c r="S45">
        <f>HYPERLINK("https://klasma.github.io/Logging_GALLIVARE/artfynd/A 30926-2019.xlsx", "A 30926-2019")</f>
        <v/>
      </c>
      <c r="T45">
        <f>HYPERLINK("https://klasma.github.io/Logging_GALLIVARE/kartor/A 30926-2019.png", "A 30926-2019")</f>
        <v/>
      </c>
      <c r="V45">
        <f>HYPERLINK("https://klasma.github.io/Logging_GALLIVARE/klagomål/A 30926-2019.docx", "A 30926-2019")</f>
        <v/>
      </c>
      <c r="W45">
        <f>HYPERLINK("https://klasma.github.io/Logging_GALLIVARE/klagomålsmail/A 30926-2019.docx", "A 30926-2019")</f>
        <v/>
      </c>
      <c r="X45">
        <f>HYPERLINK("https://klasma.github.io/Logging_GALLIVARE/tillsyn/A 30926-2019.docx", "A 30926-2019")</f>
        <v/>
      </c>
      <c r="Y45">
        <f>HYPERLINK("https://klasma.github.io/Logging_GALLIVARE/tillsynsmail/A 30926-2019.docx", "A 30926-2019")</f>
        <v/>
      </c>
    </row>
    <row r="46" ht="15" customHeight="1">
      <c r="A46" t="inlineStr">
        <is>
          <t>A 28162-2020</t>
        </is>
      </c>
      <c r="B46" s="1" t="n">
        <v>43997</v>
      </c>
      <c r="C46" s="1" t="n">
        <v>45206</v>
      </c>
      <c r="D46" t="inlineStr">
        <is>
          <t>NORRBOTTENS LÄN</t>
        </is>
      </c>
      <c r="E46" t="inlineStr">
        <is>
          <t>JOKKMOKK</t>
        </is>
      </c>
      <c r="F46" t="inlineStr">
        <is>
          <t>Sveaskog</t>
        </is>
      </c>
      <c r="G46" t="n">
        <v>15.9</v>
      </c>
      <c r="H46" t="n">
        <v>0</v>
      </c>
      <c r="I46" t="n">
        <v>2</v>
      </c>
      <c r="J46" t="n">
        <v>6</v>
      </c>
      <c r="K46" t="n">
        <v>3</v>
      </c>
      <c r="L46" t="n">
        <v>0</v>
      </c>
      <c r="M46" t="n">
        <v>0</v>
      </c>
      <c r="N46" t="n">
        <v>0</v>
      </c>
      <c r="O46" t="n">
        <v>9</v>
      </c>
      <c r="P46" t="n">
        <v>3</v>
      </c>
      <c r="Q46" t="n">
        <v>11</v>
      </c>
      <c r="R46" s="2" t="inlineStr">
        <is>
          <t>Gräddporing
Smalfotad taggsvamp
Tajgataggsvamp
Dvärgbägarlav
Knottrig blåslav
Kolflarnlav
Mörk kolflarnlav
Orange taggsvamp
Vedskivlav
Skarp dropptaggsvamp
Vedticka</t>
        </is>
      </c>
      <c r="S46">
        <f>HYPERLINK("https://klasma.github.io/Logging_JOKKMOKK/artfynd/A 28162-2020.xlsx", "A 28162-2020")</f>
        <v/>
      </c>
      <c r="T46">
        <f>HYPERLINK("https://klasma.github.io/Logging_JOKKMOKK/kartor/A 28162-2020.png", "A 28162-2020")</f>
        <v/>
      </c>
      <c r="V46">
        <f>HYPERLINK("https://klasma.github.io/Logging_JOKKMOKK/klagomål/A 28162-2020.docx", "A 28162-2020")</f>
        <v/>
      </c>
      <c r="W46">
        <f>HYPERLINK("https://klasma.github.io/Logging_JOKKMOKK/klagomålsmail/A 28162-2020.docx", "A 28162-2020")</f>
        <v/>
      </c>
      <c r="X46">
        <f>HYPERLINK("https://klasma.github.io/Logging_JOKKMOKK/tillsyn/A 28162-2020.docx", "A 28162-2020")</f>
        <v/>
      </c>
      <c r="Y46">
        <f>HYPERLINK("https://klasma.github.io/Logging_JOKKMOKK/tillsynsmail/A 28162-2020.docx", "A 28162-2020")</f>
        <v/>
      </c>
    </row>
    <row r="47" ht="15" customHeight="1">
      <c r="A47" t="inlineStr">
        <is>
          <t>A 26670-2022</t>
        </is>
      </c>
      <c r="B47" s="1" t="n">
        <v>44739</v>
      </c>
      <c r="C47" s="1" t="n">
        <v>45206</v>
      </c>
      <c r="D47" t="inlineStr">
        <is>
          <t>NORRBOTTENS LÄN</t>
        </is>
      </c>
      <c r="E47" t="inlineStr">
        <is>
          <t>GÄLLIVARE</t>
        </is>
      </c>
      <c r="G47" t="n">
        <v>27.4</v>
      </c>
      <c r="H47" t="n">
        <v>2</v>
      </c>
      <c r="I47" t="n">
        <v>3</v>
      </c>
      <c r="J47" t="n">
        <v>8</v>
      </c>
      <c r="K47" t="n">
        <v>0</v>
      </c>
      <c r="L47" t="n">
        <v>0</v>
      </c>
      <c r="M47" t="n">
        <v>0</v>
      </c>
      <c r="N47" t="n">
        <v>0</v>
      </c>
      <c r="O47" t="n">
        <v>8</v>
      </c>
      <c r="P47" t="n">
        <v>0</v>
      </c>
      <c r="Q47" t="n">
        <v>11</v>
      </c>
      <c r="R47" s="2" t="inlineStr">
        <is>
          <t>Blanksvart spiklav
Blå taggsvamp
Knottrig blåslav
Lappmes
Tallticka
Tretåig hackspett
Vedtrappmossa
Vitplätt
Dropptaggsvamp
Gullgröppa
Skarp dropptaggsvamp</t>
        </is>
      </c>
      <c r="S47">
        <f>HYPERLINK("https://klasma.github.io/Logging_GALLIVARE/artfynd/A 26670-2022.xlsx", "A 26670-2022")</f>
        <v/>
      </c>
      <c r="T47">
        <f>HYPERLINK("https://klasma.github.io/Logging_GALLIVARE/kartor/A 26670-2022.png", "A 26670-2022")</f>
        <v/>
      </c>
      <c r="V47">
        <f>HYPERLINK("https://klasma.github.io/Logging_GALLIVARE/klagomål/A 26670-2022.docx", "A 26670-2022")</f>
        <v/>
      </c>
      <c r="W47">
        <f>HYPERLINK("https://klasma.github.io/Logging_GALLIVARE/klagomålsmail/A 26670-2022.docx", "A 26670-2022")</f>
        <v/>
      </c>
      <c r="X47">
        <f>HYPERLINK("https://klasma.github.io/Logging_GALLIVARE/tillsyn/A 26670-2022.docx", "A 26670-2022")</f>
        <v/>
      </c>
      <c r="Y47">
        <f>HYPERLINK("https://klasma.github.io/Logging_GALLIVARE/tillsynsmail/A 26670-2022.docx", "A 26670-2022")</f>
        <v/>
      </c>
    </row>
    <row r="48" ht="15" customHeight="1">
      <c r="A48" t="inlineStr">
        <is>
          <t>A 26954-2022</t>
        </is>
      </c>
      <c r="B48" s="1" t="n">
        <v>44740</v>
      </c>
      <c r="C48" s="1" t="n">
        <v>45206</v>
      </c>
      <c r="D48" t="inlineStr">
        <is>
          <t>NORRBOTTENS LÄN</t>
        </is>
      </c>
      <c r="E48" t="inlineStr">
        <is>
          <t>ARJEPLOG</t>
        </is>
      </c>
      <c r="F48" t="inlineStr">
        <is>
          <t>Allmännings- och besparingsskogar</t>
        </is>
      </c>
      <c r="G48" t="n">
        <v>10.4</v>
      </c>
      <c r="H48" t="n">
        <v>2</v>
      </c>
      <c r="I48" t="n">
        <v>0</v>
      </c>
      <c r="J48" t="n">
        <v>10</v>
      </c>
      <c r="K48" t="n">
        <v>0</v>
      </c>
      <c r="L48" t="n">
        <v>0</v>
      </c>
      <c r="M48" t="n">
        <v>0</v>
      </c>
      <c r="N48" t="n">
        <v>0</v>
      </c>
      <c r="O48" t="n">
        <v>10</v>
      </c>
      <c r="P48" t="n">
        <v>0</v>
      </c>
      <c r="Q48" t="n">
        <v>11</v>
      </c>
      <c r="R48" s="2" t="inlineStr">
        <is>
          <t>Blanksvart spiklav
Blå taggsvamp
Granticka
Gropig brunbagge
Ladlav
Nordtagging
Orange taggsvamp
Tretåig hackspett
Vedflamlav
Vedskivlav
Vanlig padda</t>
        </is>
      </c>
      <c r="S48">
        <f>HYPERLINK("https://klasma.github.io/Logging_ARJEPLOG/artfynd/A 26954-2022.xlsx", "A 26954-2022")</f>
        <v/>
      </c>
      <c r="T48">
        <f>HYPERLINK("https://klasma.github.io/Logging_ARJEPLOG/kartor/A 26954-2022.png", "A 26954-2022")</f>
        <v/>
      </c>
      <c r="V48">
        <f>HYPERLINK("https://klasma.github.io/Logging_ARJEPLOG/klagomål/A 26954-2022.docx", "A 26954-2022")</f>
        <v/>
      </c>
      <c r="W48">
        <f>HYPERLINK("https://klasma.github.io/Logging_ARJEPLOG/klagomålsmail/A 26954-2022.docx", "A 26954-2022")</f>
        <v/>
      </c>
      <c r="X48">
        <f>HYPERLINK("https://klasma.github.io/Logging_ARJEPLOG/tillsyn/A 26954-2022.docx", "A 26954-2022")</f>
        <v/>
      </c>
      <c r="Y48">
        <f>HYPERLINK("https://klasma.github.io/Logging_ARJEPLOG/tillsynsmail/A 26954-2022.docx", "A 26954-2022")</f>
        <v/>
      </c>
    </row>
    <row r="49" ht="15" customHeight="1">
      <c r="A49" t="inlineStr">
        <is>
          <t>A 32616-2022</t>
        </is>
      </c>
      <c r="B49" s="1" t="n">
        <v>44783</v>
      </c>
      <c r="C49" s="1" t="n">
        <v>45206</v>
      </c>
      <c r="D49" t="inlineStr">
        <is>
          <t>NORRBOTTENS LÄN</t>
        </is>
      </c>
      <c r="E49" t="inlineStr">
        <is>
          <t>JOKKMOKK</t>
        </is>
      </c>
      <c r="F49" t="inlineStr">
        <is>
          <t>Övriga statliga verk och myndigheter</t>
        </is>
      </c>
      <c r="G49" t="n">
        <v>12.4</v>
      </c>
      <c r="H49" t="n">
        <v>0</v>
      </c>
      <c r="I49" t="n">
        <v>2</v>
      </c>
      <c r="J49" t="n">
        <v>7</v>
      </c>
      <c r="K49" t="n">
        <v>2</v>
      </c>
      <c r="L49" t="n">
        <v>0</v>
      </c>
      <c r="M49" t="n">
        <v>0</v>
      </c>
      <c r="N49" t="n">
        <v>0</v>
      </c>
      <c r="O49" t="n">
        <v>9</v>
      </c>
      <c r="P49" t="n">
        <v>2</v>
      </c>
      <c r="Q49" t="n">
        <v>11</v>
      </c>
      <c r="R49" s="2" t="inlineStr">
        <is>
          <t>Gräddporing
Smalfotad taggsvamp
Blanksvart spiklav
Blågrå svartspik
Kolflarnlav
Mörk kolflarnlav
Talltaggsvamp
Vaddporing
Vedskivlav
Dropptaggsvamp
Vedticka</t>
        </is>
      </c>
      <c r="S49">
        <f>HYPERLINK("https://klasma.github.io/Logging_JOKKMOKK/artfynd/A 32616-2022.xlsx", "A 32616-2022")</f>
        <v/>
      </c>
      <c r="T49">
        <f>HYPERLINK("https://klasma.github.io/Logging_JOKKMOKK/kartor/A 32616-2022.png", "A 32616-2022")</f>
        <v/>
      </c>
      <c r="V49">
        <f>HYPERLINK("https://klasma.github.io/Logging_JOKKMOKK/klagomål/A 32616-2022.docx", "A 32616-2022")</f>
        <v/>
      </c>
      <c r="W49">
        <f>HYPERLINK("https://klasma.github.io/Logging_JOKKMOKK/klagomålsmail/A 32616-2022.docx", "A 32616-2022")</f>
        <v/>
      </c>
      <c r="X49">
        <f>HYPERLINK("https://klasma.github.io/Logging_JOKKMOKK/tillsyn/A 32616-2022.docx", "A 32616-2022")</f>
        <v/>
      </c>
      <c r="Y49">
        <f>HYPERLINK("https://klasma.github.io/Logging_JOKKMOKK/tillsynsmail/A 32616-2022.docx", "A 32616-2022")</f>
        <v/>
      </c>
    </row>
    <row r="50" ht="15" customHeight="1">
      <c r="A50" t="inlineStr">
        <is>
          <t>A 41920-2019</t>
        </is>
      </c>
      <c r="B50" s="1" t="n">
        <v>43700</v>
      </c>
      <c r="C50" s="1" t="n">
        <v>45206</v>
      </c>
      <c r="D50" t="inlineStr">
        <is>
          <t>NORRBOTTENS LÄN</t>
        </is>
      </c>
      <c r="E50" t="inlineStr">
        <is>
          <t>KIRUNA</t>
        </is>
      </c>
      <c r="G50" t="n">
        <v>200.7</v>
      </c>
      <c r="H50" t="n">
        <v>2</v>
      </c>
      <c r="I50" t="n">
        <v>0</v>
      </c>
      <c r="J50" t="n">
        <v>8</v>
      </c>
      <c r="K50" t="n">
        <v>1</v>
      </c>
      <c r="L50" t="n">
        <v>0</v>
      </c>
      <c r="M50" t="n">
        <v>0</v>
      </c>
      <c r="N50" t="n">
        <v>0</v>
      </c>
      <c r="O50" t="n">
        <v>9</v>
      </c>
      <c r="P50" t="n">
        <v>1</v>
      </c>
      <c r="Q50" t="n">
        <v>9</v>
      </c>
      <c r="R50" s="2" t="inlineStr">
        <is>
          <t>Mörk blåslav
Fjällvråk
Granticka
Harticka
Knottrig blåslav
Rosenticka
Tretåig hackspett
Ullticka
Violmussling</t>
        </is>
      </c>
      <c r="S50">
        <f>HYPERLINK("https://klasma.github.io/Logging_KIRUNA/artfynd/A 41920-2019.xlsx", "A 41920-2019")</f>
        <v/>
      </c>
      <c r="T50">
        <f>HYPERLINK("https://klasma.github.io/Logging_KIRUNA/kartor/A 41920-2019.png", "A 41920-2019")</f>
        <v/>
      </c>
      <c r="V50">
        <f>HYPERLINK("https://klasma.github.io/Logging_KIRUNA/klagomål/A 41920-2019.docx", "A 41920-2019")</f>
        <v/>
      </c>
      <c r="W50">
        <f>HYPERLINK("https://klasma.github.io/Logging_KIRUNA/klagomålsmail/A 41920-2019.docx", "A 41920-2019")</f>
        <v/>
      </c>
      <c r="X50">
        <f>HYPERLINK("https://klasma.github.io/Logging_KIRUNA/tillsyn/A 41920-2019.docx", "A 41920-2019")</f>
        <v/>
      </c>
      <c r="Y50">
        <f>HYPERLINK("https://klasma.github.io/Logging_KIRUNA/tillsynsmail/A 41920-2019.docx", "A 41920-2019")</f>
        <v/>
      </c>
    </row>
    <row r="51" ht="15" customHeight="1">
      <c r="A51" t="inlineStr">
        <is>
          <t>A 52582-2019</t>
        </is>
      </c>
      <c r="B51" s="1" t="n">
        <v>43745</v>
      </c>
      <c r="C51" s="1" t="n">
        <v>45206</v>
      </c>
      <c r="D51" t="inlineStr">
        <is>
          <t>NORRBOTTENS LÄN</t>
        </is>
      </c>
      <c r="E51" t="inlineStr">
        <is>
          <t>BODEN</t>
        </is>
      </c>
      <c r="F51" t="inlineStr">
        <is>
          <t>SCA</t>
        </is>
      </c>
      <c r="G51" t="n">
        <v>5.2</v>
      </c>
      <c r="H51" t="n">
        <v>1</v>
      </c>
      <c r="I51" t="n">
        <v>4</v>
      </c>
      <c r="J51" t="n">
        <v>5</v>
      </c>
      <c r="K51" t="n">
        <v>0</v>
      </c>
      <c r="L51" t="n">
        <v>0</v>
      </c>
      <c r="M51" t="n">
        <v>0</v>
      </c>
      <c r="N51" t="n">
        <v>0</v>
      </c>
      <c r="O51" t="n">
        <v>5</v>
      </c>
      <c r="P51" t="n">
        <v>0</v>
      </c>
      <c r="Q51" t="n">
        <v>9</v>
      </c>
      <c r="R51" s="2" t="inlineStr">
        <is>
          <t>Garnlav
Lunglav
Mörk kolflarnlav
Vedskivlav
Äggvaxskivling
Bårdlav
Dropptaggsvamp
Luddlav
Plattlummer</t>
        </is>
      </c>
      <c r="S51">
        <f>HYPERLINK("https://klasma.github.io/Logging_BODEN/artfynd/A 52582-2019.xlsx", "A 52582-2019")</f>
        <v/>
      </c>
      <c r="T51">
        <f>HYPERLINK("https://klasma.github.io/Logging_BODEN/kartor/A 52582-2019.png", "A 52582-2019")</f>
        <v/>
      </c>
      <c r="V51">
        <f>HYPERLINK("https://klasma.github.io/Logging_BODEN/klagomål/A 52582-2019.docx", "A 52582-2019")</f>
        <v/>
      </c>
      <c r="W51">
        <f>HYPERLINK("https://klasma.github.io/Logging_BODEN/klagomålsmail/A 52582-2019.docx", "A 52582-2019")</f>
        <v/>
      </c>
      <c r="X51">
        <f>HYPERLINK("https://klasma.github.io/Logging_BODEN/tillsyn/A 52582-2019.docx", "A 52582-2019")</f>
        <v/>
      </c>
      <c r="Y51">
        <f>HYPERLINK("https://klasma.github.io/Logging_BODEN/tillsynsmail/A 52582-2019.docx", "A 52582-2019")</f>
        <v/>
      </c>
    </row>
    <row r="52" ht="15" customHeight="1">
      <c r="A52" t="inlineStr">
        <is>
          <t>A 8614-2020</t>
        </is>
      </c>
      <c r="B52" s="1" t="n">
        <v>43875</v>
      </c>
      <c r="C52" s="1" t="n">
        <v>45206</v>
      </c>
      <c r="D52" t="inlineStr">
        <is>
          <t>NORRBOTTENS LÄN</t>
        </is>
      </c>
      <c r="E52" t="inlineStr">
        <is>
          <t>LULEÅ</t>
        </is>
      </c>
      <c r="G52" t="n">
        <v>13.9</v>
      </c>
      <c r="H52" t="n">
        <v>4</v>
      </c>
      <c r="I52" t="n">
        <v>2</v>
      </c>
      <c r="J52" t="n">
        <v>6</v>
      </c>
      <c r="K52" t="n">
        <v>1</v>
      </c>
      <c r="L52" t="n">
        <v>0</v>
      </c>
      <c r="M52" t="n">
        <v>0</v>
      </c>
      <c r="N52" t="n">
        <v>0</v>
      </c>
      <c r="O52" t="n">
        <v>7</v>
      </c>
      <c r="P52" t="n">
        <v>1</v>
      </c>
      <c r="Q52" t="n">
        <v>9</v>
      </c>
      <c r="R52" s="2" t="inlineStr">
        <is>
          <t>Knärot
Garnlav
Spillkråka
Stiftgelélav
Tretåig hackspett
Ullticka
Violettgrå tagellav
Skinnlav
Spindelblomster</t>
        </is>
      </c>
      <c r="S52">
        <f>HYPERLINK("https://klasma.github.io/Logging_LULEA/artfynd/A 8614-2020.xlsx", "A 8614-2020")</f>
        <v/>
      </c>
      <c r="T52">
        <f>HYPERLINK("https://klasma.github.io/Logging_LULEA/kartor/A 8614-2020.png", "A 8614-2020")</f>
        <v/>
      </c>
      <c r="U52">
        <f>HYPERLINK("https://klasma.github.io/Logging_LULEA/knärot/A 8614-2020.png", "A 8614-2020")</f>
        <v/>
      </c>
      <c r="V52">
        <f>HYPERLINK("https://klasma.github.io/Logging_LULEA/klagomål/A 8614-2020.docx", "A 8614-2020")</f>
        <v/>
      </c>
      <c r="W52">
        <f>HYPERLINK("https://klasma.github.io/Logging_LULEA/klagomålsmail/A 8614-2020.docx", "A 8614-2020")</f>
        <v/>
      </c>
      <c r="X52">
        <f>HYPERLINK("https://klasma.github.io/Logging_LULEA/tillsyn/A 8614-2020.docx", "A 8614-2020")</f>
        <v/>
      </c>
      <c r="Y52">
        <f>HYPERLINK("https://klasma.github.io/Logging_LULEA/tillsynsmail/A 8614-2020.docx", "A 8614-2020")</f>
        <v/>
      </c>
    </row>
    <row r="53" ht="15" customHeight="1">
      <c r="A53" t="inlineStr">
        <is>
          <t>A 34648-2020</t>
        </is>
      </c>
      <c r="B53" s="1" t="n">
        <v>44034</v>
      </c>
      <c r="C53" s="1" t="n">
        <v>45206</v>
      </c>
      <c r="D53" t="inlineStr">
        <is>
          <t>NORRBOTTENS LÄN</t>
        </is>
      </c>
      <c r="E53" t="inlineStr">
        <is>
          <t>PAJALA</t>
        </is>
      </c>
      <c r="F53" t="inlineStr">
        <is>
          <t>Allmännings- och besparingsskogar</t>
        </is>
      </c>
      <c r="G53" t="n">
        <v>49.3</v>
      </c>
      <c r="H53" t="n">
        <v>0</v>
      </c>
      <c r="I53" t="n">
        <v>4</v>
      </c>
      <c r="J53" t="n">
        <v>5</v>
      </c>
      <c r="K53" t="n">
        <v>0</v>
      </c>
      <c r="L53" t="n">
        <v>0</v>
      </c>
      <c r="M53" t="n">
        <v>0</v>
      </c>
      <c r="N53" t="n">
        <v>0</v>
      </c>
      <c r="O53" t="n">
        <v>5</v>
      </c>
      <c r="P53" t="n">
        <v>0</v>
      </c>
      <c r="Q53" t="n">
        <v>9</v>
      </c>
      <c r="R53" s="2" t="inlineStr">
        <is>
          <t>Blågrå svartspik
Gammelgransskål
Garnlav
Granticka
Vitplätt
Bårdlav
Luddlav
Skinnlav
Stuplav</t>
        </is>
      </c>
      <c r="S53">
        <f>HYPERLINK("https://klasma.github.io/Logging_PAJALA/artfynd/A 34648-2020.xlsx", "A 34648-2020")</f>
        <v/>
      </c>
      <c r="T53">
        <f>HYPERLINK("https://klasma.github.io/Logging_PAJALA/kartor/A 34648-2020.png", "A 34648-2020")</f>
        <v/>
      </c>
      <c r="V53">
        <f>HYPERLINK("https://klasma.github.io/Logging_PAJALA/klagomål/A 34648-2020.docx", "A 34648-2020")</f>
        <v/>
      </c>
      <c r="W53">
        <f>HYPERLINK("https://klasma.github.io/Logging_PAJALA/klagomålsmail/A 34648-2020.docx", "A 34648-2020")</f>
        <v/>
      </c>
      <c r="X53">
        <f>HYPERLINK("https://klasma.github.io/Logging_PAJALA/tillsyn/A 34648-2020.docx", "A 34648-2020")</f>
        <v/>
      </c>
      <c r="Y53">
        <f>HYPERLINK("https://klasma.github.io/Logging_PAJALA/tillsynsmail/A 34648-2020.docx", "A 34648-2020")</f>
        <v/>
      </c>
    </row>
    <row r="54" ht="15" customHeight="1">
      <c r="A54" t="inlineStr">
        <is>
          <t>A 58473-2020</t>
        </is>
      </c>
      <c r="B54" s="1" t="n">
        <v>44144</v>
      </c>
      <c r="C54" s="1" t="n">
        <v>45206</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45206</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45206</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45206</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45206</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45206</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45206</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45206</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45206</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45206</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45206</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45206</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45206</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45206</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45206</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45206</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45206</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45206</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45206</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45206</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45206</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45206</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45206</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45206</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45206</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45206</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45206</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45206</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45206</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45206</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45206</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45206</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45206</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45206</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45206</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45206</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45206</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45206</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45206</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45206</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45206</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45206</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45206</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45206</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45206</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45206</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45206</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45206</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45206</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47509-2023</t>
        </is>
      </c>
      <c r="B103" s="1" t="n">
        <v>45203</v>
      </c>
      <c r="C103" s="1" t="n">
        <v>45206</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HYPERLINK("https://klasma.github.io/Logging_PITEA/artfynd/A 47509-2023.xlsx", "A 47509-2023")</f>
        <v/>
      </c>
      <c r="T103">
        <f>HYPERLINK("https://klasma.github.io/Logging_PITEA/kartor/A 47509-2023.png", "A 47509-2023")</f>
        <v/>
      </c>
      <c r="V103">
        <f>HYPERLINK("https://klasma.github.io/Logging_PITEA/klagomål/A 47509-2023.docx", "A 47509-2023")</f>
        <v/>
      </c>
      <c r="W103">
        <f>HYPERLINK("https://klasma.github.io/Logging_PITEA/klagomålsmail/A 47509-2023.docx", "A 47509-2023")</f>
        <v/>
      </c>
      <c r="X103">
        <f>HYPERLINK("https://klasma.github.io/Logging_PITEA/tillsyn/A 47509-2023.docx", "A 47509-2023")</f>
        <v/>
      </c>
      <c r="Y103">
        <f>HYPERLINK("https://klasma.github.io/Logging_PITEA/tillsynsmail/A 47509-2023.docx", "A 47509-2023")</f>
        <v/>
      </c>
    </row>
    <row r="104" ht="15" customHeight="1">
      <c r="A104" t="inlineStr">
        <is>
          <t>A 16776-2019</t>
        </is>
      </c>
      <c r="B104" s="1" t="n">
        <v>43549</v>
      </c>
      <c r="C104" s="1" t="n">
        <v>45206</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HYPERLINK("https://klasma.github.io/Logging_PAJALA/artfynd/A 16776-2019.xlsx", "A 16776-2019")</f>
        <v/>
      </c>
      <c r="T104">
        <f>HYPERLINK("https://klasma.github.io/Logging_PAJALA/kartor/A 16776-2019.png", "A 16776-2019")</f>
        <v/>
      </c>
      <c r="V104">
        <f>HYPERLINK("https://klasma.github.io/Logging_PAJALA/klagomål/A 16776-2019.docx", "A 16776-2019")</f>
        <v/>
      </c>
      <c r="W104">
        <f>HYPERLINK("https://klasma.github.io/Logging_PAJALA/klagomålsmail/A 16776-2019.docx", "A 16776-2019")</f>
        <v/>
      </c>
      <c r="X104">
        <f>HYPERLINK("https://klasma.github.io/Logging_PAJALA/tillsyn/A 16776-2019.docx", "A 16776-2019")</f>
        <v/>
      </c>
      <c r="Y104">
        <f>HYPERLINK("https://klasma.github.io/Logging_PAJALA/tillsynsmail/A 16776-2019.docx", "A 16776-2019")</f>
        <v/>
      </c>
    </row>
    <row r="105" ht="15" customHeight="1">
      <c r="A105" t="inlineStr">
        <is>
          <t>A 32492-2019</t>
        </is>
      </c>
      <c r="B105" s="1" t="n">
        <v>43644</v>
      </c>
      <c r="C105" s="1" t="n">
        <v>45206</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HYPERLINK("https://klasma.github.io/Logging_GALLIVARE/artfynd/A 32492-2019.xlsx", "A 32492-2019")</f>
        <v/>
      </c>
      <c r="T105">
        <f>HYPERLINK("https://klasma.github.io/Logging_GALLIVARE/kartor/A 32492-2019.png", "A 32492-2019")</f>
        <v/>
      </c>
      <c r="V105">
        <f>HYPERLINK("https://klasma.github.io/Logging_GALLIVARE/klagomål/A 32492-2019.docx", "A 32492-2019")</f>
        <v/>
      </c>
      <c r="W105">
        <f>HYPERLINK("https://klasma.github.io/Logging_GALLIVARE/klagomålsmail/A 32492-2019.docx", "A 32492-2019")</f>
        <v/>
      </c>
      <c r="X105">
        <f>HYPERLINK("https://klasma.github.io/Logging_GALLIVARE/tillsyn/A 32492-2019.docx", "A 32492-2019")</f>
        <v/>
      </c>
      <c r="Y105">
        <f>HYPERLINK("https://klasma.github.io/Logging_GALLIVARE/tillsynsmail/A 32492-2019.docx", "A 32492-2019")</f>
        <v/>
      </c>
    </row>
    <row r="106" ht="15" customHeight="1">
      <c r="A106" t="inlineStr">
        <is>
          <t>A 52585-2019</t>
        </is>
      </c>
      <c r="B106" s="1" t="n">
        <v>43745</v>
      </c>
      <c r="C106" s="1" t="n">
        <v>45206</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HYPERLINK("https://klasma.github.io/Logging_BODEN/artfynd/A 52585-2019.xlsx", "A 52585-2019")</f>
        <v/>
      </c>
      <c r="T106">
        <f>HYPERLINK("https://klasma.github.io/Logging_BODEN/kartor/A 52585-2019.png", "A 52585-2019")</f>
        <v/>
      </c>
      <c r="V106">
        <f>HYPERLINK("https://klasma.github.io/Logging_BODEN/klagomål/A 52585-2019.docx", "A 52585-2019")</f>
        <v/>
      </c>
      <c r="W106">
        <f>HYPERLINK("https://klasma.github.io/Logging_BODEN/klagomålsmail/A 52585-2019.docx", "A 52585-2019")</f>
        <v/>
      </c>
      <c r="X106">
        <f>HYPERLINK("https://klasma.github.io/Logging_BODEN/tillsyn/A 52585-2019.docx", "A 52585-2019")</f>
        <v/>
      </c>
      <c r="Y106">
        <f>HYPERLINK("https://klasma.github.io/Logging_BODEN/tillsynsmail/A 52585-2019.docx", "A 52585-2019")</f>
        <v/>
      </c>
    </row>
    <row r="107" ht="15" customHeight="1">
      <c r="A107" t="inlineStr">
        <is>
          <t>A 54602-2019</t>
        </is>
      </c>
      <c r="B107" s="1" t="n">
        <v>43754</v>
      </c>
      <c r="C107" s="1" t="n">
        <v>45206</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HYPERLINK("https://klasma.github.io/Logging_BODEN/artfynd/A 54602-2019.xlsx", "A 54602-2019")</f>
        <v/>
      </c>
      <c r="T107">
        <f>HYPERLINK("https://klasma.github.io/Logging_BODEN/kartor/A 54602-2019.png", "A 54602-2019")</f>
        <v/>
      </c>
      <c r="V107">
        <f>HYPERLINK("https://klasma.github.io/Logging_BODEN/klagomål/A 54602-2019.docx", "A 54602-2019")</f>
        <v/>
      </c>
      <c r="W107">
        <f>HYPERLINK("https://klasma.github.io/Logging_BODEN/klagomålsmail/A 54602-2019.docx", "A 54602-2019")</f>
        <v/>
      </c>
      <c r="X107">
        <f>HYPERLINK("https://klasma.github.io/Logging_BODEN/tillsyn/A 54602-2019.docx", "A 54602-2019")</f>
        <v/>
      </c>
      <c r="Y107">
        <f>HYPERLINK("https://klasma.github.io/Logging_BODEN/tillsynsmail/A 54602-2019.docx", "A 54602-2019")</f>
        <v/>
      </c>
    </row>
    <row r="108" ht="15" customHeight="1">
      <c r="A108" t="inlineStr">
        <is>
          <t>A 68299-2019</t>
        </is>
      </c>
      <c r="B108" s="1" t="n">
        <v>43817</v>
      </c>
      <c r="C108" s="1" t="n">
        <v>45206</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HYPERLINK("https://klasma.github.io/Logging_JOKKMOKK/artfynd/A 68299-2019.xlsx", "A 68299-2019")</f>
        <v/>
      </c>
      <c r="T108">
        <f>HYPERLINK("https://klasma.github.io/Logging_JOKKMOKK/kartor/A 68299-2019.png", "A 68299-2019")</f>
        <v/>
      </c>
      <c r="V108">
        <f>HYPERLINK("https://klasma.github.io/Logging_JOKKMOKK/klagomål/A 68299-2019.docx", "A 68299-2019")</f>
        <v/>
      </c>
      <c r="W108">
        <f>HYPERLINK("https://klasma.github.io/Logging_JOKKMOKK/klagomålsmail/A 68299-2019.docx", "A 68299-2019")</f>
        <v/>
      </c>
      <c r="X108">
        <f>HYPERLINK("https://klasma.github.io/Logging_JOKKMOKK/tillsyn/A 68299-2019.docx", "A 68299-2019")</f>
        <v/>
      </c>
      <c r="Y108">
        <f>HYPERLINK("https://klasma.github.io/Logging_JOKKMOKK/tillsynsmail/A 68299-2019.docx", "A 68299-2019")</f>
        <v/>
      </c>
    </row>
    <row r="109" ht="15" customHeight="1">
      <c r="A109" t="inlineStr">
        <is>
          <t>A 31593-2020</t>
        </is>
      </c>
      <c r="B109" s="1" t="n">
        <v>44013</v>
      </c>
      <c r="C109" s="1" t="n">
        <v>45206</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HYPERLINK("https://klasma.github.io/Logging_ARVIDSJAUR/artfynd/A 31593-2020.xlsx", "A 31593-2020")</f>
        <v/>
      </c>
      <c r="T109">
        <f>HYPERLINK("https://klasma.github.io/Logging_ARVIDSJAUR/kartor/A 31593-2020.png", "A 31593-2020")</f>
        <v/>
      </c>
      <c r="V109">
        <f>HYPERLINK("https://klasma.github.io/Logging_ARVIDSJAUR/klagomål/A 31593-2020.docx", "A 31593-2020")</f>
        <v/>
      </c>
      <c r="W109">
        <f>HYPERLINK("https://klasma.github.io/Logging_ARVIDSJAUR/klagomålsmail/A 31593-2020.docx", "A 31593-2020")</f>
        <v/>
      </c>
      <c r="X109">
        <f>HYPERLINK("https://klasma.github.io/Logging_ARVIDSJAUR/tillsyn/A 31593-2020.docx", "A 31593-2020")</f>
        <v/>
      </c>
      <c r="Y109">
        <f>HYPERLINK("https://klasma.github.io/Logging_ARVIDSJAUR/tillsynsmail/A 31593-2020.docx", "A 31593-2020")</f>
        <v/>
      </c>
    </row>
    <row r="110" ht="15" customHeight="1">
      <c r="A110" t="inlineStr">
        <is>
          <t>A 38342-2020</t>
        </is>
      </c>
      <c r="B110" s="1" t="n">
        <v>44060</v>
      </c>
      <c r="C110" s="1" t="n">
        <v>45206</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HYPERLINK("https://klasma.github.io/Logging_KIRUNA/artfynd/A 38342-2020.xlsx", "A 38342-2020")</f>
        <v/>
      </c>
      <c r="T110">
        <f>HYPERLINK("https://klasma.github.io/Logging_KIRUNA/kartor/A 38342-2020.png", "A 38342-2020")</f>
        <v/>
      </c>
      <c r="V110">
        <f>HYPERLINK("https://klasma.github.io/Logging_KIRUNA/klagomål/A 38342-2020.docx", "A 38342-2020")</f>
        <v/>
      </c>
      <c r="W110">
        <f>HYPERLINK("https://klasma.github.io/Logging_KIRUNA/klagomålsmail/A 38342-2020.docx", "A 38342-2020")</f>
        <v/>
      </c>
      <c r="X110">
        <f>HYPERLINK("https://klasma.github.io/Logging_KIRUNA/tillsyn/A 38342-2020.docx", "A 38342-2020")</f>
        <v/>
      </c>
      <c r="Y110">
        <f>HYPERLINK("https://klasma.github.io/Logging_KIRUNA/tillsynsmail/A 38342-2020.docx", "A 38342-2020")</f>
        <v/>
      </c>
    </row>
    <row r="111" ht="15" customHeight="1">
      <c r="A111" t="inlineStr">
        <is>
          <t>A 54390-2020</t>
        </is>
      </c>
      <c r="B111" s="1" t="n">
        <v>44126</v>
      </c>
      <c r="C111" s="1" t="n">
        <v>45206</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HYPERLINK("https://klasma.github.io/Logging_OVERTORNEA/artfynd/A 54390-2020.xlsx", "A 54390-2020")</f>
        <v/>
      </c>
      <c r="T111">
        <f>HYPERLINK("https://klasma.github.io/Logging_OVERTORNEA/kartor/A 54390-2020.png", "A 54390-2020")</f>
        <v/>
      </c>
      <c r="V111">
        <f>HYPERLINK("https://klasma.github.io/Logging_OVERTORNEA/klagomål/A 54390-2020.docx", "A 54390-2020")</f>
        <v/>
      </c>
      <c r="W111">
        <f>HYPERLINK("https://klasma.github.io/Logging_OVERTORNEA/klagomålsmail/A 54390-2020.docx", "A 54390-2020")</f>
        <v/>
      </c>
      <c r="X111">
        <f>HYPERLINK("https://klasma.github.io/Logging_OVERTORNEA/tillsyn/A 54390-2020.docx", "A 54390-2020")</f>
        <v/>
      </c>
      <c r="Y111">
        <f>HYPERLINK("https://klasma.github.io/Logging_OVERTORNEA/tillsynsmail/A 54390-2020.docx", "A 54390-2020")</f>
        <v/>
      </c>
    </row>
    <row r="112" ht="15" customHeight="1">
      <c r="A112" t="inlineStr">
        <is>
          <t>A 64709-2020</t>
        </is>
      </c>
      <c r="B112" s="1" t="n">
        <v>44169</v>
      </c>
      <c r="C112" s="1" t="n">
        <v>45206</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HYPERLINK("https://klasma.github.io/Logging_BODEN/artfynd/A 64709-2020.xlsx", "A 64709-2020")</f>
        <v/>
      </c>
      <c r="T112">
        <f>HYPERLINK("https://klasma.github.io/Logging_BODEN/kartor/A 64709-2020.png", "A 64709-2020")</f>
        <v/>
      </c>
      <c r="V112">
        <f>HYPERLINK("https://klasma.github.io/Logging_BODEN/klagomål/A 64709-2020.docx", "A 64709-2020")</f>
        <v/>
      </c>
      <c r="W112">
        <f>HYPERLINK("https://klasma.github.io/Logging_BODEN/klagomålsmail/A 64709-2020.docx", "A 64709-2020")</f>
        <v/>
      </c>
      <c r="X112">
        <f>HYPERLINK("https://klasma.github.io/Logging_BODEN/tillsyn/A 64709-2020.docx", "A 64709-2020")</f>
        <v/>
      </c>
      <c r="Y112">
        <f>HYPERLINK("https://klasma.github.io/Logging_BODEN/tillsynsmail/A 64709-2020.docx", "A 64709-2020")</f>
        <v/>
      </c>
    </row>
    <row r="113" ht="15" customHeight="1">
      <c r="A113" t="inlineStr">
        <is>
          <t>A 31305-2021</t>
        </is>
      </c>
      <c r="B113" s="1" t="n">
        <v>44368</v>
      </c>
      <c r="C113" s="1" t="n">
        <v>45206</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HYPERLINK("https://klasma.github.io/Logging_OVERTORNEA/artfynd/A 31305-2021.xlsx", "A 31305-2021")</f>
        <v/>
      </c>
      <c r="T113">
        <f>HYPERLINK("https://klasma.github.io/Logging_OVERTORNEA/kartor/A 31305-2021.png", "A 31305-2021")</f>
        <v/>
      </c>
      <c r="V113">
        <f>HYPERLINK("https://klasma.github.io/Logging_OVERTORNEA/klagomål/A 31305-2021.docx", "A 31305-2021")</f>
        <v/>
      </c>
      <c r="W113">
        <f>HYPERLINK("https://klasma.github.io/Logging_OVERTORNEA/klagomålsmail/A 31305-2021.docx", "A 31305-2021")</f>
        <v/>
      </c>
      <c r="X113">
        <f>HYPERLINK("https://klasma.github.io/Logging_OVERTORNEA/tillsyn/A 31305-2021.docx", "A 31305-2021")</f>
        <v/>
      </c>
      <c r="Y113">
        <f>HYPERLINK("https://klasma.github.io/Logging_OVERTORNEA/tillsynsmail/A 31305-2021.docx", "A 31305-2021")</f>
        <v/>
      </c>
    </row>
    <row r="114" ht="15" customHeight="1">
      <c r="A114" t="inlineStr">
        <is>
          <t>A 56289-2021</t>
        </is>
      </c>
      <c r="B114" s="1" t="n">
        <v>44479</v>
      </c>
      <c r="C114" s="1" t="n">
        <v>45206</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HYPERLINK("https://klasma.github.io/Logging_GALLIVARE/artfynd/A 56289-2021.xlsx", "A 56289-2021")</f>
        <v/>
      </c>
      <c r="T114">
        <f>HYPERLINK("https://klasma.github.io/Logging_GALLIVARE/kartor/A 56289-2021.png", "A 56289-2021")</f>
        <v/>
      </c>
      <c r="V114">
        <f>HYPERLINK("https://klasma.github.io/Logging_GALLIVARE/klagomål/A 56289-2021.docx", "A 56289-2021")</f>
        <v/>
      </c>
      <c r="W114">
        <f>HYPERLINK("https://klasma.github.io/Logging_GALLIVARE/klagomålsmail/A 56289-2021.docx", "A 56289-2021")</f>
        <v/>
      </c>
      <c r="X114">
        <f>HYPERLINK("https://klasma.github.io/Logging_GALLIVARE/tillsyn/A 56289-2021.docx", "A 56289-2021")</f>
        <v/>
      </c>
      <c r="Y114">
        <f>HYPERLINK("https://klasma.github.io/Logging_GALLIVARE/tillsynsmail/A 56289-2021.docx", "A 56289-2021")</f>
        <v/>
      </c>
    </row>
    <row r="115" ht="15" customHeight="1">
      <c r="A115" t="inlineStr">
        <is>
          <t>A 59451-2021</t>
        </is>
      </c>
      <c r="B115" s="1" t="n">
        <v>44490</v>
      </c>
      <c r="C115" s="1" t="n">
        <v>45206</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HYPERLINK("https://klasma.github.io/Logging_JOKKMOKK/artfynd/A 59451-2021.xlsx", "A 59451-2021")</f>
        <v/>
      </c>
      <c r="T115">
        <f>HYPERLINK("https://klasma.github.io/Logging_JOKKMOKK/kartor/A 59451-2021.png", "A 59451-2021")</f>
        <v/>
      </c>
      <c r="V115">
        <f>HYPERLINK("https://klasma.github.io/Logging_JOKKMOKK/klagomål/A 59451-2021.docx", "A 59451-2021")</f>
        <v/>
      </c>
      <c r="W115">
        <f>HYPERLINK("https://klasma.github.io/Logging_JOKKMOKK/klagomålsmail/A 59451-2021.docx", "A 59451-2021")</f>
        <v/>
      </c>
      <c r="X115">
        <f>HYPERLINK("https://klasma.github.io/Logging_JOKKMOKK/tillsyn/A 59451-2021.docx", "A 59451-2021")</f>
        <v/>
      </c>
      <c r="Y115">
        <f>HYPERLINK("https://klasma.github.io/Logging_JOKKMOKK/tillsynsmail/A 59451-2021.docx", "A 59451-2021")</f>
        <v/>
      </c>
    </row>
    <row r="116" ht="15" customHeight="1">
      <c r="A116" t="inlineStr">
        <is>
          <t>A 26963-2022</t>
        </is>
      </c>
      <c r="B116" s="1" t="n">
        <v>44740</v>
      </c>
      <c r="C116" s="1" t="n">
        <v>45206</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HYPERLINK("https://klasma.github.io/Logging_PITEA/artfynd/A 26963-2022.xlsx", "A 26963-2022")</f>
        <v/>
      </c>
      <c r="T116">
        <f>HYPERLINK("https://klasma.github.io/Logging_PITEA/kartor/A 26963-2022.png", "A 26963-2022")</f>
        <v/>
      </c>
      <c r="V116">
        <f>HYPERLINK("https://klasma.github.io/Logging_PITEA/klagomål/A 26963-2022.docx", "A 26963-2022")</f>
        <v/>
      </c>
      <c r="W116">
        <f>HYPERLINK("https://klasma.github.io/Logging_PITEA/klagomålsmail/A 26963-2022.docx", "A 26963-2022")</f>
        <v/>
      </c>
      <c r="X116">
        <f>HYPERLINK("https://klasma.github.io/Logging_PITEA/tillsyn/A 26963-2022.docx", "A 26963-2022")</f>
        <v/>
      </c>
      <c r="Y116">
        <f>HYPERLINK("https://klasma.github.io/Logging_PITEA/tillsynsmail/A 26963-2022.docx", "A 26963-2022")</f>
        <v/>
      </c>
    </row>
    <row r="117" ht="15" customHeight="1">
      <c r="A117" t="inlineStr">
        <is>
          <t>A 29873-2022</t>
        </is>
      </c>
      <c r="B117" s="1" t="n">
        <v>44755</v>
      </c>
      <c r="C117" s="1" t="n">
        <v>45206</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HYPERLINK("https://klasma.github.io/Logging_PAJALA/artfynd/A 29873-2022.xlsx", "A 29873-2022")</f>
        <v/>
      </c>
      <c r="T117">
        <f>HYPERLINK("https://klasma.github.io/Logging_PAJALA/kartor/A 29873-2022.png", "A 29873-2022")</f>
        <v/>
      </c>
      <c r="V117">
        <f>HYPERLINK("https://klasma.github.io/Logging_PAJALA/klagomål/A 29873-2022.docx", "A 29873-2022")</f>
        <v/>
      </c>
      <c r="W117">
        <f>HYPERLINK("https://klasma.github.io/Logging_PAJALA/klagomålsmail/A 29873-2022.docx", "A 29873-2022")</f>
        <v/>
      </c>
      <c r="X117">
        <f>HYPERLINK("https://klasma.github.io/Logging_PAJALA/tillsyn/A 29873-2022.docx", "A 29873-2022")</f>
        <v/>
      </c>
      <c r="Y117">
        <f>HYPERLINK("https://klasma.github.io/Logging_PAJALA/tillsynsmail/A 29873-2022.docx", "A 29873-2022")</f>
        <v/>
      </c>
    </row>
    <row r="118" ht="15" customHeight="1">
      <c r="A118" t="inlineStr">
        <is>
          <t>A 30582-2022</t>
        </is>
      </c>
      <c r="B118" s="1" t="n">
        <v>44762</v>
      </c>
      <c r="C118" s="1" t="n">
        <v>45206</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HYPERLINK("https://klasma.github.io/Logging_JOKKMOKK/artfynd/A 30582-2022.xlsx", "A 30582-2022")</f>
        <v/>
      </c>
      <c r="T118">
        <f>HYPERLINK("https://klasma.github.io/Logging_JOKKMOKK/kartor/A 30582-2022.png", "A 30582-2022")</f>
        <v/>
      </c>
      <c r="V118">
        <f>HYPERLINK("https://klasma.github.io/Logging_JOKKMOKK/klagomål/A 30582-2022.docx", "A 30582-2022")</f>
        <v/>
      </c>
      <c r="W118">
        <f>HYPERLINK("https://klasma.github.io/Logging_JOKKMOKK/klagomålsmail/A 30582-2022.docx", "A 30582-2022")</f>
        <v/>
      </c>
      <c r="X118">
        <f>HYPERLINK("https://klasma.github.io/Logging_JOKKMOKK/tillsyn/A 30582-2022.docx", "A 30582-2022")</f>
        <v/>
      </c>
      <c r="Y118">
        <f>HYPERLINK("https://klasma.github.io/Logging_JOKKMOKK/tillsynsmail/A 30582-2022.docx", "A 30582-2022")</f>
        <v/>
      </c>
    </row>
    <row r="119" ht="15" customHeight="1">
      <c r="A119" t="inlineStr">
        <is>
          <t>A 47035-2022</t>
        </is>
      </c>
      <c r="B119" s="1" t="n">
        <v>44851</v>
      </c>
      <c r="C119" s="1" t="n">
        <v>45206</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HYPERLINK("https://klasma.github.io/Logging_ARJEPLOG/artfynd/A 47035-2022.xlsx", "A 47035-2022")</f>
        <v/>
      </c>
      <c r="T119">
        <f>HYPERLINK("https://klasma.github.io/Logging_ARJEPLOG/kartor/A 47035-2022.png", "A 47035-2022")</f>
        <v/>
      </c>
      <c r="V119">
        <f>HYPERLINK("https://klasma.github.io/Logging_ARJEPLOG/klagomål/A 47035-2022.docx", "A 47035-2022")</f>
        <v/>
      </c>
      <c r="W119">
        <f>HYPERLINK("https://klasma.github.io/Logging_ARJEPLOG/klagomålsmail/A 47035-2022.docx", "A 47035-2022")</f>
        <v/>
      </c>
      <c r="X119">
        <f>HYPERLINK("https://klasma.github.io/Logging_ARJEPLOG/tillsyn/A 47035-2022.docx", "A 47035-2022")</f>
        <v/>
      </c>
      <c r="Y119">
        <f>HYPERLINK("https://klasma.github.io/Logging_ARJEPLOG/tillsynsmail/A 47035-2022.docx", "A 47035-2022")</f>
        <v/>
      </c>
    </row>
    <row r="120" ht="15" customHeight="1">
      <c r="A120" t="inlineStr">
        <is>
          <t>A 54504-2022</t>
        </is>
      </c>
      <c r="B120" s="1" t="n">
        <v>44880</v>
      </c>
      <c r="C120" s="1" t="n">
        <v>45206</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HYPERLINK("https://klasma.github.io/Logging_OVERTORNEA/artfynd/A 54504-2022.xlsx", "A 54504-2022")</f>
        <v/>
      </c>
      <c r="T120">
        <f>HYPERLINK("https://klasma.github.io/Logging_OVERTORNEA/kartor/A 54504-2022.png", "A 54504-2022")</f>
        <v/>
      </c>
      <c r="V120">
        <f>HYPERLINK("https://klasma.github.io/Logging_OVERTORNEA/klagomål/A 54504-2022.docx", "A 54504-2022")</f>
        <v/>
      </c>
      <c r="W120">
        <f>HYPERLINK("https://klasma.github.io/Logging_OVERTORNEA/klagomålsmail/A 54504-2022.docx", "A 54504-2022")</f>
        <v/>
      </c>
      <c r="X120">
        <f>HYPERLINK("https://klasma.github.io/Logging_OVERTORNEA/tillsyn/A 54504-2022.docx", "A 54504-2022")</f>
        <v/>
      </c>
      <c r="Y120">
        <f>HYPERLINK("https://klasma.github.io/Logging_OVERTORNEA/tillsynsmail/A 54504-2022.docx", "A 54504-2022")</f>
        <v/>
      </c>
    </row>
    <row r="121" ht="15" customHeight="1">
      <c r="A121" t="inlineStr">
        <is>
          <t>A 15202-2023</t>
        </is>
      </c>
      <c r="B121" s="1" t="n">
        <v>45017</v>
      </c>
      <c r="C121" s="1" t="n">
        <v>45206</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HYPERLINK("https://klasma.github.io/Logging_OVERTORNEA/artfynd/A 15202-2023.xlsx", "A 15202-2023")</f>
        <v/>
      </c>
      <c r="T121">
        <f>HYPERLINK("https://klasma.github.io/Logging_OVERTORNEA/kartor/A 15202-2023.png", "A 15202-2023")</f>
        <v/>
      </c>
      <c r="V121">
        <f>HYPERLINK("https://klasma.github.io/Logging_OVERTORNEA/klagomål/A 15202-2023.docx", "A 15202-2023")</f>
        <v/>
      </c>
      <c r="W121">
        <f>HYPERLINK("https://klasma.github.io/Logging_OVERTORNEA/klagomålsmail/A 15202-2023.docx", "A 15202-2023")</f>
        <v/>
      </c>
      <c r="X121">
        <f>HYPERLINK("https://klasma.github.io/Logging_OVERTORNEA/tillsyn/A 15202-2023.docx", "A 15202-2023")</f>
        <v/>
      </c>
      <c r="Y121">
        <f>HYPERLINK("https://klasma.github.io/Logging_OVERTORNEA/tillsynsmail/A 15202-2023.docx", "A 15202-2023")</f>
        <v/>
      </c>
    </row>
    <row r="122" ht="15" customHeight="1">
      <c r="A122" t="inlineStr">
        <is>
          <t>A 16030-2023</t>
        </is>
      </c>
      <c r="B122" s="1" t="n">
        <v>45021</v>
      </c>
      <c r="C122" s="1" t="n">
        <v>45206</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HYPERLINK("https://klasma.github.io/Logging_PAJALA/artfynd/A 16030-2023.xlsx", "A 16030-2023")</f>
        <v/>
      </c>
      <c r="T122">
        <f>HYPERLINK("https://klasma.github.io/Logging_PAJALA/kartor/A 16030-2023.png", "A 16030-2023")</f>
        <v/>
      </c>
      <c r="V122">
        <f>HYPERLINK("https://klasma.github.io/Logging_PAJALA/klagomål/A 16030-2023.docx", "A 16030-2023")</f>
        <v/>
      </c>
      <c r="W122">
        <f>HYPERLINK("https://klasma.github.io/Logging_PAJALA/klagomålsmail/A 16030-2023.docx", "A 16030-2023")</f>
        <v/>
      </c>
      <c r="X122">
        <f>HYPERLINK("https://klasma.github.io/Logging_PAJALA/tillsyn/A 16030-2023.docx", "A 16030-2023")</f>
        <v/>
      </c>
      <c r="Y122">
        <f>HYPERLINK("https://klasma.github.io/Logging_PAJALA/tillsynsmail/A 16030-2023.docx", "A 16030-2023")</f>
        <v/>
      </c>
    </row>
    <row r="123" ht="15" customHeight="1">
      <c r="A123" t="inlineStr">
        <is>
          <t>A 18760-2023</t>
        </is>
      </c>
      <c r="B123" s="1" t="n">
        <v>45043</v>
      </c>
      <c r="C123" s="1" t="n">
        <v>45206</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HYPERLINK("https://klasma.github.io/Logging_LULEA/artfynd/A 18760-2023.xlsx", "A 18760-2023")</f>
        <v/>
      </c>
      <c r="T123">
        <f>HYPERLINK("https://klasma.github.io/Logging_LULEA/kartor/A 18760-2023.png", "A 18760-2023")</f>
        <v/>
      </c>
      <c r="V123">
        <f>HYPERLINK("https://klasma.github.io/Logging_LULEA/klagomål/A 18760-2023.docx", "A 18760-2023")</f>
        <v/>
      </c>
      <c r="W123">
        <f>HYPERLINK("https://klasma.github.io/Logging_LULEA/klagomålsmail/A 18760-2023.docx", "A 18760-2023")</f>
        <v/>
      </c>
      <c r="X123">
        <f>HYPERLINK("https://klasma.github.io/Logging_LULEA/tillsyn/A 18760-2023.docx", "A 18760-2023")</f>
        <v/>
      </c>
      <c r="Y123">
        <f>HYPERLINK("https://klasma.github.io/Logging_LULEA/tillsynsmail/A 18760-2023.docx", "A 18760-2023")</f>
        <v/>
      </c>
    </row>
    <row r="124" ht="15" customHeight="1">
      <c r="A124" t="inlineStr">
        <is>
          <t>A 19598-2023</t>
        </is>
      </c>
      <c r="B124" s="1" t="n">
        <v>45049</v>
      </c>
      <c r="C124" s="1" t="n">
        <v>45206</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HYPERLINK("https://klasma.github.io/Logging_BODEN/artfynd/A 19598-2023.xlsx", "A 19598-2023")</f>
        <v/>
      </c>
      <c r="T124">
        <f>HYPERLINK("https://klasma.github.io/Logging_BODEN/kartor/A 19598-2023.png", "A 19598-2023")</f>
        <v/>
      </c>
      <c r="V124">
        <f>HYPERLINK("https://klasma.github.io/Logging_BODEN/klagomål/A 19598-2023.docx", "A 19598-2023")</f>
        <v/>
      </c>
      <c r="W124">
        <f>HYPERLINK("https://klasma.github.io/Logging_BODEN/klagomålsmail/A 19598-2023.docx", "A 19598-2023")</f>
        <v/>
      </c>
      <c r="X124">
        <f>HYPERLINK("https://klasma.github.io/Logging_BODEN/tillsyn/A 19598-2023.docx", "A 19598-2023")</f>
        <v/>
      </c>
      <c r="Y124">
        <f>HYPERLINK("https://klasma.github.io/Logging_BODEN/tillsynsmail/A 19598-2023.docx", "A 19598-2023")</f>
        <v/>
      </c>
    </row>
    <row r="125" ht="15" customHeight="1">
      <c r="A125" t="inlineStr">
        <is>
          <t>A 61660-2018</t>
        </is>
      </c>
      <c r="B125" s="1" t="n">
        <v>43424</v>
      </c>
      <c r="C125" s="1" t="n">
        <v>45206</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HYPERLINK("https://klasma.github.io/Logging_ARJEPLOG/artfynd/A 61660-2018.xlsx", "A 61660-2018")</f>
        <v/>
      </c>
      <c r="T125">
        <f>HYPERLINK("https://klasma.github.io/Logging_ARJEPLOG/kartor/A 61660-2018.png", "A 61660-2018")</f>
        <v/>
      </c>
      <c r="V125">
        <f>HYPERLINK("https://klasma.github.io/Logging_ARJEPLOG/klagomål/A 61660-2018.docx", "A 61660-2018")</f>
        <v/>
      </c>
      <c r="W125">
        <f>HYPERLINK("https://klasma.github.io/Logging_ARJEPLOG/klagomålsmail/A 61660-2018.docx", "A 61660-2018")</f>
        <v/>
      </c>
      <c r="X125">
        <f>HYPERLINK("https://klasma.github.io/Logging_ARJEPLOG/tillsyn/A 61660-2018.docx", "A 61660-2018")</f>
        <v/>
      </c>
      <c r="Y125">
        <f>HYPERLINK("https://klasma.github.io/Logging_ARJEPLOG/tillsynsmail/A 61660-2018.docx", "A 61660-2018")</f>
        <v/>
      </c>
    </row>
    <row r="126" ht="15" customHeight="1">
      <c r="A126" t="inlineStr">
        <is>
          <t>A 69159-2018</t>
        </is>
      </c>
      <c r="B126" s="1" t="n">
        <v>43445</v>
      </c>
      <c r="C126" s="1" t="n">
        <v>45206</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HYPERLINK("https://klasma.github.io/Logging_BODEN/artfynd/A 69159-2018.xlsx", "A 69159-2018")</f>
        <v/>
      </c>
      <c r="T126">
        <f>HYPERLINK("https://klasma.github.io/Logging_BODEN/kartor/A 69159-2018.png", "A 69159-2018")</f>
        <v/>
      </c>
      <c r="V126">
        <f>HYPERLINK("https://klasma.github.io/Logging_BODEN/klagomål/A 69159-2018.docx", "A 69159-2018")</f>
        <v/>
      </c>
      <c r="W126">
        <f>HYPERLINK("https://klasma.github.io/Logging_BODEN/klagomålsmail/A 69159-2018.docx", "A 69159-2018")</f>
        <v/>
      </c>
      <c r="X126">
        <f>HYPERLINK("https://klasma.github.io/Logging_BODEN/tillsyn/A 69159-2018.docx", "A 69159-2018")</f>
        <v/>
      </c>
      <c r="Y126">
        <f>HYPERLINK("https://klasma.github.io/Logging_BODEN/tillsynsmail/A 69159-2018.docx", "A 69159-2018")</f>
        <v/>
      </c>
    </row>
    <row r="127" ht="15" customHeight="1">
      <c r="A127" t="inlineStr">
        <is>
          <t>A 50860-2019</t>
        </is>
      </c>
      <c r="B127" s="1" t="n">
        <v>43738</v>
      </c>
      <c r="C127" s="1" t="n">
        <v>45206</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HYPERLINK("https://klasma.github.io/Logging_KALIX/artfynd/A 50860-2019.xlsx", "A 50860-2019")</f>
        <v/>
      </c>
      <c r="T127">
        <f>HYPERLINK("https://klasma.github.io/Logging_KALIX/kartor/A 50860-2019.png", "A 50860-2019")</f>
        <v/>
      </c>
      <c r="V127">
        <f>HYPERLINK("https://klasma.github.io/Logging_KALIX/klagomål/A 50860-2019.docx", "A 50860-2019")</f>
        <v/>
      </c>
      <c r="W127">
        <f>HYPERLINK("https://klasma.github.io/Logging_KALIX/klagomålsmail/A 50860-2019.docx", "A 50860-2019")</f>
        <v/>
      </c>
      <c r="X127">
        <f>HYPERLINK("https://klasma.github.io/Logging_KALIX/tillsyn/A 50860-2019.docx", "A 50860-2019")</f>
        <v/>
      </c>
      <c r="Y127">
        <f>HYPERLINK("https://klasma.github.io/Logging_KALIX/tillsynsmail/A 50860-2019.docx", "A 50860-2019")</f>
        <v/>
      </c>
    </row>
    <row r="128" ht="15" customHeight="1">
      <c r="A128" t="inlineStr">
        <is>
          <t>A 67604-2019</t>
        </is>
      </c>
      <c r="B128" s="1" t="n">
        <v>43808</v>
      </c>
      <c r="C128" s="1" t="n">
        <v>45206</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HYPERLINK("https://klasma.github.io/Logging_BODEN/artfynd/A 67604-2019.xlsx", "A 67604-2019")</f>
        <v/>
      </c>
      <c r="T128">
        <f>HYPERLINK("https://klasma.github.io/Logging_BODEN/kartor/A 67604-2019.png", "A 67604-2019")</f>
        <v/>
      </c>
      <c r="V128">
        <f>HYPERLINK("https://klasma.github.io/Logging_BODEN/klagomål/A 67604-2019.docx", "A 67604-2019")</f>
        <v/>
      </c>
      <c r="W128">
        <f>HYPERLINK("https://klasma.github.io/Logging_BODEN/klagomålsmail/A 67604-2019.docx", "A 67604-2019")</f>
        <v/>
      </c>
      <c r="X128">
        <f>HYPERLINK("https://klasma.github.io/Logging_BODEN/tillsyn/A 67604-2019.docx", "A 67604-2019")</f>
        <v/>
      </c>
      <c r="Y128">
        <f>HYPERLINK("https://klasma.github.io/Logging_BODEN/tillsynsmail/A 67604-2019.docx", "A 67604-2019")</f>
        <v/>
      </c>
    </row>
    <row r="129" ht="15" customHeight="1">
      <c r="A129" t="inlineStr">
        <is>
          <t>A 27084-2020</t>
        </is>
      </c>
      <c r="B129" s="1" t="n">
        <v>43991</v>
      </c>
      <c r="C129" s="1" t="n">
        <v>45206</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HYPERLINK("https://klasma.github.io/Logging_BODEN/artfynd/A 27084-2020.xlsx", "A 27084-2020")</f>
        <v/>
      </c>
      <c r="T129">
        <f>HYPERLINK("https://klasma.github.io/Logging_BODEN/kartor/A 27084-2020.png", "A 27084-2020")</f>
        <v/>
      </c>
      <c r="V129">
        <f>HYPERLINK("https://klasma.github.io/Logging_BODEN/klagomål/A 27084-2020.docx", "A 27084-2020")</f>
        <v/>
      </c>
      <c r="W129">
        <f>HYPERLINK("https://klasma.github.io/Logging_BODEN/klagomålsmail/A 27084-2020.docx", "A 27084-2020")</f>
        <v/>
      </c>
      <c r="X129">
        <f>HYPERLINK("https://klasma.github.io/Logging_BODEN/tillsyn/A 27084-2020.docx", "A 27084-2020")</f>
        <v/>
      </c>
      <c r="Y129">
        <f>HYPERLINK("https://klasma.github.io/Logging_BODEN/tillsynsmail/A 27084-2020.docx", "A 27084-2020")</f>
        <v/>
      </c>
    </row>
    <row r="130" ht="15" customHeight="1">
      <c r="A130" t="inlineStr">
        <is>
          <t>A 27955-2020</t>
        </is>
      </c>
      <c r="B130" s="1" t="n">
        <v>43993</v>
      </c>
      <c r="C130" s="1" t="n">
        <v>45206</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HYPERLINK("https://klasma.github.io/Logging_KIRUNA/artfynd/A 27955-2020.xlsx", "A 27955-2020")</f>
        <v/>
      </c>
      <c r="T130">
        <f>HYPERLINK("https://klasma.github.io/Logging_KIRUNA/kartor/A 27955-2020.png", "A 27955-2020")</f>
        <v/>
      </c>
      <c r="V130">
        <f>HYPERLINK("https://klasma.github.io/Logging_KIRUNA/klagomål/A 27955-2020.docx", "A 27955-2020")</f>
        <v/>
      </c>
      <c r="W130">
        <f>HYPERLINK("https://klasma.github.io/Logging_KIRUNA/klagomålsmail/A 27955-2020.docx", "A 27955-2020")</f>
        <v/>
      </c>
      <c r="X130">
        <f>HYPERLINK("https://klasma.github.io/Logging_KIRUNA/tillsyn/A 27955-2020.docx", "A 27955-2020")</f>
        <v/>
      </c>
      <c r="Y130">
        <f>HYPERLINK("https://klasma.github.io/Logging_KIRUNA/tillsynsmail/A 27955-2020.docx", "A 27955-2020")</f>
        <v/>
      </c>
    </row>
    <row r="131" ht="15" customHeight="1">
      <c r="A131" t="inlineStr">
        <is>
          <t>A 30786-2020</t>
        </is>
      </c>
      <c r="B131" s="1" t="n">
        <v>44010</v>
      </c>
      <c r="C131" s="1" t="n">
        <v>45206</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HYPERLINK("https://klasma.github.io/Logging_BODEN/artfynd/A 30786-2020.xlsx", "A 30786-2020")</f>
        <v/>
      </c>
      <c r="T131">
        <f>HYPERLINK("https://klasma.github.io/Logging_BODEN/kartor/A 30786-2020.png", "A 30786-2020")</f>
        <v/>
      </c>
      <c r="V131">
        <f>HYPERLINK("https://klasma.github.io/Logging_BODEN/klagomål/A 30786-2020.docx", "A 30786-2020")</f>
        <v/>
      </c>
      <c r="W131">
        <f>HYPERLINK("https://klasma.github.io/Logging_BODEN/klagomålsmail/A 30786-2020.docx", "A 30786-2020")</f>
        <v/>
      </c>
      <c r="X131">
        <f>HYPERLINK("https://klasma.github.io/Logging_BODEN/tillsyn/A 30786-2020.docx", "A 30786-2020")</f>
        <v/>
      </c>
      <c r="Y131">
        <f>HYPERLINK("https://klasma.github.io/Logging_BODEN/tillsynsmail/A 30786-2020.docx", "A 30786-2020")</f>
        <v/>
      </c>
    </row>
    <row r="132" ht="15" customHeight="1">
      <c r="A132" t="inlineStr">
        <is>
          <t>A 42532-2020</t>
        </is>
      </c>
      <c r="B132" s="1" t="n">
        <v>44074</v>
      </c>
      <c r="C132" s="1" t="n">
        <v>45206</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HYPERLINK("https://klasma.github.io/Logging_KIRUNA/artfynd/A 42532-2020.xlsx", "A 42532-2020")</f>
        <v/>
      </c>
      <c r="T132">
        <f>HYPERLINK("https://klasma.github.io/Logging_KIRUNA/kartor/A 42532-2020.png", "A 42532-2020")</f>
        <v/>
      </c>
      <c r="V132">
        <f>HYPERLINK("https://klasma.github.io/Logging_KIRUNA/klagomål/A 42532-2020.docx", "A 42532-2020")</f>
        <v/>
      </c>
      <c r="W132">
        <f>HYPERLINK("https://klasma.github.io/Logging_KIRUNA/klagomålsmail/A 42532-2020.docx", "A 42532-2020")</f>
        <v/>
      </c>
      <c r="X132">
        <f>HYPERLINK("https://klasma.github.io/Logging_KIRUNA/tillsyn/A 42532-2020.docx", "A 42532-2020")</f>
        <v/>
      </c>
      <c r="Y132">
        <f>HYPERLINK("https://klasma.github.io/Logging_KIRUNA/tillsynsmail/A 42532-2020.docx", "A 42532-2020")</f>
        <v/>
      </c>
    </row>
    <row r="133" ht="15" customHeight="1">
      <c r="A133" t="inlineStr">
        <is>
          <t>A 42512-2020</t>
        </is>
      </c>
      <c r="B133" s="1" t="n">
        <v>44074</v>
      </c>
      <c r="C133" s="1" t="n">
        <v>45206</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HYPERLINK("https://klasma.github.io/Logging_KIRUNA/artfynd/A 42512-2020.xlsx", "A 42512-2020")</f>
        <v/>
      </c>
      <c r="T133">
        <f>HYPERLINK("https://klasma.github.io/Logging_KIRUNA/kartor/A 42512-2020.png", "A 42512-2020")</f>
        <v/>
      </c>
      <c r="V133">
        <f>HYPERLINK("https://klasma.github.io/Logging_KIRUNA/klagomål/A 42512-2020.docx", "A 42512-2020")</f>
        <v/>
      </c>
      <c r="W133">
        <f>HYPERLINK("https://klasma.github.io/Logging_KIRUNA/klagomålsmail/A 42512-2020.docx", "A 42512-2020")</f>
        <v/>
      </c>
      <c r="X133">
        <f>HYPERLINK("https://klasma.github.io/Logging_KIRUNA/tillsyn/A 42512-2020.docx", "A 42512-2020")</f>
        <v/>
      </c>
      <c r="Y133">
        <f>HYPERLINK("https://klasma.github.io/Logging_KIRUNA/tillsynsmail/A 42512-2020.docx", "A 42512-2020")</f>
        <v/>
      </c>
    </row>
    <row r="134" ht="15" customHeight="1">
      <c r="A134" t="inlineStr">
        <is>
          <t>A 62075-2020</t>
        </is>
      </c>
      <c r="B134" s="1" t="n">
        <v>44158</v>
      </c>
      <c r="C134" s="1" t="n">
        <v>45206</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HYPERLINK("https://klasma.github.io/Logging_BODEN/artfynd/A 62075-2020.xlsx", "A 62075-2020")</f>
        <v/>
      </c>
      <c r="T134">
        <f>HYPERLINK("https://klasma.github.io/Logging_BODEN/kartor/A 62075-2020.png", "A 62075-2020")</f>
        <v/>
      </c>
      <c r="V134">
        <f>HYPERLINK("https://klasma.github.io/Logging_BODEN/klagomål/A 62075-2020.docx", "A 62075-2020")</f>
        <v/>
      </c>
      <c r="W134">
        <f>HYPERLINK("https://klasma.github.io/Logging_BODEN/klagomålsmail/A 62075-2020.docx", "A 62075-2020")</f>
        <v/>
      </c>
      <c r="X134">
        <f>HYPERLINK("https://klasma.github.io/Logging_BODEN/tillsyn/A 62075-2020.docx", "A 62075-2020")</f>
        <v/>
      </c>
      <c r="Y134">
        <f>HYPERLINK("https://klasma.github.io/Logging_BODEN/tillsynsmail/A 62075-2020.docx", "A 62075-2020")</f>
        <v/>
      </c>
    </row>
    <row r="135" ht="15" customHeight="1">
      <c r="A135" t="inlineStr">
        <is>
          <t>A 67415-2020</t>
        </is>
      </c>
      <c r="B135" s="1" t="n">
        <v>44181</v>
      </c>
      <c r="C135" s="1" t="n">
        <v>45206</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HYPERLINK("https://klasma.github.io/Logging_OVERKALIX/artfynd/A 67415-2020.xlsx", "A 67415-2020")</f>
        <v/>
      </c>
      <c r="T135">
        <f>HYPERLINK("https://klasma.github.io/Logging_OVERKALIX/kartor/A 67415-2020.png", "A 67415-2020")</f>
        <v/>
      </c>
      <c r="V135">
        <f>HYPERLINK("https://klasma.github.io/Logging_OVERKALIX/klagomål/A 67415-2020.docx", "A 67415-2020")</f>
        <v/>
      </c>
      <c r="W135">
        <f>HYPERLINK("https://klasma.github.io/Logging_OVERKALIX/klagomålsmail/A 67415-2020.docx", "A 67415-2020")</f>
        <v/>
      </c>
      <c r="X135">
        <f>HYPERLINK("https://klasma.github.io/Logging_OVERKALIX/tillsyn/A 67415-2020.docx", "A 67415-2020")</f>
        <v/>
      </c>
      <c r="Y135">
        <f>HYPERLINK("https://klasma.github.io/Logging_OVERKALIX/tillsynsmail/A 67415-2020.docx", "A 67415-2020")</f>
        <v/>
      </c>
    </row>
    <row r="136" ht="15" customHeight="1">
      <c r="A136" t="inlineStr">
        <is>
          <t>A 30541-2021</t>
        </is>
      </c>
      <c r="B136" s="1" t="n">
        <v>44364</v>
      </c>
      <c r="C136" s="1" t="n">
        <v>45206</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HYPERLINK("https://klasma.github.io/Logging_BODEN/artfynd/A 30541-2021.xlsx", "A 30541-2021")</f>
        <v/>
      </c>
      <c r="T136">
        <f>HYPERLINK("https://klasma.github.io/Logging_BODEN/kartor/A 30541-2021.png", "A 30541-2021")</f>
        <v/>
      </c>
      <c r="V136">
        <f>HYPERLINK("https://klasma.github.io/Logging_BODEN/klagomål/A 30541-2021.docx", "A 30541-2021")</f>
        <v/>
      </c>
      <c r="W136">
        <f>HYPERLINK("https://klasma.github.io/Logging_BODEN/klagomålsmail/A 30541-2021.docx", "A 30541-2021")</f>
        <v/>
      </c>
      <c r="X136">
        <f>HYPERLINK("https://klasma.github.io/Logging_BODEN/tillsyn/A 30541-2021.docx", "A 30541-2021")</f>
        <v/>
      </c>
      <c r="Y136">
        <f>HYPERLINK("https://klasma.github.io/Logging_BODEN/tillsynsmail/A 30541-2021.docx", "A 30541-2021")</f>
        <v/>
      </c>
    </row>
    <row r="137" ht="15" customHeight="1">
      <c r="A137" t="inlineStr">
        <is>
          <t>A 31708-2021</t>
        </is>
      </c>
      <c r="B137" s="1" t="n">
        <v>44369</v>
      </c>
      <c r="C137" s="1" t="n">
        <v>45206</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HYPERLINK("https://klasma.github.io/Logging_KALIX/artfynd/A 31708-2021.xlsx", "A 31708-2021")</f>
        <v/>
      </c>
      <c r="T137">
        <f>HYPERLINK("https://klasma.github.io/Logging_KALIX/kartor/A 31708-2021.png", "A 31708-2021")</f>
        <v/>
      </c>
      <c r="V137">
        <f>HYPERLINK("https://klasma.github.io/Logging_KALIX/klagomål/A 31708-2021.docx", "A 31708-2021")</f>
        <v/>
      </c>
      <c r="W137">
        <f>HYPERLINK("https://klasma.github.io/Logging_KALIX/klagomålsmail/A 31708-2021.docx", "A 31708-2021")</f>
        <v/>
      </c>
      <c r="X137">
        <f>HYPERLINK("https://klasma.github.io/Logging_KALIX/tillsyn/A 31708-2021.docx", "A 31708-2021")</f>
        <v/>
      </c>
      <c r="Y137">
        <f>HYPERLINK("https://klasma.github.io/Logging_KALIX/tillsynsmail/A 31708-2021.docx", "A 31708-2021")</f>
        <v/>
      </c>
    </row>
    <row r="138" ht="15" customHeight="1">
      <c r="A138" t="inlineStr">
        <is>
          <t>A 39612-2021</t>
        </is>
      </c>
      <c r="B138" s="1" t="n">
        <v>44413</v>
      </c>
      <c r="C138" s="1" t="n">
        <v>45206</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HYPERLINK("https://klasma.github.io/Logging_GALLIVARE/artfynd/A 39612-2021.xlsx", "A 39612-2021")</f>
        <v/>
      </c>
      <c r="T138">
        <f>HYPERLINK("https://klasma.github.io/Logging_GALLIVARE/kartor/A 39612-2021.png", "A 39612-2021")</f>
        <v/>
      </c>
      <c r="V138">
        <f>HYPERLINK("https://klasma.github.io/Logging_GALLIVARE/klagomål/A 39612-2021.docx", "A 39612-2021")</f>
        <v/>
      </c>
      <c r="W138">
        <f>HYPERLINK("https://klasma.github.io/Logging_GALLIVARE/klagomålsmail/A 39612-2021.docx", "A 39612-2021")</f>
        <v/>
      </c>
      <c r="X138">
        <f>HYPERLINK("https://klasma.github.io/Logging_GALLIVARE/tillsyn/A 39612-2021.docx", "A 39612-2021")</f>
        <v/>
      </c>
      <c r="Y138">
        <f>HYPERLINK("https://klasma.github.io/Logging_GALLIVARE/tillsynsmail/A 39612-2021.docx", "A 39612-2021")</f>
        <v/>
      </c>
    </row>
    <row r="139" ht="15" customHeight="1">
      <c r="A139" t="inlineStr">
        <is>
          <t>A 54960-2021</t>
        </is>
      </c>
      <c r="B139" s="1" t="n">
        <v>44474</v>
      </c>
      <c r="C139" s="1" t="n">
        <v>45206</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HYPERLINK("https://klasma.github.io/Logging_JOKKMOKK/artfynd/A 54960-2021.xlsx", "A 54960-2021")</f>
        <v/>
      </c>
      <c r="T139">
        <f>HYPERLINK("https://klasma.github.io/Logging_JOKKMOKK/kartor/A 54960-2021.png", "A 54960-2021")</f>
        <v/>
      </c>
      <c r="V139">
        <f>HYPERLINK("https://klasma.github.io/Logging_JOKKMOKK/klagomål/A 54960-2021.docx", "A 54960-2021")</f>
        <v/>
      </c>
      <c r="W139">
        <f>HYPERLINK("https://klasma.github.io/Logging_JOKKMOKK/klagomålsmail/A 54960-2021.docx", "A 54960-2021")</f>
        <v/>
      </c>
      <c r="X139">
        <f>HYPERLINK("https://klasma.github.io/Logging_JOKKMOKK/tillsyn/A 54960-2021.docx", "A 54960-2021")</f>
        <v/>
      </c>
      <c r="Y139">
        <f>HYPERLINK("https://klasma.github.io/Logging_JOKKMOKK/tillsynsmail/A 54960-2021.docx", "A 54960-2021")</f>
        <v/>
      </c>
    </row>
    <row r="140" ht="15" customHeight="1">
      <c r="A140" t="inlineStr">
        <is>
          <t>A 59298-2021</t>
        </is>
      </c>
      <c r="B140" s="1" t="n">
        <v>44490</v>
      </c>
      <c r="C140" s="1" t="n">
        <v>45206</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HYPERLINK("https://klasma.github.io/Logging_LULEA/artfynd/A 59298-2021.xlsx", "A 59298-2021")</f>
        <v/>
      </c>
      <c r="T140">
        <f>HYPERLINK("https://klasma.github.io/Logging_LULEA/kartor/A 59298-2021.png", "A 59298-2021")</f>
        <v/>
      </c>
      <c r="V140">
        <f>HYPERLINK("https://klasma.github.io/Logging_LULEA/klagomål/A 59298-2021.docx", "A 59298-2021")</f>
        <v/>
      </c>
      <c r="W140">
        <f>HYPERLINK("https://klasma.github.io/Logging_LULEA/klagomålsmail/A 59298-2021.docx", "A 59298-2021")</f>
        <v/>
      </c>
      <c r="X140">
        <f>HYPERLINK("https://klasma.github.io/Logging_LULEA/tillsyn/A 59298-2021.docx", "A 59298-2021")</f>
        <v/>
      </c>
      <c r="Y140">
        <f>HYPERLINK("https://klasma.github.io/Logging_LULEA/tillsynsmail/A 59298-2021.docx", "A 59298-2021")</f>
        <v/>
      </c>
    </row>
    <row r="141" ht="15" customHeight="1">
      <c r="A141" t="inlineStr">
        <is>
          <t>A 64290-2021</t>
        </is>
      </c>
      <c r="B141" s="1" t="n">
        <v>44510</v>
      </c>
      <c r="C141" s="1" t="n">
        <v>45206</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HYPERLINK("https://klasma.github.io/Logging_KALIX/artfynd/A 64290-2021.xlsx", "A 64290-2021")</f>
        <v/>
      </c>
      <c r="T141">
        <f>HYPERLINK("https://klasma.github.io/Logging_KALIX/kartor/A 64290-2021.png", "A 64290-2021")</f>
        <v/>
      </c>
      <c r="V141">
        <f>HYPERLINK("https://klasma.github.io/Logging_KALIX/klagomål/A 64290-2021.docx", "A 64290-2021")</f>
        <v/>
      </c>
      <c r="W141">
        <f>HYPERLINK("https://klasma.github.io/Logging_KALIX/klagomålsmail/A 64290-2021.docx", "A 64290-2021")</f>
        <v/>
      </c>
      <c r="X141">
        <f>HYPERLINK("https://klasma.github.io/Logging_KALIX/tillsyn/A 64290-2021.docx", "A 64290-2021")</f>
        <v/>
      </c>
      <c r="Y141">
        <f>HYPERLINK("https://klasma.github.io/Logging_KALIX/tillsynsmail/A 64290-2021.docx", "A 64290-2021")</f>
        <v/>
      </c>
    </row>
    <row r="142" ht="15" customHeight="1">
      <c r="A142" t="inlineStr">
        <is>
          <t>A 73023-2021</t>
        </is>
      </c>
      <c r="B142" s="1" t="n">
        <v>44550</v>
      </c>
      <c r="C142" s="1" t="n">
        <v>45206</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HYPERLINK("https://klasma.github.io/Logging_PITEA/artfynd/A 73023-2021.xlsx", "A 73023-2021")</f>
        <v/>
      </c>
      <c r="T142">
        <f>HYPERLINK("https://klasma.github.io/Logging_PITEA/kartor/A 73023-2021.png", "A 73023-2021")</f>
        <v/>
      </c>
      <c r="U142">
        <f>HYPERLINK("https://klasma.github.io/Logging_PITEA/knärot/A 73023-2021.png", "A 73023-2021")</f>
        <v/>
      </c>
      <c r="V142">
        <f>HYPERLINK("https://klasma.github.io/Logging_PITEA/klagomål/A 73023-2021.docx", "A 73023-2021")</f>
        <v/>
      </c>
      <c r="W142">
        <f>HYPERLINK("https://klasma.github.io/Logging_PITEA/klagomålsmail/A 73023-2021.docx", "A 73023-2021")</f>
        <v/>
      </c>
      <c r="X142">
        <f>HYPERLINK("https://klasma.github.io/Logging_PITEA/tillsyn/A 73023-2021.docx", "A 73023-2021")</f>
        <v/>
      </c>
      <c r="Y142">
        <f>HYPERLINK("https://klasma.github.io/Logging_PITEA/tillsynsmail/A 73023-2021.docx", "A 73023-2021")</f>
        <v/>
      </c>
    </row>
    <row r="143" ht="15" customHeight="1">
      <c r="A143" t="inlineStr">
        <is>
          <t>A 36753-2022</t>
        </is>
      </c>
      <c r="B143" s="1" t="n">
        <v>44805</v>
      </c>
      <c r="C143" s="1" t="n">
        <v>45206</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HYPERLINK("https://klasma.github.io/Logging_KALIX/artfynd/A 36753-2022.xlsx", "A 36753-2022")</f>
        <v/>
      </c>
      <c r="T143">
        <f>HYPERLINK("https://klasma.github.io/Logging_KALIX/kartor/A 36753-2022.png", "A 36753-2022")</f>
        <v/>
      </c>
      <c r="U143">
        <f>HYPERLINK("https://klasma.github.io/Logging_KALIX/knärot/A 36753-2022.png", "A 36753-2022")</f>
        <v/>
      </c>
      <c r="V143">
        <f>HYPERLINK("https://klasma.github.io/Logging_KALIX/klagomål/A 36753-2022.docx", "A 36753-2022")</f>
        <v/>
      </c>
      <c r="W143">
        <f>HYPERLINK("https://klasma.github.io/Logging_KALIX/klagomålsmail/A 36753-2022.docx", "A 36753-2022")</f>
        <v/>
      </c>
      <c r="X143">
        <f>HYPERLINK("https://klasma.github.io/Logging_KALIX/tillsyn/A 36753-2022.docx", "A 36753-2022")</f>
        <v/>
      </c>
      <c r="Y143">
        <f>HYPERLINK("https://klasma.github.io/Logging_KALIX/tillsynsmail/A 36753-2022.docx", "A 36753-2022")</f>
        <v/>
      </c>
    </row>
    <row r="144" ht="15" customHeight="1">
      <c r="A144" t="inlineStr">
        <is>
          <t>A 41183-2022</t>
        </is>
      </c>
      <c r="B144" s="1" t="n">
        <v>44825</v>
      </c>
      <c r="C144" s="1" t="n">
        <v>45206</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HYPERLINK("https://klasma.github.io/Logging_ARJEPLOG/artfynd/A 41183-2022.xlsx", "A 41183-2022")</f>
        <v/>
      </c>
      <c r="T144">
        <f>HYPERLINK("https://klasma.github.io/Logging_ARJEPLOG/kartor/A 41183-2022.png", "A 41183-2022")</f>
        <v/>
      </c>
      <c r="V144">
        <f>HYPERLINK("https://klasma.github.io/Logging_ARJEPLOG/klagomål/A 41183-2022.docx", "A 41183-2022")</f>
        <v/>
      </c>
      <c r="W144">
        <f>HYPERLINK("https://klasma.github.io/Logging_ARJEPLOG/klagomålsmail/A 41183-2022.docx", "A 41183-2022")</f>
        <v/>
      </c>
      <c r="X144">
        <f>HYPERLINK("https://klasma.github.io/Logging_ARJEPLOG/tillsyn/A 41183-2022.docx", "A 41183-2022")</f>
        <v/>
      </c>
      <c r="Y144">
        <f>HYPERLINK("https://klasma.github.io/Logging_ARJEPLOG/tillsynsmail/A 41183-2022.docx", "A 41183-2022")</f>
        <v/>
      </c>
    </row>
    <row r="145" ht="15" customHeight="1">
      <c r="A145" t="inlineStr">
        <is>
          <t>A 55208-2022</t>
        </is>
      </c>
      <c r="B145" s="1" t="n">
        <v>44886</v>
      </c>
      <c r="C145" s="1" t="n">
        <v>45206</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HYPERLINK("https://klasma.github.io/Logging_GALLIVARE/artfynd/A 55208-2022.xlsx", "A 55208-2022")</f>
        <v/>
      </c>
      <c r="T145">
        <f>HYPERLINK("https://klasma.github.io/Logging_GALLIVARE/kartor/A 55208-2022.png", "A 55208-2022")</f>
        <v/>
      </c>
      <c r="V145">
        <f>HYPERLINK("https://klasma.github.io/Logging_GALLIVARE/klagomål/A 55208-2022.docx", "A 55208-2022")</f>
        <v/>
      </c>
      <c r="W145">
        <f>HYPERLINK("https://klasma.github.io/Logging_GALLIVARE/klagomålsmail/A 55208-2022.docx", "A 55208-2022")</f>
        <v/>
      </c>
      <c r="X145">
        <f>HYPERLINK("https://klasma.github.io/Logging_GALLIVARE/tillsyn/A 55208-2022.docx", "A 55208-2022")</f>
        <v/>
      </c>
      <c r="Y145">
        <f>HYPERLINK("https://klasma.github.io/Logging_GALLIVARE/tillsynsmail/A 55208-2022.docx", "A 55208-2022")</f>
        <v/>
      </c>
    </row>
    <row r="146" ht="15" customHeight="1">
      <c r="A146" t="inlineStr">
        <is>
          <t>A 11848-2023</t>
        </is>
      </c>
      <c r="B146" s="1" t="n">
        <v>44995</v>
      </c>
      <c r="C146" s="1" t="n">
        <v>45206</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HYPERLINK("https://klasma.github.io/Logging_PITEA/artfynd/A 11848-2023.xlsx", "A 11848-2023")</f>
        <v/>
      </c>
      <c r="T146">
        <f>HYPERLINK("https://klasma.github.io/Logging_PITEA/kartor/A 11848-2023.png", "A 11848-2023")</f>
        <v/>
      </c>
      <c r="V146">
        <f>HYPERLINK("https://klasma.github.io/Logging_PITEA/klagomål/A 11848-2023.docx", "A 11848-2023")</f>
        <v/>
      </c>
      <c r="W146">
        <f>HYPERLINK("https://klasma.github.io/Logging_PITEA/klagomålsmail/A 11848-2023.docx", "A 11848-2023")</f>
        <v/>
      </c>
      <c r="X146">
        <f>HYPERLINK("https://klasma.github.io/Logging_PITEA/tillsyn/A 11848-2023.docx", "A 11848-2023")</f>
        <v/>
      </c>
      <c r="Y146">
        <f>HYPERLINK("https://klasma.github.io/Logging_PITEA/tillsynsmail/A 11848-2023.docx", "A 11848-2023")</f>
        <v/>
      </c>
    </row>
    <row r="147" ht="15" customHeight="1">
      <c r="A147" t="inlineStr">
        <is>
          <t>A 29088-2023</t>
        </is>
      </c>
      <c r="B147" s="1" t="n">
        <v>45105</v>
      </c>
      <c r="C147" s="1" t="n">
        <v>45206</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HYPERLINK("https://klasma.github.io/Logging_ARVIDSJAUR/artfynd/A 29088-2023.xlsx", "A 29088-2023")</f>
        <v/>
      </c>
      <c r="T147">
        <f>HYPERLINK("https://klasma.github.io/Logging_ARVIDSJAUR/kartor/A 29088-2023.png", "A 29088-2023")</f>
        <v/>
      </c>
      <c r="V147">
        <f>HYPERLINK("https://klasma.github.io/Logging_ARVIDSJAUR/klagomål/A 29088-2023.docx", "A 29088-2023")</f>
        <v/>
      </c>
      <c r="W147">
        <f>HYPERLINK("https://klasma.github.io/Logging_ARVIDSJAUR/klagomålsmail/A 29088-2023.docx", "A 29088-2023")</f>
        <v/>
      </c>
      <c r="X147">
        <f>HYPERLINK("https://klasma.github.io/Logging_ARVIDSJAUR/tillsyn/A 29088-2023.docx", "A 29088-2023")</f>
        <v/>
      </c>
      <c r="Y147">
        <f>HYPERLINK("https://klasma.github.io/Logging_ARVIDSJAUR/tillsynsmail/A 29088-2023.docx", "A 29088-2023")</f>
        <v/>
      </c>
    </row>
    <row r="148" ht="15" customHeight="1">
      <c r="A148" t="inlineStr">
        <is>
          <t>A 17525-2019</t>
        </is>
      </c>
      <c r="B148" s="1" t="n">
        <v>43553</v>
      </c>
      <c r="C148" s="1" t="n">
        <v>45206</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HYPERLINK("https://klasma.github.io/Logging_LULEA/artfynd/A 17525-2019.xlsx", "A 17525-2019")</f>
        <v/>
      </c>
      <c r="T148">
        <f>HYPERLINK("https://klasma.github.io/Logging_LULEA/kartor/A 17525-2019.png", "A 17525-2019")</f>
        <v/>
      </c>
      <c r="V148">
        <f>HYPERLINK("https://klasma.github.io/Logging_LULEA/klagomål/A 17525-2019.docx", "A 17525-2019")</f>
        <v/>
      </c>
      <c r="W148">
        <f>HYPERLINK("https://klasma.github.io/Logging_LULEA/klagomålsmail/A 17525-2019.docx", "A 17525-2019")</f>
        <v/>
      </c>
      <c r="X148">
        <f>HYPERLINK("https://klasma.github.io/Logging_LULEA/tillsyn/A 17525-2019.docx", "A 17525-2019")</f>
        <v/>
      </c>
      <c r="Y148">
        <f>HYPERLINK("https://klasma.github.io/Logging_LULEA/tillsynsmail/A 17525-2019.docx", "A 17525-2019")</f>
        <v/>
      </c>
    </row>
    <row r="149" ht="15" customHeight="1">
      <c r="A149" t="inlineStr">
        <is>
          <t>A 18165-2019</t>
        </is>
      </c>
      <c r="B149" s="1" t="n">
        <v>43558</v>
      </c>
      <c r="C149" s="1" t="n">
        <v>45206</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HYPERLINK("https://klasma.github.io/Logging_OVERKALIX/artfynd/A 18165-2019.xlsx", "A 18165-2019")</f>
        <v/>
      </c>
      <c r="T149">
        <f>HYPERLINK("https://klasma.github.io/Logging_OVERKALIX/kartor/A 18165-2019.png", "A 18165-2019")</f>
        <v/>
      </c>
      <c r="V149">
        <f>HYPERLINK("https://klasma.github.io/Logging_OVERKALIX/klagomål/A 18165-2019.docx", "A 18165-2019")</f>
        <v/>
      </c>
      <c r="W149">
        <f>HYPERLINK("https://klasma.github.io/Logging_OVERKALIX/klagomålsmail/A 18165-2019.docx", "A 18165-2019")</f>
        <v/>
      </c>
      <c r="X149">
        <f>HYPERLINK("https://klasma.github.io/Logging_OVERKALIX/tillsyn/A 18165-2019.docx", "A 18165-2019")</f>
        <v/>
      </c>
      <c r="Y149">
        <f>HYPERLINK("https://klasma.github.io/Logging_OVERKALIX/tillsynsmail/A 18165-2019.docx", "A 18165-2019")</f>
        <v/>
      </c>
    </row>
    <row r="150" ht="15" customHeight="1">
      <c r="A150" t="inlineStr">
        <is>
          <t>A 20477-2019</t>
        </is>
      </c>
      <c r="B150" s="1" t="n">
        <v>43572</v>
      </c>
      <c r="C150" s="1" t="n">
        <v>45206</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HYPERLINK("https://klasma.github.io/Logging_BODEN/artfynd/A 20477-2019.xlsx", "A 20477-2019")</f>
        <v/>
      </c>
      <c r="T150">
        <f>HYPERLINK("https://klasma.github.io/Logging_BODEN/kartor/A 20477-2019.png", "A 20477-2019")</f>
        <v/>
      </c>
      <c r="V150">
        <f>HYPERLINK("https://klasma.github.io/Logging_BODEN/klagomål/A 20477-2019.docx", "A 20477-2019")</f>
        <v/>
      </c>
      <c r="W150">
        <f>HYPERLINK("https://klasma.github.io/Logging_BODEN/klagomålsmail/A 20477-2019.docx", "A 20477-2019")</f>
        <v/>
      </c>
      <c r="X150">
        <f>HYPERLINK("https://klasma.github.io/Logging_BODEN/tillsyn/A 20477-2019.docx", "A 20477-2019")</f>
        <v/>
      </c>
      <c r="Y150">
        <f>HYPERLINK("https://klasma.github.io/Logging_BODEN/tillsynsmail/A 20477-2019.docx", "A 20477-2019")</f>
        <v/>
      </c>
    </row>
    <row r="151" ht="15" customHeight="1">
      <c r="A151" t="inlineStr">
        <is>
          <t>A 25619-2019</t>
        </is>
      </c>
      <c r="B151" s="1" t="n">
        <v>43602</v>
      </c>
      <c r="C151" s="1" t="n">
        <v>45206</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HYPERLINK("https://klasma.github.io/Logging_JOKKMOKK/artfynd/A 25619-2019.xlsx", "A 25619-2019")</f>
        <v/>
      </c>
      <c r="T151">
        <f>HYPERLINK("https://klasma.github.io/Logging_JOKKMOKK/kartor/A 25619-2019.png", "A 25619-2019")</f>
        <v/>
      </c>
      <c r="V151">
        <f>HYPERLINK("https://klasma.github.io/Logging_JOKKMOKK/klagomål/A 25619-2019.docx", "A 25619-2019")</f>
        <v/>
      </c>
      <c r="W151">
        <f>HYPERLINK("https://klasma.github.io/Logging_JOKKMOKK/klagomålsmail/A 25619-2019.docx", "A 25619-2019")</f>
        <v/>
      </c>
      <c r="X151">
        <f>HYPERLINK("https://klasma.github.io/Logging_JOKKMOKK/tillsyn/A 25619-2019.docx", "A 25619-2019")</f>
        <v/>
      </c>
      <c r="Y151">
        <f>HYPERLINK("https://klasma.github.io/Logging_JOKKMOKK/tillsynsmail/A 25619-2019.docx", "A 25619-2019")</f>
        <v/>
      </c>
    </row>
    <row r="152" ht="15" customHeight="1">
      <c r="A152" t="inlineStr">
        <is>
          <t>A 26313-2019</t>
        </is>
      </c>
      <c r="B152" s="1" t="n">
        <v>43609</v>
      </c>
      <c r="C152" s="1" t="n">
        <v>45206</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HYPERLINK("https://klasma.github.io/Logging_LULEA/artfynd/A 26313-2019.xlsx", "A 26313-2019")</f>
        <v/>
      </c>
      <c r="T152">
        <f>HYPERLINK("https://klasma.github.io/Logging_LULEA/kartor/A 26313-2019.png", "A 26313-2019")</f>
        <v/>
      </c>
      <c r="V152">
        <f>HYPERLINK("https://klasma.github.io/Logging_LULEA/klagomål/A 26313-2019.docx", "A 26313-2019")</f>
        <v/>
      </c>
      <c r="W152">
        <f>HYPERLINK("https://klasma.github.io/Logging_LULEA/klagomålsmail/A 26313-2019.docx", "A 26313-2019")</f>
        <v/>
      </c>
      <c r="X152">
        <f>HYPERLINK("https://klasma.github.io/Logging_LULEA/tillsyn/A 26313-2019.docx", "A 26313-2019")</f>
        <v/>
      </c>
      <c r="Y152">
        <f>HYPERLINK("https://klasma.github.io/Logging_LULEA/tillsynsmail/A 26313-2019.docx", "A 26313-2019")</f>
        <v/>
      </c>
    </row>
    <row r="153" ht="15" customHeight="1">
      <c r="A153" t="inlineStr">
        <is>
          <t>A 31744-2019</t>
        </is>
      </c>
      <c r="B153" s="1" t="n">
        <v>43642</v>
      </c>
      <c r="C153" s="1" t="n">
        <v>45206</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HYPERLINK("https://klasma.github.io/Logging_OVERKALIX/artfynd/A 31744-2019.xlsx", "A 31744-2019")</f>
        <v/>
      </c>
      <c r="T153">
        <f>HYPERLINK("https://klasma.github.io/Logging_OVERKALIX/kartor/A 31744-2019.png", "A 31744-2019")</f>
        <v/>
      </c>
      <c r="V153">
        <f>HYPERLINK("https://klasma.github.io/Logging_OVERKALIX/klagomål/A 31744-2019.docx", "A 31744-2019")</f>
        <v/>
      </c>
      <c r="W153">
        <f>HYPERLINK("https://klasma.github.io/Logging_OVERKALIX/klagomålsmail/A 31744-2019.docx", "A 31744-2019")</f>
        <v/>
      </c>
      <c r="X153">
        <f>HYPERLINK("https://klasma.github.io/Logging_OVERKALIX/tillsyn/A 31744-2019.docx", "A 31744-2019")</f>
        <v/>
      </c>
      <c r="Y153">
        <f>HYPERLINK("https://klasma.github.io/Logging_OVERKALIX/tillsynsmail/A 31744-2019.docx", "A 31744-2019")</f>
        <v/>
      </c>
    </row>
    <row r="154" ht="15" customHeight="1">
      <c r="A154" t="inlineStr">
        <is>
          <t>A 58965-2019</t>
        </is>
      </c>
      <c r="B154" s="1" t="n">
        <v>43774</v>
      </c>
      <c r="C154" s="1" t="n">
        <v>45206</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HYPERLINK("https://klasma.github.io/Logging_BODEN/artfynd/A 58965-2019.xlsx", "A 58965-2019")</f>
        <v/>
      </c>
      <c r="T154">
        <f>HYPERLINK("https://klasma.github.io/Logging_BODEN/kartor/A 58965-2019.png", "A 58965-2019")</f>
        <v/>
      </c>
      <c r="V154">
        <f>HYPERLINK("https://klasma.github.io/Logging_BODEN/klagomål/A 58965-2019.docx", "A 58965-2019")</f>
        <v/>
      </c>
      <c r="W154">
        <f>HYPERLINK("https://klasma.github.io/Logging_BODEN/klagomålsmail/A 58965-2019.docx", "A 58965-2019")</f>
        <v/>
      </c>
      <c r="X154">
        <f>HYPERLINK("https://klasma.github.io/Logging_BODEN/tillsyn/A 58965-2019.docx", "A 58965-2019")</f>
        <v/>
      </c>
      <c r="Y154">
        <f>HYPERLINK("https://klasma.github.io/Logging_BODEN/tillsynsmail/A 58965-2019.docx", "A 58965-2019")</f>
        <v/>
      </c>
    </row>
    <row r="155" ht="15" customHeight="1">
      <c r="A155" t="inlineStr">
        <is>
          <t>A 62167-2019</t>
        </is>
      </c>
      <c r="B155" s="1" t="n">
        <v>43787</v>
      </c>
      <c r="C155" s="1" t="n">
        <v>45206</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HYPERLINK("https://klasma.github.io/Logging_BODEN/artfynd/A 62167-2019.xlsx", "A 62167-2019")</f>
        <v/>
      </c>
      <c r="T155">
        <f>HYPERLINK("https://klasma.github.io/Logging_BODEN/kartor/A 62167-2019.png", "A 62167-2019")</f>
        <v/>
      </c>
      <c r="U155">
        <f>HYPERLINK("https://klasma.github.io/Logging_BODEN/knärot/A 62167-2019.png", "A 62167-2019")</f>
        <v/>
      </c>
      <c r="V155">
        <f>HYPERLINK("https://klasma.github.io/Logging_BODEN/klagomål/A 62167-2019.docx", "A 62167-2019")</f>
        <v/>
      </c>
      <c r="W155">
        <f>HYPERLINK("https://klasma.github.io/Logging_BODEN/klagomålsmail/A 62167-2019.docx", "A 62167-2019")</f>
        <v/>
      </c>
      <c r="X155">
        <f>HYPERLINK("https://klasma.github.io/Logging_BODEN/tillsyn/A 62167-2019.docx", "A 62167-2019")</f>
        <v/>
      </c>
      <c r="Y155">
        <f>HYPERLINK("https://klasma.github.io/Logging_BODEN/tillsynsmail/A 62167-2019.docx", "A 62167-2019")</f>
        <v/>
      </c>
    </row>
    <row r="156" ht="15" customHeight="1">
      <c r="A156" t="inlineStr">
        <is>
          <t>A 62172-2019</t>
        </is>
      </c>
      <c r="B156" s="1" t="n">
        <v>43787</v>
      </c>
      <c r="C156" s="1" t="n">
        <v>45206</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HYPERLINK("https://klasma.github.io/Logging_BODEN/artfynd/A 62172-2019.xlsx", "A 62172-2019")</f>
        <v/>
      </c>
      <c r="T156">
        <f>HYPERLINK("https://klasma.github.io/Logging_BODEN/kartor/A 62172-2019.png", "A 62172-2019")</f>
        <v/>
      </c>
      <c r="V156">
        <f>HYPERLINK("https://klasma.github.io/Logging_BODEN/klagomål/A 62172-2019.docx", "A 62172-2019")</f>
        <v/>
      </c>
      <c r="W156">
        <f>HYPERLINK("https://klasma.github.io/Logging_BODEN/klagomålsmail/A 62172-2019.docx", "A 62172-2019")</f>
        <v/>
      </c>
      <c r="X156">
        <f>HYPERLINK("https://klasma.github.io/Logging_BODEN/tillsyn/A 62172-2019.docx", "A 62172-2019")</f>
        <v/>
      </c>
      <c r="Y156">
        <f>HYPERLINK("https://klasma.github.io/Logging_BODEN/tillsynsmail/A 62172-2019.docx", "A 62172-2019")</f>
        <v/>
      </c>
    </row>
    <row r="157" ht="15" customHeight="1">
      <c r="A157" t="inlineStr">
        <is>
          <t>A 65081-2019</t>
        </is>
      </c>
      <c r="B157" s="1" t="n">
        <v>43802</v>
      </c>
      <c r="C157" s="1" t="n">
        <v>45206</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HYPERLINK("https://klasma.github.io/Logging_BODEN/artfynd/A 65081-2019.xlsx", "A 65081-2019")</f>
        <v/>
      </c>
      <c r="T157">
        <f>HYPERLINK("https://klasma.github.io/Logging_BODEN/kartor/A 65081-2019.png", "A 65081-2019")</f>
        <v/>
      </c>
      <c r="V157">
        <f>HYPERLINK("https://klasma.github.io/Logging_BODEN/klagomål/A 65081-2019.docx", "A 65081-2019")</f>
        <v/>
      </c>
      <c r="W157">
        <f>HYPERLINK("https://klasma.github.io/Logging_BODEN/klagomålsmail/A 65081-2019.docx", "A 65081-2019")</f>
        <v/>
      </c>
      <c r="X157">
        <f>HYPERLINK("https://klasma.github.io/Logging_BODEN/tillsyn/A 65081-2019.docx", "A 65081-2019")</f>
        <v/>
      </c>
      <c r="Y157">
        <f>HYPERLINK("https://klasma.github.io/Logging_BODEN/tillsynsmail/A 65081-2019.docx", "A 65081-2019")</f>
        <v/>
      </c>
    </row>
    <row r="158" ht="15" customHeight="1">
      <c r="A158" t="inlineStr">
        <is>
          <t>A 24420-2020</t>
        </is>
      </c>
      <c r="B158" s="1" t="n">
        <v>43976</v>
      </c>
      <c r="C158" s="1" t="n">
        <v>45206</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HYPERLINK("https://klasma.github.io/Logging_JOKKMOKK/artfynd/A 24420-2020.xlsx", "A 24420-2020")</f>
        <v/>
      </c>
      <c r="T158">
        <f>HYPERLINK("https://klasma.github.io/Logging_JOKKMOKK/kartor/A 24420-2020.png", "A 24420-2020")</f>
        <v/>
      </c>
      <c r="V158">
        <f>HYPERLINK("https://klasma.github.io/Logging_JOKKMOKK/klagomål/A 24420-2020.docx", "A 24420-2020")</f>
        <v/>
      </c>
      <c r="W158">
        <f>HYPERLINK("https://klasma.github.io/Logging_JOKKMOKK/klagomålsmail/A 24420-2020.docx", "A 24420-2020")</f>
        <v/>
      </c>
      <c r="X158">
        <f>HYPERLINK("https://klasma.github.io/Logging_JOKKMOKK/tillsyn/A 24420-2020.docx", "A 24420-2020")</f>
        <v/>
      </c>
      <c r="Y158">
        <f>HYPERLINK("https://klasma.github.io/Logging_JOKKMOKK/tillsynsmail/A 24420-2020.docx", "A 24420-2020")</f>
        <v/>
      </c>
    </row>
    <row r="159" ht="15" customHeight="1">
      <c r="A159" t="inlineStr">
        <is>
          <t>A 27642-2020</t>
        </is>
      </c>
      <c r="B159" s="1" t="n">
        <v>43993</v>
      </c>
      <c r="C159" s="1" t="n">
        <v>45206</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HYPERLINK("https://klasma.github.io/Logging_KIRUNA/artfynd/A 27642-2020.xlsx", "A 27642-2020")</f>
        <v/>
      </c>
      <c r="T159">
        <f>HYPERLINK("https://klasma.github.io/Logging_KIRUNA/kartor/A 27642-2020.png", "A 27642-2020")</f>
        <v/>
      </c>
      <c r="V159">
        <f>HYPERLINK("https://klasma.github.io/Logging_KIRUNA/klagomål/A 27642-2020.docx", "A 27642-2020")</f>
        <v/>
      </c>
      <c r="W159">
        <f>HYPERLINK("https://klasma.github.io/Logging_KIRUNA/klagomålsmail/A 27642-2020.docx", "A 27642-2020")</f>
        <v/>
      </c>
      <c r="X159">
        <f>HYPERLINK("https://klasma.github.io/Logging_KIRUNA/tillsyn/A 27642-2020.docx", "A 27642-2020")</f>
        <v/>
      </c>
      <c r="Y159">
        <f>HYPERLINK("https://klasma.github.io/Logging_KIRUNA/tillsynsmail/A 27642-2020.docx", "A 27642-2020")</f>
        <v/>
      </c>
    </row>
    <row r="160" ht="15" customHeight="1">
      <c r="A160" t="inlineStr">
        <is>
          <t>A 31881-2020</t>
        </is>
      </c>
      <c r="B160" s="1" t="n">
        <v>44014</v>
      </c>
      <c r="C160" s="1" t="n">
        <v>45206</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HYPERLINK("https://klasma.github.io/Logging_PITEA/artfynd/A 31881-2020.xlsx", "A 31881-2020")</f>
        <v/>
      </c>
      <c r="T160">
        <f>HYPERLINK("https://klasma.github.io/Logging_PITEA/kartor/A 31881-2020.png", "A 31881-2020")</f>
        <v/>
      </c>
      <c r="V160">
        <f>HYPERLINK("https://klasma.github.io/Logging_PITEA/klagomål/A 31881-2020.docx", "A 31881-2020")</f>
        <v/>
      </c>
      <c r="W160">
        <f>HYPERLINK("https://klasma.github.io/Logging_PITEA/klagomålsmail/A 31881-2020.docx", "A 31881-2020")</f>
        <v/>
      </c>
      <c r="X160">
        <f>HYPERLINK("https://klasma.github.io/Logging_PITEA/tillsyn/A 31881-2020.docx", "A 31881-2020")</f>
        <v/>
      </c>
      <c r="Y160">
        <f>HYPERLINK("https://klasma.github.io/Logging_PITEA/tillsynsmail/A 31881-2020.docx", "A 31881-2020")</f>
        <v/>
      </c>
    </row>
    <row r="161" ht="15" customHeight="1">
      <c r="A161" t="inlineStr">
        <is>
          <t>A 33313-2020</t>
        </is>
      </c>
      <c r="B161" s="1" t="n">
        <v>44022</v>
      </c>
      <c r="C161" s="1" t="n">
        <v>45206</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HYPERLINK("https://klasma.github.io/Logging_PAJALA/artfynd/A 33313-2020.xlsx", "A 33313-2020")</f>
        <v/>
      </c>
      <c r="T161">
        <f>HYPERLINK("https://klasma.github.io/Logging_PAJALA/kartor/A 33313-2020.png", "A 33313-2020")</f>
        <v/>
      </c>
      <c r="V161">
        <f>HYPERLINK("https://klasma.github.io/Logging_PAJALA/klagomål/A 33313-2020.docx", "A 33313-2020")</f>
        <v/>
      </c>
      <c r="W161">
        <f>HYPERLINK("https://klasma.github.io/Logging_PAJALA/klagomålsmail/A 33313-2020.docx", "A 33313-2020")</f>
        <v/>
      </c>
      <c r="X161">
        <f>HYPERLINK("https://klasma.github.io/Logging_PAJALA/tillsyn/A 33313-2020.docx", "A 33313-2020")</f>
        <v/>
      </c>
      <c r="Y161">
        <f>HYPERLINK("https://klasma.github.io/Logging_PAJALA/tillsynsmail/A 33313-2020.docx", "A 33313-2020")</f>
        <v/>
      </c>
    </row>
    <row r="162" ht="15" customHeight="1">
      <c r="A162" t="inlineStr">
        <is>
          <t>A 33836-2020</t>
        </is>
      </c>
      <c r="B162" s="1" t="n">
        <v>44022</v>
      </c>
      <c r="C162" s="1" t="n">
        <v>45206</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HYPERLINK("https://klasma.github.io/Logging_PAJALA/artfynd/A 33836-2020.xlsx", "A 33836-2020")</f>
        <v/>
      </c>
      <c r="T162">
        <f>HYPERLINK("https://klasma.github.io/Logging_PAJALA/kartor/A 33836-2020.png", "A 33836-2020")</f>
        <v/>
      </c>
      <c r="V162">
        <f>HYPERLINK("https://klasma.github.io/Logging_PAJALA/klagomål/A 33836-2020.docx", "A 33836-2020")</f>
        <v/>
      </c>
      <c r="W162">
        <f>HYPERLINK("https://klasma.github.io/Logging_PAJALA/klagomålsmail/A 33836-2020.docx", "A 33836-2020")</f>
        <v/>
      </c>
      <c r="X162">
        <f>HYPERLINK("https://klasma.github.io/Logging_PAJALA/tillsyn/A 33836-2020.docx", "A 33836-2020")</f>
        <v/>
      </c>
      <c r="Y162">
        <f>HYPERLINK("https://klasma.github.io/Logging_PAJALA/tillsynsmail/A 33836-2020.docx", "A 33836-2020")</f>
        <v/>
      </c>
    </row>
    <row r="163" ht="15" customHeight="1">
      <c r="A163" t="inlineStr">
        <is>
          <t>A 38334-2020</t>
        </is>
      </c>
      <c r="B163" s="1" t="n">
        <v>44060</v>
      </c>
      <c r="C163" s="1" t="n">
        <v>45206</v>
      </c>
      <c r="D163" t="inlineStr">
        <is>
          <t>NORRBOTTENS LÄN</t>
        </is>
      </c>
      <c r="E163" t="inlineStr">
        <is>
          <t>KIRUNA</t>
        </is>
      </c>
      <c r="F163" t="inlineStr">
        <is>
          <t>Allmännings- och besparingsskogar</t>
        </is>
      </c>
      <c r="G163" t="n">
        <v>13</v>
      </c>
      <c r="H163" t="n">
        <v>0</v>
      </c>
      <c r="I163" t="n">
        <v>0</v>
      </c>
      <c r="J163" t="n">
        <v>2</v>
      </c>
      <c r="K163" t="n">
        <v>1</v>
      </c>
      <c r="L163" t="n">
        <v>0</v>
      </c>
      <c r="M163" t="n">
        <v>0</v>
      </c>
      <c r="N163" t="n">
        <v>0</v>
      </c>
      <c r="O163" t="n">
        <v>3</v>
      </c>
      <c r="P163" t="n">
        <v>1</v>
      </c>
      <c r="Q163" t="n">
        <v>3</v>
      </c>
      <c r="R163" s="2" t="inlineStr">
        <is>
          <t>Torrmusseron
Blå taggsvamp
Talltaggsvamp</t>
        </is>
      </c>
      <c r="S163">
        <f>HYPERLINK("https://klasma.github.io/Logging_KIRUNA/artfynd/A 38334-2020.xlsx", "A 38334-2020")</f>
        <v/>
      </c>
      <c r="T163">
        <f>HYPERLINK("https://klasma.github.io/Logging_KIRUNA/kartor/A 38334-2020.png", "A 38334-2020")</f>
        <v/>
      </c>
      <c r="V163">
        <f>HYPERLINK("https://klasma.github.io/Logging_KIRUNA/klagomål/A 38334-2020.docx", "A 38334-2020")</f>
        <v/>
      </c>
      <c r="W163">
        <f>HYPERLINK("https://klasma.github.io/Logging_KIRUNA/klagomålsmail/A 38334-2020.docx", "A 38334-2020")</f>
        <v/>
      </c>
      <c r="X163">
        <f>HYPERLINK("https://klasma.github.io/Logging_KIRUNA/tillsyn/A 38334-2020.docx", "A 38334-2020")</f>
        <v/>
      </c>
      <c r="Y163">
        <f>HYPERLINK("https://klasma.github.io/Logging_KIRUNA/tillsynsmail/A 38334-2020.docx", "A 38334-2020")</f>
        <v/>
      </c>
    </row>
    <row r="164" ht="15" customHeight="1">
      <c r="A164" t="inlineStr">
        <is>
          <t>A 42509-2020</t>
        </is>
      </c>
      <c r="B164" s="1" t="n">
        <v>44074</v>
      </c>
      <c r="C164" s="1" t="n">
        <v>45206</v>
      </c>
      <c r="D164" t="inlineStr">
        <is>
          <t>NORRBOTTENS LÄN</t>
        </is>
      </c>
      <c r="E164" t="inlineStr">
        <is>
          <t>KIRUNA</t>
        </is>
      </c>
      <c r="F164" t="inlineStr">
        <is>
          <t>Sveaskog</t>
        </is>
      </c>
      <c r="G164" t="n">
        <v>25.3</v>
      </c>
      <c r="H164" t="n">
        <v>0</v>
      </c>
      <c r="I164" t="n">
        <v>0</v>
      </c>
      <c r="J164" t="n">
        <v>3</v>
      </c>
      <c r="K164" t="n">
        <v>0</v>
      </c>
      <c r="L164" t="n">
        <v>0</v>
      </c>
      <c r="M164" t="n">
        <v>0</v>
      </c>
      <c r="N164" t="n">
        <v>0</v>
      </c>
      <c r="O164" t="n">
        <v>3</v>
      </c>
      <c r="P164" t="n">
        <v>0</v>
      </c>
      <c r="Q164" t="n">
        <v>3</v>
      </c>
      <c r="R164" s="2" t="inlineStr">
        <is>
          <t>Granticka
Harticka
Knottrig blåslav</t>
        </is>
      </c>
      <c r="S164">
        <f>HYPERLINK("https://klasma.github.io/Logging_KIRUNA/artfynd/A 42509-2020.xlsx", "A 42509-2020")</f>
        <v/>
      </c>
      <c r="T164">
        <f>HYPERLINK("https://klasma.github.io/Logging_KIRUNA/kartor/A 42509-2020.png", "A 42509-2020")</f>
        <v/>
      </c>
      <c r="V164">
        <f>HYPERLINK("https://klasma.github.io/Logging_KIRUNA/klagomål/A 42509-2020.docx", "A 42509-2020")</f>
        <v/>
      </c>
      <c r="W164">
        <f>HYPERLINK("https://klasma.github.io/Logging_KIRUNA/klagomålsmail/A 42509-2020.docx", "A 42509-2020")</f>
        <v/>
      </c>
      <c r="X164">
        <f>HYPERLINK("https://klasma.github.io/Logging_KIRUNA/tillsyn/A 42509-2020.docx", "A 42509-2020")</f>
        <v/>
      </c>
      <c r="Y164">
        <f>HYPERLINK("https://klasma.github.io/Logging_KIRUNA/tillsynsmail/A 42509-2020.docx", "A 42509-2020")</f>
        <v/>
      </c>
    </row>
    <row r="165" ht="15" customHeight="1">
      <c r="A165" t="inlineStr">
        <is>
          <t>A 43640-2020</t>
        </is>
      </c>
      <c r="B165" s="1" t="n">
        <v>44082</v>
      </c>
      <c r="C165" s="1" t="n">
        <v>45206</v>
      </c>
      <c r="D165" t="inlineStr">
        <is>
          <t>NORRBOTTENS LÄN</t>
        </is>
      </c>
      <c r="E165" t="inlineStr">
        <is>
          <t>BODEN</t>
        </is>
      </c>
      <c r="F165" t="inlineStr">
        <is>
          <t>Sveaskog</t>
        </is>
      </c>
      <c r="G165" t="n">
        <v>0.9</v>
      </c>
      <c r="H165" t="n">
        <v>0</v>
      </c>
      <c r="I165" t="n">
        <v>1</v>
      </c>
      <c r="J165" t="n">
        <v>2</v>
      </c>
      <c r="K165" t="n">
        <v>0</v>
      </c>
      <c r="L165" t="n">
        <v>0</v>
      </c>
      <c r="M165" t="n">
        <v>0</v>
      </c>
      <c r="N165" t="n">
        <v>0</v>
      </c>
      <c r="O165" t="n">
        <v>2</v>
      </c>
      <c r="P165" t="n">
        <v>0</v>
      </c>
      <c r="Q165" t="n">
        <v>3</v>
      </c>
      <c r="R165" s="2" t="inlineStr">
        <is>
          <t>Blå taggsvamp
Garnlav
Dropptaggsvamp</t>
        </is>
      </c>
      <c r="S165">
        <f>HYPERLINK("https://klasma.github.io/Logging_BODEN/artfynd/A 43640-2020.xlsx", "A 43640-2020")</f>
        <v/>
      </c>
      <c r="T165">
        <f>HYPERLINK("https://klasma.github.io/Logging_BODEN/kartor/A 43640-2020.png", "A 43640-2020")</f>
        <v/>
      </c>
      <c r="V165">
        <f>HYPERLINK("https://klasma.github.io/Logging_BODEN/klagomål/A 43640-2020.docx", "A 43640-2020")</f>
        <v/>
      </c>
      <c r="W165">
        <f>HYPERLINK("https://klasma.github.io/Logging_BODEN/klagomålsmail/A 43640-2020.docx", "A 43640-2020")</f>
        <v/>
      </c>
      <c r="X165">
        <f>HYPERLINK("https://klasma.github.io/Logging_BODEN/tillsyn/A 43640-2020.docx", "A 43640-2020")</f>
        <v/>
      </c>
      <c r="Y165">
        <f>HYPERLINK("https://klasma.github.io/Logging_BODEN/tillsynsmail/A 43640-2020.docx", "A 43640-2020")</f>
        <v/>
      </c>
    </row>
    <row r="166" ht="15" customHeight="1">
      <c r="A166" t="inlineStr">
        <is>
          <t>A 44419-2020</t>
        </is>
      </c>
      <c r="B166" s="1" t="n">
        <v>44084</v>
      </c>
      <c r="C166" s="1" t="n">
        <v>45206</v>
      </c>
      <c r="D166" t="inlineStr">
        <is>
          <t>NORRBOTTENS LÄN</t>
        </is>
      </c>
      <c r="E166" t="inlineStr">
        <is>
          <t>BODEN</t>
        </is>
      </c>
      <c r="F166" t="inlineStr">
        <is>
          <t>Sveaskog</t>
        </is>
      </c>
      <c r="G166" t="n">
        <v>3.1</v>
      </c>
      <c r="H166" t="n">
        <v>1</v>
      </c>
      <c r="I166" t="n">
        <v>0</v>
      </c>
      <c r="J166" t="n">
        <v>3</v>
      </c>
      <c r="K166" t="n">
        <v>0</v>
      </c>
      <c r="L166" t="n">
        <v>0</v>
      </c>
      <c r="M166" t="n">
        <v>0</v>
      </c>
      <c r="N166" t="n">
        <v>0</v>
      </c>
      <c r="O166" t="n">
        <v>3</v>
      </c>
      <c r="P166" t="n">
        <v>0</v>
      </c>
      <c r="Q166" t="n">
        <v>3</v>
      </c>
      <c r="R166" s="2" t="inlineStr">
        <is>
          <t>Garnlav
Tretåig hackspett
Vedskivlav</t>
        </is>
      </c>
      <c r="S166">
        <f>HYPERLINK("https://klasma.github.io/Logging_BODEN/artfynd/A 44419-2020.xlsx", "A 44419-2020")</f>
        <v/>
      </c>
      <c r="T166">
        <f>HYPERLINK("https://klasma.github.io/Logging_BODEN/kartor/A 44419-2020.png", "A 44419-2020")</f>
        <v/>
      </c>
      <c r="V166">
        <f>HYPERLINK("https://klasma.github.io/Logging_BODEN/klagomål/A 44419-2020.docx", "A 44419-2020")</f>
        <v/>
      </c>
      <c r="W166">
        <f>HYPERLINK("https://klasma.github.io/Logging_BODEN/klagomålsmail/A 44419-2020.docx", "A 44419-2020")</f>
        <v/>
      </c>
      <c r="X166">
        <f>HYPERLINK("https://klasma.github.io/Logging_BODEN/tillsyn/A 44419-2020.docx", "A 44419-2020")</f>
        <v/>
      </c>
      <c r="Y166">
        <f>HYPERLINK("https://klasma.github.io/Logging_BODEN/tillsynsmail/A 44419-2020.docx", "A 44419-2020")</f>
        <v/>
      </c>
    </row>
    <row r="167" ht="15" customHeight="1">
      <c r="A167" t="inlineStr">
        <is>
          <t>A 54297-2020</t>
        </is>
      </c>
      <c r="B167" s="1" t="n">
        <v>44124</v>
      </c>
      <c r="C167" s="1" t="n">
        <v>45206</v>
      </c>
      <c r="D167" t="inlineStr">
        <is>
          <t>NORRBOTTENS LÄN</t>
        </is>
      </c>
      <c r="E167" t="inlineStr">
        <is>
          <t>BODEN</t>
        </is>
      </c>
      <c r="G167" t="n">
        <v>15</v>
      </c>
      <c r="H167" t="n">
        <v>2</v>
      </c>
      <c r="I167" t="n">
        <v>0</v>
      </c>
      <c r="J167" t="n">
        <v>2</v>
      </c>
      <c r="K167" t="n">
        <v>0</v>
      </c>
      <c r="L167" t="n">
        <v>0</v>
      </c>
      <c r="M167" t="n">
        <v>0</v>
      </c>
      <c r="N167" t="n">
        <v>0</v>
      </c>
      <c r="O167" t="n">
        <v>2</v>
      </c>
      <c r="P167" t="n">
        <v>0</v>
      </c>
      <c r="Q167" t="n">
        <v>3</v>
      </c>
      <c r="R167" s="2" t="inlineStr">
        <is>
          <t>Svartvit taggsvamp
Talltita
Revlummer</t>
        </is>
      </c>
      <c r="S167">
        <f>HYPERLINK("https://klasma.github.io/Logging_BODEN/artfynd/A 54297-2020.xlsx", "A 54297-2020")</f>
        <v/>
      </c>
      <c r="T167">
        <f>HYPERLINK("https://klasma.github.io/Logging_BODEN/kartor/A 54297-2020.png", "A 54297-2020")</f>
        <v/>
      </c>
      <c r="V167">
        <f>HYPERLINK("https://klasma.github.io/Logging_BODEN/klagomål/A 54297-2020.docx", "A 54297-2020")</f>
        <v/>
      </c>
      <c r="W167">
        <f>HYPERLINK("https://klasma.github.io/Logging_BODEN/klagomålsmail/A 54297-2020.docx", "A 54297-2020")</f>
        <v/>
      </c>
      <c r="X167">
        <f>HYPERLINK("https://klasma.github.io/Logging_BODEN/tillsyn/A 54297-2020.docx", "A 54297-2020")</f>
        <v/>
      </c>
      <c r="Y167">
        <f>HYPERLINK("https://klasma.github.io/Logging_BODEN/tillsynsmail/A 54297-2020.docx", "A 54297-2020")</f>
        <v/>
      </c>
    </row>
    <row r="168" ht="15" customHeight="1">
      <c r="A168" t="inlineStr">
        <is>
          <t>A 55246-2020</t>
        </is>
      </c>
      <c r="B168" s="1" t="n">
        <v>44130</v>
      </c>
      <c r="C168" s="1" t="n">
        <v>45206</v>
      </c>
      <c r="D168" t="inlineStr">
        <is>
          <t>NORRBOTTENS LÄN</t>
        </is>
      </c>
      <c r="E168" t="inlineStr">
        <is>
          <t>BODEN</t>
        </is>
      </c>
      <c r="F168" t="inlineStr">
        <is>
          <t>Sveaskog</t>
        </is>
      </c>
      <c r="G168" t="n">
        <v>4.5</v>
      </c>
      <c r="H168" t="n">
        <v>0</v>
      </c>
      <c r="I168" t="n">
        <v>1</v>
      </c>
      <c r="J168" t="n">
        <v>2</v>
      </c>
      <c r="K168" t="n">
        <v>0</v>
      </c>
      <c r="L168" t="n">
        <v>0</v>
      </c>
      <c r="M168" t="n">
        <v>0</v>
      </c>
      <c r="N168" t="n">
        <v>0</v>
      </c>
      <c r="O168" t="n">
        <v>2</v>
      </c>
      <c r="P168" t="n">
        <v>0</v>
      </c>
      <c r="Q168" t="n">
        <v>3</v>
      </c>
      <c r="R168" s="2" t="inlineStr">
        <is>
          <t>Gammelgransskål
Lunglav
Bronshjon</t>
        </is>
      </c>
      <c r="S168">
        <f>HYPERLINK("https://klasma.github.io/Logging_BODEN/artfynd/A 55246-2020.xlsx", "A 55246-2020")</f>
        <v/>
      </c>
      <c r="T168">
        <f>HYPERLINK("https://klasma.github.io/Logging_BODEN/kartor/A 55246-2020.png", "A 55246-2020")</f>
        <v/>
      </c>
      <c r="V168">
        <f>HYPERLINK("https://klasma.github.io/Logging_BODEN/klagomål/A 55246-2020.docx", "A 55246-2020")</f>
        <v/>
      </c>
      <c r="W168">
        <f>HYPERLINK("https://klasma.github.io/Logging_BODEN/klagomålsmail/A 55246-2020.docx", "A 55246-2020")</f>
        <v/>
      </c>
      <c r="X168">
        <f>HYPERLINK("https://klasma.github.io/Logging_BODEN/tillsyn/A 55246-2020.docx", "A 55246-2020")</f>
        <v/>
      </c>
      <c r="Y168">
        <f>HYPERLINK("https://klasma.github.io/Logging_BODEN/tillsynsmail/A 55246-2020.docx", "A 55246-2020")</f>
        <v/>
      </c>
    </row>
    <row r="169" ht="15" customHeight="1">
      <c r="A169" t="inlineStr">
        <is>
          <t>A 3458-2021</t>
        </is>
      </c>
      <c r="B169" s="1" t="n">
        <v>44216</v>
      </c>
      <c r="C169" s="1" t="n">
        <v>45206</v>
      </c>
      <c r="D169" t="inlineStr">
        <is>
          <t>NORRBOTTENS LÄN</t>
        </is>
      </c>
      <c r="E169" t="inlineStr">
        <is>
          <t>ÖVERTORNEÅ</t>
        </is>
      </c>
      <c r="G169" t="n">
        <v>3</v>
      </c>
      <c r="H169" t="n">
        <v>1</v>
      </c>
      <c r="I169" t="n">
        <v>1</v>
      </c>
      <c r="J169" t="n">
        <v>1</v>
      </c>
      <c r="K169" t="n">
        <v>1</v>
      </c>
      <c r="L169" t="n">
        <v>0</v>
      </c>
      <c r="M169" t="n">
        <v>0</v>
      </c>
      <c r="N169" t="n">
        <v>0</v>
      </c>
      <c r="O169" t="n">
        <v>2</v>
      </c>
      <c r="P169" t="n">
        <v>1</v>
      </c>
      <c r="Q169" t="n">
        <v>3</v>
      </c>
      <c r="R169" s="2" t="inlineStr">
        <is>
          <t>Knärot
Doftskinn
Gulnål</t>
        </is>
      </c>
      <c r="S169">
        <f>HYPERLINK("https://klasma.github.io/Logging_OVERTORNEA/artfynd/A 3458-2021.xlsx", "A 3458-2021")</f>
        <v/>
      </c>
      <c r="T169">
        <f>HYPERLINK("https://klasma.github.io/Logging_OVERTORNEA/kartor/A 3458-2021.png", "A 3458-2021")</f>
        <v/>
      </c>
      <c r="U169">
        <f>HYPERLINK("https://klasma.github.io/Logging_OVERTORNEA/knärot/A 3458-2021.png", "A 3458-2021")</f>
        <v/>
      </c>
      <c r="V169">
        <f>HYPERLINK("https://klasma.github.io/Logging_OVERTORNEA/klagomål/A 3458-2021.docx", "A 3458-2021")</f>
        <v/>
      </c>
      <c r="W169">
        <f>HYPERLINK("https://klasma.github.io/Logging_OVERTORNEA/klagomålsmail/A 3458-2021.docx", "A 3458-2021")</f>
        <v/>
      </c>
      <c r="X169">
        <f>HYPERLINK("https://klasma.github.io/Logging_OVERTORNEA/tillsyn/A 3458-2021.docx", "A 3458-2021")</f>
        <v/>
      </c>
      <c r="Y169">
        <f>HYPERLINK("https://klasma.github.io/Logging_OVERTORNEA/tillsynsmail/A 3458-2021.docx", "A 3458-2021")</f>
        <v/>
      </c>
    </row>
    <row r="170" ht="15" customHeight="1">
      <c r="A170" t="inlineStr">
        <is>
          <t>A 17088-2021</t>
        </is>
      </c>
      <c r="B170" s="1" t="n">
        <v>44297</v>
      </c>
      <c r="C170" s="1" t="n">
        <v>45206</v>
      </c>
      <c r="D170" t="inlineStr">
        <is>
          <t>NORRBOTTENS LÄN</t>
        </is>
      </c>
      <c r="E170" t="inlineStr">
        <is>
          <t>KIRUNA</t>
        </is>
      </c>
      <c r="G170" t="n">
        <v>59.9</v>
      </c>
      <c r="H170" t="n">
        <v>0</v>
      </c>
      <c r="I170" t="n">
        <v>0</v>
      </c>
      <c r="J170" t="n">
        <v>3</v>
      </c>
      <c r="K170" t="n">
        <v>0</v>
      </c>
      <c r="L170" t="n">
        <v>0</v>
      </c>
      <c r="M170" t="n">
        <v>0</v>
      </c>
      <c r="N170" t="n">
        <v>0</v>
      </c>
      <c r="O170" t="n">
        <v>3</v>
      </c>
      <c r="P170" t="n">
        <v>0</v>
      </c>
      <c r="Q170" t="n">
        <v>3</v>
      </c>
      <c r="R170" s="2" t="inlineStr">
        <is>
          <t>Blå taggsvamp
Motaggsvamp
Vitplätt</t>
        </is>
      </c>
      <c r="S170">
        <f>HYPERLINK("https://klasma.github.io/Logging_KIRUNA/artfynd/A 17088-2021.xlsx", "A 17088-2021")</f>
        <v/>
      </c>
      <c r="T170">
        <f>HYPERLINK("https://klasma.github.io/Logging_KIRUNA/kartor/A 17088-2021.png", "A 17088-2021")</f>
        <v/>
      </c>
      <c r="V170">
        <f>HYPERLINK("https://klasma.github.io/Logging_KIRUNA/klagomål/A 17088-2021.docx", "A 17088-2021")</f>
        <v/>
      </c>
      <c r="W170">
        <f>HYPERLINK("https://klasma.github.io/Logging_KIRUNA/klagomålsmail/A 17088-2021.docx", "A 17088-2021")</f>
        <v/>
      </c>
      <c r="X170">
        <f>HYPERLINK("https://klasma.github.io/Logging_KIRUNA/tillsyn/A 17088-2021.docx", "A 17088-2021")</f>
        <v/>
      </c>
      <c r="Y170">
        <f>HYPERLINK("https://klasma.github.io/Logging_KIRUNA/tillsynsmail/A 17088-2021.docx", "A 17088-2021")</f>
        <v/>
      </c>
    </row>
    <row r="171" ht="15" customHeight="1">
      <c r="A171" t="inlineStr">
        <is>
          <t>A 24447-2021</t>
        </is>
      </c>
      <c r="B171" s="1" t="n">
        <v>44337</v>
      </c>
      <c r="C171" s="1" t="n">
        <v>45206</v>
      </c>
      <c r="D171" t="inlineStr">
        <is>
          <t>NORRBOTTENS LÄN</t>
        </is>
      </c>
      <c r="E171" t="inlineStr">
        <is>
          <t>BODEN</t>
        </is>
      </c>
      <c r="F171" t="inlineStr">
        <is>
          <t>Sveaskog</t>
        </is>
      </c>
      <c r="G171" t="n">
        <v>3.7</v>
      </c>
      <c r="H171" t="n">
        <v>0</v>
      </c>
      <c r="I171" t="n">
        <v>2</v>
      </c>
      <c r="J171" t="n">
        <v>1</v>
      </c>
      <c r="K171" t="n">
        <v>0</v>
      </c>
      <c r="L171" t="n">
        <v>0</v>
      </c>
      <c r="M171" t="n">
        <v>0</v>
      </c>
      <c r="N171" t="n">
        <v>0</v>
      </c>
      <c r="O171" t="n">
        <v>1</v>
      </c>
      <c r="P171" t="n">
        <v>0</v>
      </c>
      <c r="Q171" t="n">
        <v>3</v>
      </c>
      <c r="R171" s="2" t="inlineStr">
        <is>
          <t>Lunglav
Bårdlav
Stuplav</t>
        </is>
      </c>
      <c r="S171">
        <f>HYPERLINK("https://klasma.github.io/Logging_BODEN/artfynd/A 24447-2021.xlsx", "A 24447-2021")</f>
        <v/>
      </c>
      <c r="T171">
        <f>HYPERLINK("https://klasma.github.io/Logging_BODEN/kartor/A 24447-2021.png", "A 24447-2021")</f>
        <v/>
      </c>
      <c r="V171">
        <f>HYPERLINK("https://klasma.github.io/Logging_BODEN/klagomål/A 24447-2021.docx", "A 24447-2021")</f>
        <v/>
      </c>
      <c r="W171">
        <f>HYPERLINK("https://klasma.github.io/Logging_BODEN/klagomålsmail/A 24447-2021.docx", "A 24447-2021")</f>
        <v/>
      </c>
      <c r="X171">
        <f>HYPERLINK("https://klasma.github.io/Logging_BODEN/tillsyn/A 24447-2021.docx", "A 24447-2021")</f>
        <v/>
      </c>
      <c r="Y171">
        <f>HYPERLINK("https://klasma.github.io/Logging_BODEN/tillsynsmail/A 24447-2021.docx", "A 24447-2021")</f>
        <v/>
      </c>
    </row>
    <row r="172" ht="15" customHeight="1">
      <c r="A172" t="inlineStr">
        <is>
          <t>A 46019-2021</t>
        </is>
      </c>
      <c r="B172" s="1" t="n">
        <v>44441</v>
      </c>
      <c r="C172" s="1" t="n">
        <v>45206</v>
      </c>
      <c r="D172" t="inlineStr">
        <is>
          <t>NORRBOTTENS LÄN</t>
        </is>
      </c>
      <c r="E172" t="inlineStr">
        <is>
          <t>ÖVERTORNEÅ</t>
        </is>
      </c>
      <c r="G172" t="n">
        <v>2.7</v>
      </c>
      <c r="H172" t="n">
        <v>1</v>
      </c>
      <c r="I172" t="n">
        <v>1</v>
      </c>
      <c r="J172" t="n">
        <v>1</v>
      </c>
      <c r="K172" t="n">
        <v>1</v>
      </c>
      <c r="L172" t="n">
        <v>0</v>
      </c>
      <c r="M172" t="n">
        <v>0</v>
      </c>
      <c r="N172" t="n">
        <v>0</v>
      </c>
      <c r="O172" t="n">
        <v>2</v>
      </c>
      <c r="P172" t="n">
        <v>1</v>
      </c>
      <c r="Q172" t="n">
        <v>3</v>
      </c>
      <c r="R172" s="2" t="inlineStr">
        <is>
          <t>Knärot
Doftskinn
Gulnål</t>
        </is>
      </c>
      <c r="S172">
        <f>HYPERLINK("https://klasma.github.io/Logging_OVERTORNEA/artfynd/A 46019-2021.xlsx", "A 46019-2021")</f>
        <v/>
      </c>
      <c r="T172">
        <f>HYPERLINK("https://klasma.github.io/Logging_OVERTORNEA/kartor/A 46019-2021.png", "A 46019-2021")</f>
        <v/>
      </c>
      <c r="U172">
        <f>HYPERLINK("https://klasma.github.io/Logging_OVERTORNEA/knärot/A 46019-2021.png", "A 46019-2021")</f>
        <v/>
      </c>
      <c r="V172">
        <f>HYPERLINK("https://klasma.github.io/Logging_OVERTORNEA/klagomål/A 46019-2021.docx", "A 46019-2021")</f>
        <v/>
      </c>
      <c r="W172">
        <f>HYPERLINK("https://klasma.github.io/Logging_OVERTORNEA/klagomålsmail/A 46019-2021.docx", "A 46019-2021")</f>
        <v/>
      </c>
      <c r="X172">
        <f>HYPERLINK("https://klasma.github.io/Logging_OVERTORNEA/tillsyn/A 46019-2021.docx", "A 46019-2021")</f>
        <v/>
      </c>
      <c r="Y172">
        <f>HYPERLINK("https://klasma.github.io/Logging_OVERTORNEA/tillsynsmail/A 46019-2021.docx", "A 46019-2021")</f>
        <v/>
      </c>
    </row>
    <row r="173" ht="15" customHeight="1">
      <c r="A173" t="inlineStr">
        <is>
          <t>A 60554-2021</t>
        </is>
      </c>
      <c r="B173" s="1" t="n">
        <v>44496</v>
      </c>
      <c r="C173" s="1" t="n">
        <v>45206</v>
      </c>
      <c r="D173" t="inlineStr">
        <is>
          <t>NORRBOTTENS LÄN</t>
        </is>
      </c>
      <c r="E173" t="inlineStr">
        <is>
          <t>ÖVERKALIX</t>
        </is>
      </c>
      <c r="F173" t="inlineStr">
        <is>
          <t>Sveaskog</t>
        </is>
      </c>
      <c r="G173" t="n">
        <v>7.4</v>
      </c>
      <c r="H173" t="n">
        <v>1</v>
      </c>
      <c r="I173" t="n">
        <v>1</v>
      </c>
      <c r="J173" t="n">
        <v>2</v>
      </c>
      <c r="K173" t="n">
        <v>0</v>
      </c>
      <c r="L173" t="n">
        <v>0</v>
      </c>
      <c r="M173" t="n">
        <v>0</v>
      </c>
      <c r="N173" t="n">
        <v>0</v>
      </c>
      <c r="O173" t="n">
        <v>2</v>
      </c>
      <c r="P173" t="n">
        <v>0</v>
      </c>
      <c r="Q173" t="n">
        <v>3</v>
      </c>
      <c r="R173" s="2" t="inlineStr">
        <is>
          <t>Tretåig hackspett
Veckticka
Luddlav</t>
        </is>
      </c>
      <c r="S173">
        <f>HYPERLINK("https://klasma.github.io/Logging_OVERKALIX/artfynd/A 60554-2021.xlsx", "A 60554-2021")</f>
        <v/>
      </c>
      <c r="T173">
        <f>HYPERLINK("https://klasma.github.io/Logging_OVERKALIX/kartor/A 60554-2021.png", "A 60554-2021")</f>
        <v/>
      </c>
      <c r="V173">
        <f>HYPERLINK("https://klasma.github.io/Logging_OVERKALIX/klagomål/A 60554-2021.docx", "A 60554-2021")</f>
        <v/>
      </c>
      <c r="W173">
        <f>HYPERLINK("https://klasma.github.io/Logging_OVERKALIX/klagomålsmail/A 60554-2021.docx", "A 60554-2021")</f>
        <v/>
      </c>
      <c r="X173">
        <f>HYPERLINK("https://klasma.github.io/Logging_OVERKALIX/tillsyn/A 60554-2021.docx", "A 60554-2021")</f>
        <v/>
      </c>
      <c r="Y173">
        <f>HYPERLINK("https://klasma.github.io/Logging_OVERKALIX/tillsynsmail/A 60554-2021.docx", "A 60554-2021")</f>
        <v/>
      </c>
    </row>
    <row r="174" ht="15" customHeight="1">
      <c r="A174" t="inlineStr">
        <is>
          <t>A 62610-2021</t>
        </is>
      </c>
      <c r="B174" s="1" t="n">
        <v>44503</v>
      </c>
      <c r="C174" s="1" t="n">
        <v>45206</v>
      </c>
      <c r="D174" t="inlineStr">
        <is>
          <t>NORRBOTTENS LÄN</t>
        </is>
      </c>
      <c r="E174" t="inlineStr">
        <is>
          <t>PAJALA</t>
        </is>
      </c>
      <c r="F174" t="inlineStr">
        <is>
          <t>Sveaskog</t>
        </is>
      </c>
      <c r="G174" t="n">
        <v>1.6</v>
      </c>
      <c r="H174" t="n">
        <v>2</v>
      </c>
      <c r="I174" t="n">
        <v>1</v>
      </c>
      <c r="J174" t="n">
        <v>2</v>
      </c>
      <c r="K174" t="n">
        <v>0</v>
      </c>
      <c r="L174" t="n">
        <v>0</v>
      </c>
      <c r="M174" t="n">
        <v>0</v>
      </c>
      <c r="N174" t="n">
        <v>0</v>
      </c>
      <c r="O174" t="n">
        <v>2</v>
      </c>
      <c r="P174" t="n">
        <v>0</v>
      </c>
      <c r="Q174" t="n">
        <v>3</v>
      </c>
      <c r="R174" s="2" t="inlineStr">
        <is>
          <t>Kolflarnlav
Spillkråka
Plattlummer</t>
        </is>
      </c>
      <c r="S174">
        <f>HYPERLINK("https://klasma.github.io/Logging_PAJALA/artfynd/A 62610-2021.xlsx", "A 62610-2021")</f>
        <v/>
      </c>
      <c r="T174">
        <f>HYPERLINK("https://klasma.github.io/Logging_PAJALA/kartor/A 62610-2021.png", "A 62610-2021")</f>
        <v/>
      </c>
      <c r="V174">
        <f>HYPERLINK("https://klasma.github.io/Logging_PAJALA/klagomål/A 62610-2021.docx", "A 62610-2021")</f>
        <v/>
      </c>
      <c r="W174">
        <f>HYPERLINK("https://klasma.github.io/Logging_PAJALA/klagomålsmail/A 62610-2021.docx", "A 62610-2021")</f>
        <v/>
      </c>
      <c r="X174">
        <f>HYPERLINK("https://klasma.github.io/Logging_PAJALA/tillsyn/A 62610-2021.docx", "A 62610-2021")</f>
        <v/>
      </c>
      <c r="Y174">
        <f>HYPERLINK("https://klasma.github.io/Logging_PAJALA/tillsynsmail/A 62610-2021.docx", "A 62610-2021")</f>
        <v/>
      </c>
    </row>
    <row r="175" ht="15" customHeight="1">
      <c r="A175" t="inlineStr">
        <is>
          <t>A 64166-2021</t>
        </is>
      </c>
      <c r="B175" s="1" t="n">
        <v>44510</v>
      </c>
      <c r="C175" s="1" t="n">
        <v>45206</v>
      </c>
      <c r="D175" t="inlineStr">
        <is>
          <t>NORRBOTTENS LÄN</t>
        </is>
      </c>
      <c r="E175" t="inlineStr">
        <is>
          <t>ARJEPLOG</t>
        </is>
      </c>
      <c r="F175" t="inlineStr">
        <is>
          <t>Övriga statliga verk och myndigheter</t>
        </is>
      </c>
      <c r="G175" t="n">
        <v>30.7</v>
      </c>
      <c r="H175" t="n">
        <v>0</v>
      </c>
      <c r="I175" t="n">
        <v>1</v>
      </c>
      <c r="J175" t="n">
        <v>1</v>
      </c>
      <c r="K175" t="n">
        <v>1</v>
      </c>
      <c r="L175" t="n">
        <v>0</v>
      </c>
      <c r="M175" t="n">
        <v>0</v>
      </c>
      <c r="N175" t="n">
        <v>0</v>
      </c>
      <c r="O175" t="n">
        <v>2</v>
      </c>
      <c r="P175" t="n">
        <v>1</v>
      </c>
      <c r="Q175" t="n">
        <v>3</v>
      </c>
      <c r="R175" s="2" t="inlineStr">
        <is>
          <t>Fläckporing
Blå taggsvamp
Skarp dropptaggsvamp</t>
        </is>
      </c>
      <c r="S175">
        <f>HYPERLINK("https://klasma.github.io/Logging_ARJEPLOG/artfynd/A 64166-2021.xlsx", "A 64166-2021")</f>
        <v/>
      </c>
      <c r="T175">
        <f>HYPERLINK("https://klasma.github.io/Logging_ARJEPLOG/kartor/A 64166-2021.png", "A 64166-2021")</f>
        <v/>
      </c>
      <c r="V175">
        <f>HYPERLINK("https://klasma.github.io/Logging_ARJEPLOG/klagomål/A 64166-2021.docx", "A 64166-2021")</f>
        <v/>
      </c>
      <c r="W175">
        <f>HYPERLINK("https://klasma.github.io/Logging_ARJEPLOG/klagomålsmail/A 64166-2021.docx", "A 64166-2021")</f>
        <v/>
      </c>
      <c r="X175">
        <f>HYPERLINK("https://klasma.github.io/Logging_ARJEPLOG/tillsyn/A 64166-2021.docx", "A 64166-2021")</f>
        <v/>
      </c>
      <c r="Y175">
        <f>HYPERLINK("https://klasma.github.io/Logging_ARJEPLOG/tillsynsmail/A 64166-2021.docx", "A 64166-2021")</f>
        <v/>
      </c>
    </row>
    <row r="176" ht="15" customHeight="1">
      <c r="A176" t="inlineStr">
        <is>
          <t>A 64289-2021</t>
        </is>
      </c>
      <c r="B176" s="1" t="n">
        <v>44510</v>
      </c>
      <c r="C176" s="1" t="n">
        <v>45206</v>
      </c>
      <c r="D176" t="inlineStr">
        <is>
          <t>NORRBOTTENS LÄN</t>
        </is>
      </c>
      <c r="E176" t="inlineStr">
        <is>
          <t>KALIX</t>
        </is>
      </c>
      <c r="F176" t="inlineStr">
        <is>
          <t>Sveaskog</t>
        </is>
      </c>
      <c r="G176" t="n">
        <v>18.9</v>
      </c>
      <c r="H176" t="n">
        <v>3</v>
      </c>
      <c r="I176" t="n">
        <v>0</v>
      </c>
      <c r="J176" t="n">
        <v>2</v>
      </c>
      <c r="K176" t="n">
        <v>0</v>
      </c>
      <c r="L176" t="n">
        <v>1</v>
      </c>
      <c r="M176" t="n">
        <v>0</v>
      </c>
      <c r="N176" t="n">
        <v>0</v>
      </c>
      <c r="O176" t="n">
        <v>3</v>
      </c>
      <c r="P176" t="n">
        <v>1</v>
      </c>
      <c r="Q176" t="n">
        <v>3</v>
      </c>
      <c r="R176" s="2" t="inlineStr">
        <is>
          <t>Grönfink
Spillkråka
Talltita</t>
        </is>
      </c>
      <c r="S176">
        <f>HYPERLINK("https://klasma.github.io/Logging_KALIX/artfynd/A 64289-2021.xlsx", "A 64289-2021")</f>
        <v/>
      </c>
      <c r="T176">
        <f>HYPERLINK("https://klasma.github.io/Logging_KALIX/kartor/A 64289-2021.png", "A 64289-2021")</f>
        <v/>
      </c>
      <c r="V176">
        <f>HYPERLINK("https://klasma.github.io/Logging_KALIX/klagomål/A 64289-2021.docx", "A 64289-2021")</f>
        <v/>
      </c>
      <c r="W176">
        <f>HYPERLINK("https://klasma.github.io/Logging_KALIX/klagomålsmail/A 64289-2021.docx", "A 64289-2021")</f>
        <v/>
      </c>
      <c r="X176">
        <f>HYPERLINK("https://klasma.github.io/Logging_KALIX/tillsyn/A 64289-2021.docx", "A 64289-2021")</f>
        <v/>
      </c>
      <c r="Y176">
        <f>HYPERLINK("https://klasma.github.io/Logging_KALIX/tillsynsmail/A 64289-2021.docx", "A 64289-2021")</f>
        <v/>
      </c>
    </row>
    <row r="177" ht="15" customHeight="1">
      <c r="A177" t="inlineStr">
        <is>
          <t>A 66859-2021</t>
        </is>
      </c>
      <c r="B177" s="1" t="n">
        <v>44522</v>
      </c>
      <c r="C177" s="1" t="n">
        <v>45206</v>
      </c>
      <c r="D177" t="inlineStr">
        <is>
          <t>NORRBOTTENS LÄN</t>
        </is>
      </c>
      <c r="E177" t="inlineStr">
        <is>
          <t>PITEÅ</t>
        </is>
      </c>
      <c r="F177" t="inlineStr">
        <is>
          <t>Sveaskog</t>
        </is>
      </c>
      <c r="G177" t="n">
        <v>0.9</v>
      </c>
      <c r="H177" t="n">
        <v>1</v>
      </c>
      <c r="I177" t="n">
        <v>2</v>
      </c>
      <c r="J177" t="n">
        <v>0</v>
      </c>
      <c r="K177" t="n">
        <v>0</v>
      </c>
      <c r="L177" t="n">
        <v>0</v>
      </c>
      <c r="M177" t="n">
        <v>0</v>
      </c>
      <c r="N177" t="n">
        <v>0</v>
      </c>
      <c r="O177" t="n">
        <v>0</v>
      </c>
      <c r="P177" t="n">
        <v>0</v>
      </c>
      <c r="Q177" t="n">
        <v>3</v>
      </c>
      <c r="R177" s="2" t="inlineStr">
        <is>
          <t>Hårjordtunga
Ögonpyrola
Nattviol</t>
        </is>
      </c>
      <c r="S177">
        <f>HYPERLINK("https://klasma.github.io/Logging_PITEA/artfynd/A 66859-2021.xlsx", "A 66859-2021")</f>
        <v/>
      </c>
      <c r="T177">
        <f>HYPERLINK("https://klasma.github.io/Logging_PITEA/kartor/A 66859-2021.png", "A 66859-2021")</f>
        <v/>
      </c>
      <c r="V177">
        <f>HYPERLINK("https://klasma.github.io/Logging_PITEA/klagomål/A 66859-2021.docx", "A 66859-2021")</f>
        <v/>
      </c>
      <c r="W177">
        <f>HYPERLINK("https://klasma.github.io/Logging_PITEA/klagomålsmail/A 66859-2021.docx", "A 66859-2021")</f>
        <v/>
      </c>
      <c r="X177">
        <f>HYPERLINK("https://klasma.github.io/Logging_PITEA/tillsyn/A 66859-2021.docx", "A 66859-2021")</f>
        <v/>
      </c>
      <c r="Y177">
        <f>HYPERLINK("https://klasma.github.io/Logging_PITEA/tillsynsmail/A 66859-2021.docx", "A 66859-2021")</f>
        <v/>
      </c>
    </row>
    <row r="178" ht="15" customHeight="1">
      <c r="A178" t="inlineStr">
        <is>
          <t>A 68201-2021</t>
        </is>
      </c>
      <c r="B178" s="1" t="n">
        <v>44526</v>
      </c>
      <c r="C178" s="1" t="n">
        <v>45206</v>
      </c>
      <c r="D178" t="inlineStr">
        <is>
          <t>NORRBOTTENS LÄN</t>
        </is>
      </c>
      <c r="E178" t="inlineStr">
        <is>
          <t>PITEÅ</t>
        </is>
      </c>
      <c r="G178" t="n">
        <v>6.3</v>
      </c>
      <c r="H178" t="n">
        <v>1</v>
      </c>
      <c r="I178" t="n">
        <v>0</v>
      </c>
      <c r="J178" t="n">
        <v>3</v>
      </c>
      <c r="K178" t="n">
        <v>0</v>
      </c>
      <c r="L178" t="n">
        <v>0</v>
      </c>
      <c r="M178" t="n">
        <v>0</v>
      </c>
      <c r="N178" t="n">
        <v>0</v>
      </c>
      <c r="O178" t="n">
        <v>3</v>
      </c>
      <c r="P178" t="n">
        <v>0</v>
      </c>
      <c r="Q178" t="n">
        <v>3</v>
      </c>
      <c r="R178" s="2" t="inlineStr">
        <is>
          <t>Gammelgransskål
Lunglav
Spillkråka</t>
        </is>
      </c>
      <c r="S178">
        <f>HYPERLINK("https://klasma.github.io/Logging_PITEA/artfynd/A 68201-2021.xlsx", "A 68201-2021")</f>
        <v/>
      </c>
      <c r="T178">
        <f>HYPERLINK("https://klasma.github.io/Logging_PITEA/kartor/A 68201-2021.png", "A 68201-2021")</f>
        <v/>
      </c>
      <c r="V178">
        <f>HYPERLINK("https://klasma.github.io/Logging_PITEA/klagomål/A 68201-2021.docx", "A 68201-2021")</f>
        <v/>
      </c>
      <c r="W178">
        <f>HYPERLINK("https://klasma.github.io/Logging_PITEA/klagomålsmail/A 68201-2021.docx", "A 68201-2021")</f>
        <v/>
      </c>
      <c r="X178">
        <f>HYPERLINK("https://klasma.github.io/Logging_PITEA/tillsyn/A 68201-2021.docx", "A 68201-2021")</f>
        <v/>
      </c>
      <c r="Y178">
        <f>HYPERLINK("https://klasma.github.io/Logging_PITEA/tillsynsmail/A 68201-2021.docx", "A 68201-2021")</f>
        <v/>
      </c>
    </row>
    <row r="179" ht="15" customHeight="1">
      <c r="A179" t="inlineStr">
        <is>
          <t>A 72477-2021</t>
        </is>
      </c>
      <c r="B179" s="1" t="n">
        <v>44545</v>
      </c>
      <c r="C179" s="1" t="n">
        <v>45206</v>
      </c>
      <c r="D179" t="inlineStr">
        <is>
          <t>NORRBOTTENS LÄN</t>
        </is>
      </c>
      <c r="E179" t="inlineStr">
        <is>
          <t>JOKKMOKK</t>
        </is>
      </c>
      <c r="G179" t="n">
        <v>18.1</v>
      </c>
      <c r="H179" t="n">
        <v>0</v>
      </c>
      <c r="I179" t="n">
        <v>0</v>
      </c>
      <c r="J179" t="n">
        <v>2</v>
      </c>
      <c r="K179" t="n">
        <v>1</v>
      </c>
      <c r="L179" t="n">
        <v>0</v>
      </c>
      <c r="M179" t="n">
        <v>0</v>
      </c>
      <c r="N179" t="n">
        <v>0</v>
      </c>
      <c r="O179" t="n">
        <v>3</v>
      </c>
      <c r="P179" t="n">
        <v>1</v>
      </c>
      <c r="Q179" t="n">
        <v>3</v>
      </c>
      <c r="R179" s="2" t="inlineStr">
        <is>
          <t>Gräddporing
Blågrå svartspik
Ladlav</t>
        </is>
      </c>
      <c r="S179">
        <f>HYPERLINK("https://klasma.github.io/Logging_JOKKMOKK/artfynd/A 72477-2021.xlsx", "A 72477-2021")</f>
        <v/>
      </c>
      <c r="T179">
        <f>HYPERLINK("https://klasma.github.io/Logging_JOKKMOKK/kartor/A 72477-2021.png", "A 72477-2021")</f>
        <v/>
      </c>
      <c r="V179">
        <f>HYPERLINK("https://klasma.github.io/Logging_JOKKMOKK/klagomål/A 72477-2021.docx", "A 72477-2021")</f>
        <v/>
      </c>
      <c r="W179">
        <f>HYPERLINK("https://klasma.github.io/Logging_JOKKMOKK/klagomålsmail/A 72477-2021.docx", "A 72477-2021")</f>
        <v/>
      </c>
      <c r="X179">
        <f>HYPERLINK("https://klasma.github.io/Logging_JOKKMOKK/tillsyn/A 72477-2021.docx", "A 72477-2021")</f>
        <v/>
      </c>
      <c r="Y179">
        <f>HYPERLINK("https://klasma.github.io/Logging_JOKKMOKK/tillsynsmail/A 72477-2021.docx", "A 72477-2021")</f>
        <v/>
      </c>
    </row>
    <row r="180" ht="15" customHeight="1">
      <c r="A180" t="inlineStr">
        <is>
          <t>A 73971-2021</t>
        </is>
      </c>
      <c r="B180" s="1" t="n">
        <v>44553</v>
      </c>
      <c r="C180" s="1" t="n">
        <v>45206</v>
      </c>
      <c r="D180" t="inlineStr">
        <is>
          <t>NORRBOTTENS LÄN</t>
        </is>
      </c>
      <c r="E180" t="inlineStr">
        <is>
          <t>PITEÅ</t>
        </is>
      </c>
      <c r="F180" t="inlineStr">
        <is>
          <t>Kyrkan</t>
        </is>
      </c>
      <c r="G180" t="n">
        <v>54.7</v>
      </c>
      <c r="H180" t="n">
        <v>2</v>
      </c>
      <c r="I180" t="n">
        <v>0</v>
      </c>
      <c r="J180" t="n">
        <v>3</v>
      </c>
      <c r="K180" t="n">
        <v>0</v>
      </c>
      <c r="L180" t="n">
        <v>0</v>
      </c>
      <c r="M180" t="n">
        <v>0</v>
      </c>
      <c r="N180" t="n">
        <v>0</v>
      </c>
      <c r="O180" t="n">
        <v>3</v>
      </c>
      <c r="P180" t="n">
        <v>0</v>
      </c>
      <c r="Q180" t="n">
        <v>3</v>
      </c>
      <c r="R180" s="2" t="inlineStr">
        <is>
          <t>Spillkråka
Tretåig hackspett
Ullticka</t>
        </is>
      </c>
      <c r="S180">
        <f>HYPERLINK("https://klasma.github.io/Logging_PITEA/artfynd/A 73971-2021.xlsx", "A 73971-2021")</f>
        <v/>
      </c>
      <c r="T180">
        <f>HYPERLINK("https://klasma.github.io/Logging_PITEA/kartor/A 73971-2021.png", "A 73971-2021")</f>
        <v/>
      </c>
      <c r="V180">
        <f>HYPERLINK("https://klasma.github.io/Logging_PITEA/klagomål/A 73971-2021.docx", "A 73971-2021")</f>
        <v/>
      </c>
      <c r="W180">
        <f>HYPERLINK("https://klasma.github.io/Logging_PITEA/klagomålsmail/A 73971-2021.docx", "A 73971-2021")</f>
        <v/>
      </c>
      <c r="X180">
        <f>HYPERLINK("https://klasma.github.io/Logging_PITEA/tillsyn/A 73971-2021.docx", "A 73971-2021")</f>
        <v/>
      </c>
      <c r="Y180">
        <f>HYPERLINK("https://klasma.github.io/Logging_PITEA/tillsynsmail/A 73971-2021.docx", "A 73971-2021")</f>
        <v/>
      </c>
    </row>
    <row r="181" ht="15" customHeight="1">
      <c r="A181" t="inlineStr">
        <is>
          <t>A 15171-2022</t>
        </is>
      </c>
      <c r="B181" s="1" t="n">
        <v>44658</v>
      </c>
      <c r="C181" s="1" t="n">
        <v>45206</v>
      </c>
      <c r="D181" t="inlineStr">
        <is>
          <t>NORRBOTTENS LÄN</t>
        </is>
      </c>
      <c r="E181" t="inlineStr">
        <is>
          <t>ARJEPLOG</t>
        </is>
      </c>
      <c r="G181" t="n">
        <v>48</v>
      </c>
      <c r="H181" t="n">
        <v>1</v>
      </c>
      <c r="I181" t="n">
        <v>0</v>
      </c>
      <c r="J181" t="n">
        <v>3</v>
      </c>
      <c r="K181" t="n">
        <v>0</v>
      </c>
      <c r="L181" t="n">
        <v>0</v>
      </c>
      <c r="M181" t="n">
        <v>0</v>
      </c>
      <c r="N181" t="n">
        <v>0</v>
      </c>
      <c r="O181" t="n">
        <v>3</v>
      </c>
      <c r="P181" t="n">
        <v>0</v>
      </c>
      <c r="Q181" t="n">
        <v>3</v>
      </c>
      <c r="R181" s="2" t="inlineStr">
        <is>
          <t>Granticka
Lunglav
Tretåig hackspett</t>
        </is>
      </c>
      <c r="S181">
        <f>HYPERLINK("https://klasma.github.io/Logging_ARJEPLOG/artfynd/A 15171-2022.xlsx", "A 15171-2022")</f>
        <v/>
      </c>
      <c r="T181">
        <f>HYPERLINK("https://klasma.github.io/Logging_ARJEPLOG/kartor/A 15171-2022.png", "A 15171-2022")</f>
        <v/>
      </c>
      <c r="V181">
        <f>HYPERLINK("https://klasma.github.io/Logging_ARJEPLOG/klagomål/A 15171-2022.docx", "A 15171-2022")</f>
        <v/>
      </c>
      <c r="W181">
        <f>HYPERLINK("https://klasma.github.io/Logging_ARJEPLOG/klagomålsmail/A 15171-2022.docx", "A 15171-2022")</f>
        <v/>
      </c>
      <c r="X181">
        <f>HYPERLINK("https://klasma.github.io/Logging_ARJEPLOG/tillsyn/A 15171-2022.docx", "A 15171-2022")</f>
        <v/>
      </c>
      <c r="Y181">
        <f>HYPERLINK("https://klasma.github.io/Logging_ARJEPLOG/tillsynsmail/A 15171-2022.docx", "A 15171-2022")</f>
        <v/>
      </c>
    </row>
    <row r="182" ht="15" customHeight="1">
      <c r="A182" t="inlineStr">
        <is>
          <t>A 32806-2022</t>
        </is>
      </c>
      <c r="B182" s="1" t="n">
        <v>44783</v>
      </c>
      <c r="C182" s="1" t="n">
        <v>45206</v>
      </c>
      <c r="D182" t="inlineStr">
        <is>
          <t>NORRBOTTENS LÄN</t>
        </is>
      </c>
      <c r="E182" t="inlineStr">
        <is>
          <t>JOKKMOKK</t>
        </is>
      </c>
      <c r="F182" t="inlineStr">
        <is>
          <t>Övriga statliga verk och myndigheter</t>
        </is>
      </c>
      <c r="G182" t="n">
        <v>15</v>
      </c>
      <c r="H182" t="n">
        <v>1</v>
      </c>
      <c r="I182" t="n">
        <v>0</v>
      </c>
      <c r="J182" t="n">
        <v>3</v>
      </c>
      <c r="K182" t="n">
        <v>0</v>
      </c>
      <c r="L182" t="n">
        <v>0</v>
      </c>
      <c r="M182" t="n">
        <v>0</v>
      </c>
      <c r="N182" t="n">
        <v>0</v>
      </c>
      <c r="O182" t="n">
        <v>3</v>
      </c>
      <c r="P182" t="n">
        <v>0</v>
      </c>
      <c r="Q182" t="n">
        <v>3</v>
      </c>
      <c r="R182" s="2" t="inlineStr">
        <is>
          <t>Mörk kolflarnlav
Reliktbock
Tretåig hackspett</t>
        </is>
      </c>
      <c r="S182">
        <f>HYPERLINK("https://klasma.github.io/Logging_JOKKMOKK/artfynd/A 32806-2022.xlsx", "A 32806-2022")</f>
        <v/>
      </c>
      <c r="T182">
        <f>HYPERLINK("https://klasma.github.io/Logging_JOKKMOKK/kartor/A 32806-2022.png", "A 32806-2022")</f>
        <v/>
      </c>
      <c r="V182">
        <f>HYPERLINK("https://klasma.github.io/Logging_JOKKMOKK/klagomål/A 32806-2022.docx", "A 32806-2022")</f>
        <v/>
      </c>
      <c r="W182">
        <f>HYPERLINK("https://klasma.github.io/Logging_JOKKMOKK/klagomålsmail/A 32806-2022.docx", "A 32806-2022")</f>
        <v/>
      </c>
      <c r="X182">
        <f>HYPERLINK("https://klasma.github.io/Logging_JOKKMOKK/tillsyn/A 32806-2022.docx", "A 32806-2022")</f>
        <v/>
      </c>
      <c r="Y182">
        <f>HYPERLINK("https://klasma.github.io/Logging_JOKKMOKK/tillsynsmail/A 32806-2022.docx", "A 32806-2022")</f>
        <v/>
      </c>
    </row>
    <row r="183" ht="15" customHeight="1">
      <c r="A183" t="inlineStr">
        <is>
          <t>A 33453-2022</t>
        </is>
      </c>
      <c r="B183" s="1" t="n">
        <v>44788</v>
      </c>
      <c r="C183" s="1" t="n">
        <v>45206</v>
      </c>
      <c r="D183" t="inlineStr">
        <is>
          <t>NORRBOTTENS LÄN</t>
        </is>
      </c>
      <c r="E183" t="inlineStr">
        <is>
          <t>ARVIDSJAUR</t>
        </is>
      </c>
      <c r="F183" t="inlineStr">
        <is>
          <t>Allmännings- och besparingsskogar</t>
        </is>
      </c>
      <c r="G183" t="n">
        <v>18</v>
      </c>
      <c r="H183" t="n">
        <v>0</v>
      </c>
      <c r="I183" t="n">
        <v>0</v>
      </c>
      <c r="J183" t="n">
        <v>2</v>
      </c>
      <c r="K183" t="n">
        <v>1</v>
      </c>
      <c r="L183" t="n">
        <v>0</v>
      </c>
      <c r="M183" t="n">
        <v>0</v>
      </c>
      <c r="N183" t="n">
        <v>0</v>
      </c>
      <c r="O183" t="n">
        <v>3</v>
      </c>
      <c r="P183" t="n">
        <v>1</v>
      </c>
      <c r="Q183" t="n">
        <v>3</v>
      </c>
      <c r="R183" s="2" t="inlineStr">
        <is>
          <t>Fläckporing
Gränsticka
Nordtagging</t>
        </is>
      </c>
      <c r="S183">
        <f>HYPERLINK("https://klasma.github.io/Logging_ARVIDSJAUR/artfynd/A 33453-2022.xlsx", "A 33453-2022")</f>
        <v/>
      </c>
      <c r="T183">
        <f>HYPERLINK("https://klasma.github.io/Logging_ARVIDSJAUR/kartor/A 33453-2022.png", "A 33453-2022")</f>
        <v/>
      </c>
      <c r="V183">
        <f>HYPERLINK("https://klasma.github.io/Logging_ARVIDSJAUR/klagomål/A 33453-2022.docx", "A 33453-2022")</f>
        <v/>
      </c>
      <c r="W183">
        <f>HYPERLINK("https://klasma.github.io/Logging_ARVIDSJAUR/klagomålsmail/A 33453-2022.docx", "A 33453-2022")</f>
        <v/>
      </c>
      <c r="X183">
        <f>HYPERLINK("https://klasma.github.io/Logging_ARVIDSJAUR/tillsyn/A 33453-2022.docx", "A 33453-2022")</f>
        <v/>
      </c>
      <c r="Y183">
        <f>HYPERLINK("https://klasma.github.io/Logging_ARVIDSJAUR/tillsynsmail/A 33453-2022.docx", "A 33453-2022")</f>
        <v/>
      </c>
    </row>
    <row r="184" ht="15" customHeight="1">
      <c r="A184" t="inlineStr">
        <is>
          <t>A 35090-2022</t>
        </is>
      </c>
      <c r="B184" s="1" t="n">
        <v>44797</v>
      </c>
      <c r="C184" s="1" t="n">
        <v>45206</v>
      </c>
      <c r="D184" t="inlineStr">
        <is>
          <t>NORRBOTTENS LÄN</t>
        </is>
      </c>
      <c r="E184" t="inlineStr">
        <is>
          <t>GÄLLIVARE</t>
        </is>
      </c>
      <c r="G184" t="n">
        <v>6.8</v>
      </c>
      <c r="H184" t="n">
        <v>0</v>
      </c>
      <c r="I184" t="n">
        <v>0</v>
      </c>
      <c r="J184" t="n">
        <v>2</v>
      </c>
      <c r="K184" t="n">
        <v>1</v>
      </c>
      <c r="L184" t="n">
        <v>0</v>
      </c>
      <c r="M184" t="n">
        <v>0</v>
      </c>
      <c r="N184" t="n">
        <v>0</v>
      </c>
      <c r="O184" t="n">
        <v>3</v>
      </c>
      <c r="P184" t="n">
        <v>1</v>
      </c>
      <c r="Q184" t="n">
        <v>3</v>
      </c>
      <c r="R184" s="2" t="inlineStr">
        <is>
          <t>Fläckporing
Garnlav
Violmussling</t>
        </is>
      </c>
      <c r="S184">
        <f>HYPERLINK("https://klasma.github.io/Logging_GALLIVARE/artfynd/A 35090-2022.xlsx", "A 35090-2022")</f>
        <v/>
      </c>
      <c r="T184">
        <f>HYPERLINK("https://klasma.github.io/Logging_GALLIVARE/kartor/A 35090-2022.png", "A 35090-2022")</f>
        <v/>
      </c>
      <c r="V184">
        <f>HYPERLINK("https://klasma.github.io/Logging_GALLIVARE/klagomål/A 35090-2022.docx", "A 35090-2022")</f>
        <v/>
      </c>
      <c r="W184">
        <f>HYPERLINK("https://klasma.github.io/Logging_GALLIVARE/klagomålsmail/A 35090-2022.docx", "A 35090-2022")</f>
        <v/>
      </c>
      <c r="X184">
        <f>HYPERLINK("https://klasma.github.io/Logging_GALLIVARE/tillsyn/A 35090-2022.docx", "A 35090-2022")</f>
        <v/>
      </c>
      <c r="Y184">
        <f>HYPERLINK("https://klasma.github.io/Logging_GALLIVARE/tillsynsmail/A 35090-2022.docx", "A 35090-2022")</f>
        <v/>
      </c>
    </row>
    <row r="185" ht="15" customHeight="1">
      <c r="A185" t="inlineStr">
        <is>
          <t>A 38022-2022</t>
        </is>
      </c>
      <c r="B185" s="1" t="n">
        <v>44811</v>
      </c>
      <c r="C185" s="1" t="n">
        <v>45206</v>
      </c>
      <c r="D185" t="inlineStr">
        <is>
          <t>NORRBOTTENS LÄN</t>
        </is>
      </c>
      <c r="E185" t="inlineStr">
        <is>
          <t>ÖVERKALIX</t>
        </is>
      </c>
      <c r="F185" t="inlineStr">
        <is>
          <t>Sveaskog</t>
        </is>
      </c>
      <c r="G185" t="n">
        <v>28</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HYPERLINK("https://klasma.github.io/Logging_OVERKALIX/artfynd/A 38022-2022.xlsx", "A 38022-2022")</f>
        <v/>
      </c>
      <c r="T185">
        <f>HYPERLINK("https://klasma.github.io/Logging_OVERKALIX/kartor/A 38022-2022.png", "A 38022-2022")</f>
        <v/>
      </c>
      <c r="V185">
        <f>HYPERLINK("https://klasma.github.io/Logging_OVERKALIX/klagomål/A 38022-2022.docx", "A 38022-2022")</f>
        <v/>
      </c>
      <c r="W185">
        <f>HYPERLINK("https://klasma.github.io/Logging_OVERKALIX/klagomålsmail/A 38022-2022.docx", "A 38022-2022")</f>
        <v/>
      </c>
      <c r="X185">
        <f>HYPERLINK("https://klasma.github.io/Logging_OVERKALIX/tillsyn/A 38022-2022.docx", "A 38022-2022")</f>
        <v/>
      </c>
      <c r="Y185">
        <f>HYPERLINK("https://klasma.github.io/Logging_OVERKALIX/tillsynsmail/A 38022-2022.docx", "A 38022-2022")</f>
        <v/>
      </c>
    </row>
    <row r="186" ht="15" customHeight="1">
      <c r="A186" t="inlineStr">
        <is>
          <t>A 51247-2022</t>
        </is>
      </c>
      <c r="B186" s="1" t="n">
        <v>44868</v>
      </c>
      <c r="C186" s="1" t="n">
        <v>45206</v>
      </c>
      <c r="D186" t="inlineStr">
        <is>
          <t>NORRBOTTENS LÄN</t>
        </is>
      </c>
      <c r="E186" t="inlineStr">
        <is>
          <t>BODEN</t>
        </is>
      </c>
      <c r="F186" t="inlineStr">
        <is>
          <t>Sveaskog</t>
        </is>
      </c>
      <c r="G186" t="n">
        <v>9.800000000000001</v>
      </c>
      <c r="H186" t="n">
        <v>1</v>
      </c>
      <c r="I186" t="n">
        <v>0</v>
      </c>
      <c r="J186" t="n">
        <v>2</v>
      </c>
      <c r="K186" t="n">
        <v>1</v>
      </c>
      <c r="L186" t="n">
        <v>0</v>
      </c>
      <c r="M186" t="n">
        <v>0</v>
      </c>
      <c r="N186" t="n">
        <v>0</v>
      </c>
      <c r="O186" t="n">
        <v>3</v>
      </c>
      <c r="P186" t="n">
        <v>1</v>
      </c>
      <c r="Q186" t="n">
        <v>3</v>
      </c>
      <c r="R186" s="2" t="inlineStr">
        <is>
          <t>Doftticka
Koralltaggsvamp
Lunglav</t>
        </is>
      </c>
      <c r="S186">
        <f>HYPERLINK("https://klasma.github.io/Logging_BODEN/artfynd/A 51247-2022.xlsx", "A 51247-2022")</f>
        <v/>
      </c>
      <c r="T186">
        <f>HYPERLINK("https://klasma.github.io/Logging_BODEN/kartor/A 51247-2022.png", "A 51247-2022")</f>
        <v/>
      </c>
      <c r="V186">
        <f>HYPERLINK("https://klasma.github.io/Logging_BODEN/klagomål/A 51247-2022.docx", "A 51247-2022")</f>
        <v/>
      </c>
      <c r="W186">
        <f>HYPERLINK("https://klasma.github.io/Logging_BODEN/klagomålsmail/A 51247-2022.docx", "A 51247-2022")</f>
        <v/>
      </c>
      <c r="X186">
        <f>HYPERLINK("https://klasma.github.io/Logging_BODEN/tillsyn/A 51247-2022.docx", "A 51247-2022")</f>
        <v/>
      </c>
      <c r="Y186">
        <f>HYPERLINK("https://klasma.github.io/Logging_BODEN/tillsynsmail/A 51247-2022.docx", "A 51247-2022")</f>
        <v/>
      </c>
    </row>
    <row r="187" ht="15" customHeight="1">
      <c r="A187" t="inlineStr">
        <is>
          <t>A 53005-2022</t>
        </is>
      </c>
      <c r="B187" s="1" t="n">
        <v>44875</v>
      </c>
      <c r="C187" s="1" t="n">
        <v>45206</v>
      </c>
      <c r="D187" t="inlineStr">
        <is>
          <t>NORRBOTTENS LÄN</t>
        </is>
      </c>
      <c r="E187" t="inlineStr">
        <is>
          <t>BODEN</t>
        </is>
      </c>
      <c r="F187" t="inlineStr">
        <is>
          <t>SCA</t>
        </is>
      </c>
      <c r="G187" t="n">
        <v>5.7</v>
      </c>
      <c r="H187" t="n">
        <v>0</v>
      </c>
      <c r="I187" t="n">
        <v>1</v>
      </c>
      <c r="J187" t="n">
        <v>2</v>
      </c>
      <c r="K187" t="n">
        <v>0</v>
      </c>
      <c r="L187" t="n">
        <v>0</v>
      </c>
      <c r="M187" t="n">
        <v>0</v>
      </c>
      <c r="N187" t="n">
        <v>0</v>
      </c>
      <c r="O187" t="n">
        <v>2</v>
      </c>
      <c r="P187" t="n">
        <v>0</v>
      </c>
      <c r="Q187" t="n">
        <v>3</v>
      </c>
      <c r="R187" s="2" t="inlineStr">
        <is>
          <t>Blå taggsvamp
Orange taggsvamp
Dropptaggsvamp</t>
        </is>
      </c>
      <c r="S187">
        <f>HYPERLINK("https://klasma.github.io/Logging_BODEN/artfynd/A 53005-2022.xlsx", "A 53005-2022")</f>
        <v/>
      </c>
      <c r="T187">
        <f>HYPERLINK("https://klasma.github.io/Logging_BODEN/kartor/A 53005-2022.png", "A 53005-2022")</f>
        <v/>
      </c>
      <c r="V187">
        <f>HYPERLINK("https://klasma.github.io/Logging_BODEN/klagomål/A 53005-2022.docx", "A 53005-2022")</f>
        <v/>
      </c>
      <c r="W187">
        <f>HYPERLINK("https://klasma.github.io/Logging_BODEN/klagomålsmail/A 53005-2022.docx", "A 53005-2022")</f>
        <v/>
      </c>
      <c r="X187">
        <f>HYPERLINK("https://klasma.github.io/Logging_BODEN/tillsyn/A 53005-2022.docx", "A 53005-2022")</f>
        <v/>
      </c>
      <c r="Y187">
        <f>HYPERLINK("https://klasma.github.io/Logging_BODEN/tillsynsmail/A 53005-2022.docx", "A 53005-2022")</f>
        <v/>
      </c>
    </row>
    <row r="188" ht="15" customHeight="1">
      <c r="A188" t="inlineStr">
        <is>
          <t>A 59358-2022</t>
        </is>
      </c>
      <c r="B188" s="1" t="n">
        <v>44904</v>
      </c>
      <c r="C188" s="1" t="n">
        <v>45206</v>
      </c>
      <c r="D188" t="inlineStr">
        <is>
          <t>NORRBOTTENS LÄN</t>
        </is>
      </c>
      <c r="E188" t="inlineStr">
        <is>
          <t>BODEN</t>
        </is>
      </c>
      <c r="G188" t="n">
        <v>1.5</v>
      </c>
      <c r="H188" t="n">
        <v>2</v>
      </c>
      <c r="I188" t="n">
        <v>1</v>
      </c>
      <c r="J188" t="n">
        <v>1</v>
      </c>
      <c r="K188" t="n">
        <v>1</v>
      </c>
      <c r="L188" t="n">
        <v>0</v>
      </c>
      <c r="M188" t="n">
        <v>0</v>
      </c>
      <c r="N188" t="n">
        <v>0</v>
      </c>
      <c r="O188" t="n">
        <v>2</v>
      </c>
      <c r="P188" t="n">
        <v>1</v>
      </c>
      <c r="Q188" t="n">
        <v>3</v>
      </c>
      <c r="R188" s="2" t="inlineStr">
        <is>
          <t>Stare
Rosenfink
Rävticka</t>
        </is>
      </c>
      <c r="S188">
        <f>HYPERLINK("https://klasma.github.io/Logging_BODEN/artfynd/A 59358-2022.xlsx", "A 59358-2022")</f>
        <v/>
      </c>
      <c r="T188">
        <f>HYPERLINK("https://klasma.github.io/Logging_BODEN/kartor/A 59358-2022.png", "A 59358-2022")</f>
        <v/>
      </c>
      <c r="V188">
        <f>HYPERLINK("https://klasma.github.io/Logging_BODEN/klagomål/A 59358-2022.docx", "A 59358-2022")</f>
        <v/>
      </c>
      <c r="W188">
        <f>HYPERLINK("https://klasma.github.io/Logging_BODEN/klagomålsmail/A 59358-2022.docx", "A 59358-2022")</f>
        <v/>
      </c>
      <c r="X188">
        <f>HYPERLINK("https://klasma.github.io/Logging_BODEN/tillsyn/A 59358-2022.docx", "A 59358-2022")</f>
        <v/>
      </c>
      <c r="Y188">
        <f>HYPERLINK("https://klasma.github.io/Logging_BODEN/tillsynsmail/A 59358-2022.docx", "A 59358-2022")</f>
        <v/>
      </c>
    </row>
    <row r="189" ht="15" customHeight="1">
      <c r="A189" t="inlineStr">
        <is>
          <t>A 61137-2022</t>
        </is>
      </c>
      <c r="B189" s="1" t="n">
        <v>44915</v>
      </c>
      <c r="C189" s="1" t="n">
        <v>45206</v>
      </c>
      <c r="D189" t="inlineStr">
        <is>
          <t>NORRBOTTENS LÄN</t>
        </is>
      </c>
      <c r="E189" t="inlineStr">
        <is>
          <t>ARVIDSJAUR</t>
        </is>
      </c>
      <c r="F189" t="inlineStr">
        <is>
          <t>Sveaskog</t>
        </is>
      </c>
      <c r="G189" t="n">
        <v>10.5</v>
      </c>
      <c r="H189" t="n">
        <v>1</v>
      </c>
      <c r="I189" t="n">
        <v>1</v>
      </c>
      <c r="J189" t="n">
        <v>1</v>
      </c>
      <c r="K189" t="n">
        <v>0</v>
      </c>
      <c r="L189" t="n">
        <v>0</v>
      </c>
      <c r="M189" t="n">
        <v>0</v>
      </c>
      <c r="N189" t="n">
        <v>0</v>
      </c>
      <c r="O189" t="n">
        <v>1</v>
      </c>
      <c r="P189" t="n">
        <v>0</v>
      </c>
      <c r="Q189" t="n">
        <v>3</v>
      </c>
      <c r="R189" s="2" t="inlineStr">
        <is>
          <t>Sandsyra
Ögonpyrola
Revlummer</t>
        </is>
      </c>
      <c r="S189">
        <f>HYPERLINK("https://klasma.github.io/Logging_ARVIDSJAUR/artfynd/A 61137-2022.xlsx", "A 61137-2022")</f>
        <v/>
      </c>
      <c r="T189">
        <f>HYPERLINK("https://klasma.github.io/Logging_ARVIDSJAUR/kartor/A 61137-2022.png", "A 61137-2022")</f>
        <v/>
      </c>
      <c r="V189">
        <f>HYPERLINK("https://klasma.github.io/Logging_ARVIDSJAUR/klagomål/A 61137-2022.docx", "A 61137-2022")</f>
        <v/>
      </c>
      <c r="W189">
        <f>HYPERLINK("https://klasma.github.io/Logging_ARVIDSJAUR/klagomålsmail/A 61137-2022.docx", "A 61137-2022")</f>
        <v/>
      </c>
      <c r="X189">
        <f>HYPERLINK("https://klasma.github.io/Logging_ARVIDSJAUR/tillsyn/A 61137-2022.docx", "A 61137-2022")</f>
        <v/>
      </c>
      <c r="Y189">
        <f>HYPERLINK("https://klasma.github.io/Logging_ARVIDSJAUR/tillsynsmail/A 61137-2022.docx", "A 61137-2022")</f>
        <v/>
      </c>
    </row>
    <row r="190" ht="15" customHeight="1">
      <c r="A190" t="inlineStr">
        <is>
          <t>A 61712-2022</t>
        </is>
      </c>
      <c r="B190" s="1" t="n">
        <v>44917</v>
      </c>
      <c r="C190" s="1" t="n">
        <v>45206</v>
      </c>
      <c r="D190" t="inlineStr">
        <is>
          <t>NORRBOTTENS LÄN</t>
        </is>
      </c>
      <c r="E190" t="inlineStr">
        <is>
          <t>PITEÅ</t>
        </is>
      </c>
      <c r="F190" t="inlineStr">
        <is>
          <t>Sveaskog</t>
        </is>
      </c>
      <c r="G190" t="n">
        <v>4.2</v>
      </c>
      <c r="H190" t="n">
        <v>2</v>
      </c>
      <c r="I190" t="n">
        <v>0</v>
      </c>
      <c r="J190" t="n">
        <v>1</v>
      </c>
      <c r="K190" t="n">
        <v>0</v>
      </c>
      <c r="L190" t="n">
        <v>0</v>
      </c>
      <c r="M190" t="n">
        <v>0</v>
      </c>
      <c r="N190" t="n">
        <v>0</v>
      </c>
      <c r="O190" t="n">
        <v>1</v>
      </c>
      <c r="P190" t="n">
        <v>0</v>
      </c>
      <c r="Q190" t="n">
        <v>3</v>
      </c>
      <c r="R190" s="2" t="inlineStr">
        <is>
          <t>Garnlav
Mattlummer
Revlummer</t>
        </is>
      </c>
      <c r="S190">
        <f>HYPERLINK("https://klasma.github.io/Logging_PITEA/artfynd/A 61712-2022.xlsx", "A 61712-2022")</f>
        <v/>
      </c>
      <c r="T190">
        <f>HYPERLINK("https://klasma.github.io/Logging_PITEA/kartor/A 61712-2022.png", "A 61712-2022")</f>
        <v/>
      </c>
      <c r="V190">
        <f>HYPERLINK("https://klasma.github.io/Logging_PITEA/klagomål/A 61712-2022.docx", "A 61712-2022")</f>
        <v/>
      </c>
      <c r="W190">
        <f>HYPERLINK("https://klasma.github.io/Logging_PITEA/klagomålsmail/A 61712-2022.docx", "A 61712-2022")</f>
        <v/>
      </c>
      <c r="X190">
        <f>HYPERLINK("https://klasma.github.io/Logging_PITEA/tillsyn/A 61712-2022.docx", "A 61712-2022")</f>
        <v/>
      </c>
      <c r="Y190">
        <f>HYPERLINK("https://klasma.github.io/Logging_PITEA/tillsynsmail/A 61712-2022.docx", "A 61712-2022")</f>
        <v/>
      </c>
    </row>
    <row r="191" ht="15" customHeight="1">
      <c r="A191" t="inlineStr">
        <is>
          <t>A 3752-2023</t>
        </is>
      </c>
      <c r="B191" s="1" t="n">
        <v>44949</v>
      </c>
      <c r="C191" s="1" t="n">
        <v>45206</v>
      </c>
      <c r="D191" t="inlineStr">
        <is>
          <t>NORRBOTTENS LÄN</t>
        </is>
      </c>
      <c r="E191" t="inlineStr">
        <is>
          <t>ÄLVSBYN</t>
        </is>
      </c>
      <c r="G191" t="n">
        <v>3.7</v>
      </c>
      <c r="H191" t="n">
        <v>1</v>
      </c>
      <c r="I191" t="n">
        <v>0</v>
      </c>
      <c r="J191" t="n">
        <v>3</v>
      </c>
      <c r="K191" t="n">
        <v>0</v>
      </c>
      <c r="L191" t="n">
        <v>0</v>
      </c>
      <c r="M191" t="n">
        <v>0</v>
      </c>
      <c r="N191" t="n">
        <v>0</v>
      </c>
      <c r="O191" t="n">
        <v>3</v>
      </c>
      <c r="P191" t="n">
        <v>0</v>
      </c>
      <c r="Q191" t="n">
        <v>3</v>
      </c>
      <c r="R191" s="2" t="inlineStr">
        <is>
          <t>Garnlav
Tretåig hackspett
Ullticka</t>
        </is>
      </c>
      <c r="S191">
        <f>HYPERLINK("https://klasma.github.io/Logging_ALVSBYN/artfynd/A 3752-2023.xlsx", "A 3752-2023")</f>
        <v/>
      </c>
      <c r="T191">
        <f>HYPERLINK("https://klasma.github.io/Logging_ALVSBYN/kartor/A 3752-2023.png", "A 3752-2023")</f>
        <v/>
      </c>
      <c r="V191">
        <f>HYPERLINK("https://klasma.github.io/Logging_ALVSBYN/klagomål/A 3752-2023.docx", "A 3752-2023")</f>
        <v/>
      </c>
      <c r="W191">
        <f>HYPERLINK("https://klasma.github.io/Logging_ALVSBYN/klagomålsmail/A 3752-2023.docx", "A 3752-2023")</f>
        <v/>
      </c>
      <c r="X191">
        <f>HYPERLINK("https://klasma.github.io/Logging_ALVSBYN/tillsyn/A 3752-2023.docx", "A 3752-2023")</f>
        <v/>
      </c>
      <c r="Y191">
        <f>HYPERLINK("https://klasma.github.io/Logging_ALVSBYN/tillsynsmail/A 3752-2023.docx", "A 3752-2023")</f>
        <v/>
      </c>
    </row>
    <row r="192" ht="15" customHeight="1">
      <c r="A192" t="inlineStr">
        <is>
          <t>A 6243-2023</t>
        </is>
      </c>
      <c r="B192" s="1" t="n">
        <v>44964</v>
      </c>
      <c r="C192" s="1" t="n">
        <v>45206</v>
      </c>
      <c r="D192" t="inlineStr">
        <is>
          <t>NORRBOTTENS LÄN</t>
        </is>
      </c>
      <c r="E192" t="inlineStr">
        <is>
          <t>BODEN</t>
        </is>
      </c>
      <c r="F192" t="inlineStr">
        <is>
          <t>SCA</t>
        </is>
      </c>
      <c r="G192" t="n">
        <v>3.2</v>
      </c>
      <c r="H192" t="n">
        <v>0</v>
      </c>
      <c r="I192" t="n">
        <v>1</v>
      </c>
      <c r="J192" t="n">
        <v>2</v>
      </c>
      <c r="K192" t="n">
        <v>0</v>
      </c>
      <c r="L192" t="n">
        <v>0</v>
      </c>
      <c r="M192" t="n">
        <v>0</v>
      </c>
      <c r="N192" t="n">
        <v>0</v>
      </c>
      <c r="O192" t="n">
        <v>2</v>
      </c>
      <c r="P192" t="n">
        <v>0</v>
      </c>
      <c r="Q192" t="n">
        <v>3</v>
      </c>
      <c r="R192" s="2" t="inlineStr">
        <is>
          <t>Garnlav
Lunglav
Bårdlav</t>
        </is>
      </c>
      <c r="S192">
        <f>HYPERLINK("https://klasma.github.io/Logging_BODEN/artfynd/A 6243-2023.xlsx", "A 6243-2023")</f>
        <v/>
      </c>
      <c r="T192">
        <f>HYPERLINK("https://klasma.github.io/Logging_BODEN/kartor/A 6243-2023.png", "A 6243-2023")</f>
        <v/>
      </c>
      <c r="V192">
        <f>HYPERLINK("https://klasma.github.io/Logging_BODEN/klagomål/A 6243-2023.docx", "A 6243-2023")</f>
        <v/>
      </c>
      <c r="W192">
        <f>HYPERLINK("https://klasma.github.io/Logging_BODEN/klagomålsmail/A 6243-2023.docx", "A 6243-2023")</f>
        <v/>
      </c>
      <c r="X192">
        <f>HYPERLINK("https://klasma.github.io/Logging_BODEN/tillsyn/A 6243-2023.docx", "A 6243-2023")</f>
        <v/>
      </c>
      <c r="Y192">
        <f>HYPERLINK("https://klasma.github.io/Logging_BODEN/tillsynsmail/A 6243-2023.docx", "A 6243-2023")</f>
        <v/>
      </c>
    </row>
    <row r="193" ht="15" customHeight="1">
      <c r="A193" t="inlineStr">
        <is>
          <t>A 14482-2023</t>
        </is>
      </c>
      <c r="B193" s="1" t="n">
        <v>45012</v>
      </c>
      <c r="C193" s="1" t="n">
        <v>45206</v>
      </c>
      <c r="D193" t="inlineStr">
        <is>
          <t>NORRBOTTENS LÄN</t>
        </is>
      </c>
      <c r="E193" t="inlineStr">
        <is>
          <t>GÄLLIVARE</t>
        </is>
      </c>
      <c r="G193" t="n">
        <v>7.4</v>
      </c>
      <c r="H193" t="n">
        <v>0</v>
      </c>
      <c r="I193" t="n">
        <v>0</v>
      </c>
      <c r="J193" t="n">
        <v>1</v>
      </c>
      <c r="K193" t="n">
        <v>2</v>
      </c>
      <c r="L193" t="n">
        <v>0</v>
      </c>
      <c r="M193" t="n">
        <v>0</v>
      </c>
      <c r="N193" t="n">
        <v>0</v>
      </c>
      <c r="O193" t="n">
        <v>3</v>
      </c>
      <c r="P193" t="n">
        <v>2</v>
      </c>
      <c r="Q193" t="n">
        <v>3</v>
      </c>
      <c r="R193" s="2" t="inlineStr">
        <is>
          <t>Goliatmusseron
Tallgråticka
Blå taggsvamp</t>
        </is>
      </c>
      <c r="S193">
        <f>HYPERLINK("https://klasma.github.io/Logging_GALLIVARE/artfynd/A 14482-2023.xlsx", "A 14482-2023")</f>
        <v/>
      </c>
      <c r="T193">
        <f>HYPERLINK("https://klasma.github.io/Logging_GALLIVARE/kartor/A 14482-2023.png", "A 14482-2023")</f>
        <v/>
      </c>
      <c r="V193">
        <f>HYPERLINK("https://klasma.github.io/Logging_GALLIVARE/klagomål/A 14482-2023.docx", "A 14482-2023")</f>
        <v/>
      </c>
      <c r="W193">
        <f>HYPERLINK("https://klasma.github.io/Logging_GALLIVARE/klagomålsmail/A 14482-2023.docx", "A 14482-2023")</f>
        <v/>
      </c>
      <c r="X193">
        <f>HYPERLINK("https://klasma.github.io/Logging_GALLIVARE/tillsyn/A 14482-2023.docx", "A 14482-2023")</f>
        <v/>
      </c>
      <c r="Y193">
        <f>HYPERLINK("https://klasma.github.io/Logging_GALLIVARE/tillsynsmail/A 14482-2023.docx", "A 14482-2023")</f>
        <v/>
      </c>
    </row>
    <row r="194" ht="15" customHeight="1">
      <c r="A194" t="inlineStr">
        <is>
          <t>A 17705-2023</t>
        </is>
      </c>
      <c r="B194" s="1" t="n">
        <v>45035</v>
      </c>
      <c r="C194" s="1" t="n">
        <v>45206</v>
      </c>
      <c r="D194" t="inlineStr">
        <is>
          <t>NORRBOTTENS LÄN</t>
        </is>
      </c>
      <c r="E194" t="inlineStr">
        <is>
          <t>KIRUNA</t>
        </is>
      </c>
      <c r="F194" t="inlineStr">
        <is>
          <t>Allmännings- och besparingsskogar</t>
        </is>
      </c>
      <c r="G194" t="n">
        <v>58.9</v>
      </c>
      <c r="H194" t="n">
        <v>0</v>
      </c>
      <c r="I194" t="n">
        <v>1</v>
      </c>
      <c r="J194" t="n">
        <v>1</v>
      </c>
      <c r="K194" t="n">
        <v>1</v>
      </c>
      <c r="L194" t="n">
        <v>0</v>
      </c>
      <c r="M194" t="n">
        <v>0</v>
      </c>
      <c r="N194" t="n">
        <v>0</v>
      </c>
      <c r="O194" t="n">
        <v>2</v>
      </c>
      <c r="P194" t="n">
        <v>1</v>
      </c>
      <c r="Q194" t="n">
        <v>3</v>
      </c>
      <c r="R194" s="2" t="inlineStr">
        <is>
          <t>Fläckporing
Orange taggsvamp
Dropptaggsvamp</t>
        </is>
      </c>
      <c r="S194">
        <f>HYPERLINK("https://klasma.github.io/Logging_KIRUNA/artfynd/A 17705-2023.xlsx", "A 17705-2023")</f>
        <v/>
      </c>
      <c r="T194">
        <f>HYPERLINK("https://klasma.github.io/Logging_KIRUNA/kartor/A 17705-2023.png", "A 17705-2023")</f>
        <v/>
      </c>
      <c r="V194">
        <f>HYPERLINK("https://klasma.github.io/Logging_KIRUNA/klagomål/A 17705-2023.docx", "A 17705-2023")</f>
        <v/>
      </c>
      <c r="W194">
        <f>HYPERLINK("https://klasma.github.io/Logging_KIRUNA/klagomålsmail/A 17705-2023.docx", "A 17705-2023")</f>
        <v/>
      </c>
      <c r="X194">
        <f>HYPERLINK("https://klasma.github.io/Logging_KIRUNA/tillsyn/A 17705-2023.docx", "A 17705-2023")</f>
        <v/>
      </c>
      <c r="Y194">
        <f>HYPERLINK("https://klasma.github.io/Logging_KIRUNA/tillsynsmail/A 17705-2023.docx", "A 17705-2023")</f>
        <v/>
      </c>
    </row>
    <row r="195" ht="15" customHeight="1">
      <c r="A195" t="inlineStr">
        <is>
          <t>A 19133-2023</t>
        </is>
      </c>
      <c r="B195" s="1" t="n">
        <v>45044</v>
      </c>
      <c r="C195" s="1" t="n">
        <v>45206</v>
      </c>
      <c r="D195" t="inlineStr">
        <is>
          <t>NORRBOTTENS LÄN</t>
        </is>
      </c>
      <c r="E195" t="inlineStr">
        <is>
          <t>ÖVERTORNEÅ</t>
        </is>
      </c>
      <c r="G195" t="n">
        <v>11.4</v>
      </c>
      <c r="H195" t="n">
        <v>2</v>
      </c>
      <c r="I195" t="n">
        <v>0</v>
      </c>
      <c r="J195" t="n">
        <v>3</v>
      </c>
      <c r="K195" t="n">
        <v>0</v>
      </c>
      <c r="L195" t="n">
        <v>0</v>
      </c>
      <c r="M195" t="n">
        <v>0</v>
      </c>
      <c r="N195" t="n">
        <v>0</v>
      </c>
      <c r="O195" t="n">
        <v>3</v>
      </c>
      <c r="P195" t="n">
        <v>0</v>
      </c>
      <c r="Q195" t="n">
        <v>3</v>
      </c>
      <c r="R195" s="2" t="inlineStr">
        <is>
          <t>Garnlav
Järpe
Spillkråka</t>
        </is>
      </c>
      <c r="S195">
        <f>HYPERLINK("https://klasma.github.io/Logging_OVERTORNEA/artfynd/A 19133-2023.xlsx", "A 19133-2023")</f>
        <v/>
      </c>
      <c r="T195">
        <f>HYPERLINK("https://klasma.github.io/Logging_OVERTORNEA/kartor/A 19133-2023.png", "A 19133-2023")</f>
        <v/>
      </c>
      <c r="V195">
        <f>HYPERLINK("https://klasma.github.io/Logging_OVERTORNEA/klagomål/A 19133-2023.docx", "A 19133-2023")</f>
        <v/>
      </c>
      <c r="W195">
        <f>HYPERLINK("https://klasma.github.io/Logging_OVERTORNEA/klagomålsmail/A 19133-2023.docx", "A 19133-2023")</f>
        <v/>
      </c>
      <c r="X195">
        <f>HYPERLINK("https://klasma.github.io/Logging_OVERTORNEA/tillsyn/A 19133-2023.docx", "A 19133-2023")</f>
        <v/>
      </c>
      <c r="Y195">
        <f>HYPERLINK("https://klasma.github.io/Logging_OVERTORNEA/tillsynsmail/A 19133-2023.docx", "A 19133-2023")</f>
        <v/>
      </c>
    </row>
    <row r="196" ht="15" customHeight="1">
      <c r="A196" t="inlineStr">
        <is>
          <t>A 23020-2023</t>
        </is>
      </c>
      <c r="B196" s="1" t="n">
        <v>45073</v>
      </c>
      <c r="C196" s="1" t="n">
        <v>45206</v>
      </c>
      <c r="D196" t="inlineStr">
        <is>
          <t>NORRBOTTENS LÄN</t>
        </is>
      </c>
      <c r="E196" t="inlineStr">
        <is>
          <t>JOKKMOKK</t>
        </is>
      </c>
      <c r="F196" t="inlineStr">
        <is>
          <t>SCA</t>
        </is>
      </c>
      <c r="G196" t="n">
        <v>3.7</v>
      </c>
      <c r="H196" t="n">
        <v>0</v>
      </c>
      <c r="I196" t="n">
        <v>1</v>
      </c>
      <c r="J196" t="n">
        <v>2</v>
      </c>
      <c r="K196" t="n">
        <v>0</v>
      </c>
      <c r="L196" t="n">
        <v>0</v>
      </c>
      <c r="M196" t="n">
        <v>0</v>
      </c>
      <c r="N196" t="n">
        <v>0</v>
      </c>
      <c r="O196" t="n">
        <v>2</v>
      </c>
      <c r="P196" t="n">
        <v>0</v>
      </c>
      <c r="Q196" t="n">
        <v>3</v>
      </c>
      <c r="R196" s="2" t="inlineStr">
        <is>
          <t>Gammelgransskål
Garnlav
Bollvitmossa</t>
        </is>
      </c>
      <c r="S196">
        <f>HYPERLINK("https://klasma.github.io/Logging_JOKKMOKK/artfynd/A 23020-2023.xlsx", "A 23020-2023")</f>
        <v/>
      </c>
      <c r="T196">
        <f>HYPERLINK("https://klasma.github.io/Logging_JOKKMOKK/kartor/A 23020-2023.png", "A 23020-2023")</f>
        <v/>
      </c>
      <c r="V196">
        <f>HYPERLINK("https://klasma.github.io/Logging_JOKKMOKK/klagomål/A 23020-2023.docx", "A 23020-2023")</f>
        <v/>
      </c>
      <c r="W196">
        <f>HYPERLINK("https://klasma.github.io/Logging_JOKKMOKK/klagomålsmail/A 23020-2023.docx", "A 23020-2023")</f>
        <v/>
      </c>
      <c r="X196">
        <f>HYPERLINK("https://klasma.github.io/Logging_JOKKMOKK/tillsyn/A 23020-2023.docx", "A 23020-2023")</f>
        <v/>
      </c>
      <c r="Y196">
        <f>HYPERLINK("https://klasma.github.io/Logging_JOKKMOKK/tillsynsmail/A 23020-2023.docx", "A 23020-2023")</f>
        <v/>
      </c>
    </row>
    <row r="197" ht="15" customHeight="1">
      <c r="A197" t="inlineStr">
        <is>
          <t>A 23017-2023</t>
        </is>
      </c>
      <c r="B197" s="1" t="n">
        <v>45073</v>
      </c>
      <c r="C197" s="1" t="n">
        <v>45206</v>
      </c>
      <c r="D197" t="inlineStr">
        <is>
          <t>NORRBOTTENS LÄN</t>
        </is>
      </c>
      <c r="E197" t="inlineStr">
        <is>
          <t>JOKKMOKK</t>
        </is>
      </c>
      <c r="F197" t="inlineStr">
        <is>
          <t>SCA</t>
        </is>
      </c>
      <c r="G197" t="n">
        <v>6</v>
      </c>
      <c r="H197" t="n">
        <v>2</v>
      </c>
      <c r="I197" t="n">
        <v>2</v>
      </c>
      <c r="J197" t="n">
        <v>0</v>
      </c>
      <c r="K197" t="n">
        <v>1</v>
      </c>
      <c r="L197" t="n">
        <v>0</v>
      </c>
      <c r="M197" t="n">
        <v>0</v>
      </c>
      <c r="N197" t="n">
        <v>0</v>
      </c>
      <c r="O197" t="n">
        <v>1</v>
      </c>
      <c r="P197" t="n">
        <v>1</v>
      </c>
      <c r="Q197" t="n">
        <v>3</v>
      </c>
      <c r="R197" s="2" t="inlineStr">
        <is>
          <t>Norna
Spindelblomster
Tibast</t>
        </is>
      </c>
      <c r="S197">
        <f>HYPERLINK("https://klasma.github.io/Logging_JOKKMOKK/artfynd/A 23017-2023.xlsx", "A 23017-2023")</f>
        <v/>
      </c>
      <c r="T197">
        <f>HYPERLINK("https://klasma.github.io/Logging_JOKKMOKK/kartor/A 23017-2023.png", "A 23017-2023")</f>
        <v/>
      </c>
      <c r="V197">
        <f>HYPERLINK("https://klasma.github.io/Logging_JOKKMOKK/klagomål/A 23017-2023.docx", "A 23017-2023")</f>
        <v/>
      </c>
      <c r="W197">
        <f>HYPERLINK("https://klasma.github.io/Logging_JOKKMOKK/klagomålsmail/A 23017-2023.docx", "A 23017-2023")</f>
        <v/>
      </c>
      <c r="X197">
        <f>HYPERLINK("https://klasma.github.io/Logging_JOKKMOKK/tillsyn/A 23017-2023.docx", "A 23017-2023")</f>
        <v/>
      </c>
      <c r="Y197">
        <f>HYPERLINK("https://klasma.github.io/Logging_JOKKMOKK/tillsynsmail/A 23017-2023.docx", "A 23017-2023")</f>
        <v/>
      </c>
    </row>
    <row r="198" ht="15" customHeight="1">
      <c r="A198" t="inlineStr">
        <is>
          <t>A 24055-2023</t>
        </is>
      </c>
      <c r="B198" s="1" t="n">
        <v>45078</v>
      </c>
      <c r="C198" s="1" t="n">
        <v>45206</v>
      </c>
      <c r="D198" t="inlineStr">
        <is>
          <t>NORRBOTTENS LÄN</t>
        </is>
      </c>
      <c r="E198" t="inlineStr">
        <is>
          <t>JOKKMOKK</t>
        </is>
      </c>
      <c r="F198" t="inlineStr">
        <is>
          <t>SCA</t>
        </is>
      </c>
      <c r="G198" t="n">
        <v>9.9</v>
      </c>
      <c r="H198" t="n">
        <v>0</v>
      </c>
      <c r="I198" t="n">
        <v>0</v>
      </c>
      <c r="J198" t="n">
        <v>2</v>
      </c>
      <c r="K198" t="n">
        <v>1</v>
      </c>
      <c r="L198" t="n">
        <v>0</v>
      </c>
      <c r="M198" t="n">
        <v>0</v>
      </c>
      <c r="N198" t="n">
        <v>0</v>
      </c>
      <c r="O198" t="n">
        <v>3</v>
      </c>
      <c r="P198" t="n">
        <v>1</v>
      </c>
      <c r="Q198" t="n">
        <v>3</v>
      </c>
      <c r="R198" s="2" t="inlineStr">
        <is>
          <t>Goliatmusseron
Blå taggsvamp
Orange taggsvamp</t>
        </is>
      </c>
      <c r="S198">
        <f>HYPERLINK("https://klasma.github.io/Logging_JOKKMOKK/artfynd/A 24055-2023.xlsx", "A 24055-2023")</f>
        <v/>
      </c>
      <c r="T198">
        <f>HYPERLINK("https://klasma.github.io/Logging_JOKKMOKK/kartor/A 24055-2023.png", "A 24055-2023")</f>
        <v/>
      </c>
      <c r="V198">
        <f>HYPERLINK("https://klasma.github.io/Logging_JOKKMOKK/klagomål/A 24055-2023.docx", "A 24055-2023")</f>
        <v/>
      </c>
      <c r="W198">
        <f>HYPERLINK("https://klasma.github.io/Logging_JOKKMOKK/klagomålsmail/A 24055-2023.docx", "A 24055-2023")</f>
        <v/>
      </c>
      <c r="X198">
        <f>HYPERLINK("https://klasma.github.io/Logging_JOKKMOKK/tillsyn/A 24055-2023.docx", "A 24055-2023")</f>
        <v/>
      </c>
      <c r="Y198">
        <f>HYPERLINK("https://klasma.github.io/Logging_JOKKMOKK/tillsynsmail/A 24055-2023.docx", "A 24055-2023")</f>
        <v/>
      </c>
    </row>
    <row r="199" ht="15" customHeight="1">
      <c r="A199" t="inlineStr">
        <is>
          <t>A 24318-2023</t>
        </is>
      </c>
      <c r="B199" s="1" t="n">
        <v>45080</v>
      </c>
      <c r="C199" s="1" t="n">
        <v>45206</v>
      </c>
      <c r="D199" t="inlineStr">
        <is>
          <t>NORRBOTTENS LÄN</t>
        </is>
      </c>
      <c r="E199" t="inlineStr">
        <is>
          <t>GÄLLIVARE</t>
        </is>
      </c>
      <c r="F199" t="inlineStr">
        <is>
          <t>Sveaskog</t>
        </is>
      </c>
      <c r="G199" t="n">
        <v>22.1</v>
      </c>
      <c r="H199" t="n">
        <v>0</v>
      </c>
      <c r="I199" t="n">
        <v>1</v>
      </c>
      <c r="J199" t="n">
        <v>2</v>
      </c>
      <c r="K199" t="n">
        <v>0</v>
      </c>
      <c r="L199" t="n">
        <v>0</v>
      </c>
      <c r="M199" t="n">
        <v>0</v>
      </c>
      <c r="N199" t="n">
        <v>0</v>
      </c>
      <c r="O199" t="n">
        <v>2</v>
      </c>
      <c r="P199" t="n">
        <v>0</v>
      </c>
      <c r="Q199" t="n">
        <v>3</v>
      </c>
      <c r="R199" s="2" t="inlineStr">
        <is>
          <t>Gammelgransskål
Vaddporing
Vedticka</t>
        </is>
      </c>
      <c r="S199">
        <f>HYPERLINK("https://klasma.github.io/Logging_GALLIVARE/artfynd/A 24318-2023.xlsx", "A 24318-2023")</f>
        <v/>
      </c>
      <c r="T199">
        <f>HYPERLINK("https://klasma.github.io/Logging_GALLIVARE/kartor/A 24318-2023.png", "A 24318-2023")</f>
        <v/>
      </c>
      <c r="V199">
        <f>HYPERLINK("https://klasma.github.io/Logging_GALLIVARE/klagomål/A 24318-2023.docx", "A 24318-2023")</f>
        <v/>
      </c>
      <c r="W199">
        <f>HYPERLINK("https://klasma.github.io/Logging_GALLIVARE/klagomålsmail/A 24318-2023.docx", "A 24318-2023")</f>
        <v/>
      </c>
      <c r="X199">
        <f>HYPERLINK("https://klasma.github.io/Logging_GALLIVARE/tillsyn/A 24318-2023.docx", "A 24318-2023")</f>
        <v/>
      </c>
      <c r="Y199">
        <f>HYPERLINK("https://klasma.github.io/Logging_GALLIVARE/tillsynsmail/A 24318-2023.docx", "A 24318-2023")</f>
        <v/>
      </c>
    </row>
    <row r="200" ht="15" customHeight="1">
      <c r="A200" t="inlineStr">
        <is>
          <t>A 26723-2023</t>
        </is>
      </c>
      <c r="B200" s="1" t="n">
        <v>45093</v>
      </c>
      <c r="C200" s="1" t="n">
        <v>45206</v>
      </c>
      <c r="D200" t="inlineStr">
        <is>
          <t>NORRBOTTENS LÄN</t>
        </is>
      </c>
      <c r="E200" t="inlineStr">
        <is>
          <t>GÄLLIVARE</t>
        </is>
      </c>
      <c r="F200" t="inlineStr">
        <is>
          <t>Sveaskog</t>
        </is>
      </c>
      <c r="G200" t="n">
        <v>10.4</v>
      </c>
      <c r="H200" t="n">
        <v>0</v>
      </c>
      <c r="I200" t="n">
        <v>0</v>
      </c>
      <c r="J200" t="n">
        <v>3</v>
      </c>
      <c r="K200" t="n">
        <v>0</v>
      </c>
      <c r="L200" t="n">
        <v>0</v>
      </c>
      <c r="M200" t="n">
        <v>0</v>
      </c>
      <c r="N200" t="n">
        <v>0</v>
      </c>
      <c r="O200" t="n">
        <v>3</v>
      </c>
      <c r="P200" t="n">
        <v>0</v>
      </c>
      <c r="Q200" t="n">
        <v>3</v>
      </c>
      <c r="R200" s="2" t="inlineStr">
        <is>
          <t>Granticka
Ullticka
Violmussling</t>
        </is>
      </c>
      <c r="S200">
        <f>HYPERLINK("https://klasma.github.io/Logging_GALLIVARE/artfynd/A 26723-2023.xlsx", "A 26723-2023")</f>
        <v/>
      </c>
      <c r="T200">
        <f>HYPERLINK("https://klasma.github.io/Logging_GALLIVARE/kartor/A 26723-2023.png", "A 26723-2023")</f>
        <v/>
      </c>
      <c r="V200">
        <f>HYPERLINK("https://klasma.github.io/Logging_GALLIVARE/klagomål/A 26723-2023.docx", "A 26723-2023")</f>
        <v/>
      </c>
      <c r="W200">
        <f>HYPERLINK("https://klasma.github.io/Logging_GALLIVARE/klagomålsmail/A 26723-2023.docx", "A 26723-2023")</f>
        <v/>
      </c>
      <c r="X200">
        <f>HYPERLINK("https://klasma.github.io/Logging_GALLIVARE/tillsyn/A 26723-2023.docx", "A 26723-2023")</f>
        <v/>
      </c>
      <c r="Y200">
        <f>HYPERLINK("https://klasma.github.io/Logging_GALLIVARE/tillsynsmail/A 26723-2023.docx", "A 26723-2023")</f>
        <v/>
      </c>
    </row>
    <row r="201" ht="15" customHeight="1">
      <c r="A201" t="inlineStr">
        <is>
          <t>A 28088-2023</t>
        </is>
      </c>
      <c r="B201" s="1" t="n">
        <v>45099</v>
      </c>
      <c r="C201" s="1" t="n">
        <v>45206</v>
      </c>
      <c r="D201" t="inlineStr">
        <is>
          <t>NORRBOTTENS LÄN</t>
        </is>
      </c>
      <c r="E201" t="inlineStr">
        <is>
          <t>ÄLVSBYN</t>
        </is>
      </c>
      <c r="F201" t="inlineStr">
        <is>
          <t>Sveaskog</t>
        </is>
      </c>
      <c r="G201" t="n">
        <v>5.6</v>
      </c>
      <c r="H201" t="n">
        <v>0</v>
      </c>
      <c r="I201" t="n">
        <v>0</v>
      </c>
      <c r="J201" t="n">
        <v>2</v>
      </c>
      <c r="K201" t="n">
        <v>1</v>
      </c>
      <c r="L201" t="n">
        <v>0</v>
      </c>
      <c r="M201" t="n">
        <v>0</v>
      </c>
      <c r="N201" t="n">
        <v>0</v>
      </c>
      <c r="O201" t="n">
        <v>3</v>
      </c>
      <c r="P201" t="n">
        <v>1</v>
      </c>
      <c r="Q201" t="n">
        <v>3</v>
      </c>
      <c r="R201" s="2" t="inlineStr">
        <is>
          <t>Fläckporing
Kolflarnlav
Lunglav</t>
        </is>
      </c>
      <c r="S201">
        <f>HYPERLINK("https://klasma.github.io/Logging_ALVSBYN/artfynd/A 28088-2023.xlsx", "A 28088-2023")</f>
        <v/>
      </c>
      <c r="T201">
        <f>HYPERLINK("https://klasma.github.io/Logging_ALVSBYN/kartor/A 28088-2023.png", "A 28088-2023")</f>
        <v/>
      </c>
      <c r="V201">
        <f>HYPERLINK("https://klasma.github.io/Logging_ALVSBYN/klagomål/A 28088-2023.docx", "A 28088-2023")</f>
        <v/>
      </c>
      <c r="W201">
        <f>HYPERLINK("https://klasma.github.io/Logging_ALVSBYN/klagomålsmail/A 28088-2023.docx", "A 28088-2023")</f>
        <v/>
      </c>
      <c r="X201">
        <f>HYPERLINK("https://klasma.github.io/Logging_ALVSBYN/tillsyn/A 28088-2023.docx", "A 28088-2023")</f>
        <v/>
      </c>
      <c r="Y201">
        <f>HYPERLINK("https://klasma.github.io/Logging_ALVSBYN/tillsynsmail/A 28088-2023.docx", "A 28088-2023")</f>
        <v/>
      </c>
    </row>
    <row r="202" ht="15" customHeight="1">
      <c r="A202" t="inlineStr">
        <is>
          <t>A 28595-2023</t>
        </is>
      </c>
      <c r="B202" s="1" t="n">
        <v>45103</v>
      </c>
      <c r="C202" s="1" t="n">
        <v>45206</v>
      </c>
      <c r="D202" t="inlineStr">
        <is>
          <t>NORRBOTTENS LÄN</t>
        </is>
      </c>
      <c r="E202" t="inlineStr">
        <is>
          <t>PITEÅ</t>
        </is>
      </c>
      <c r="F202" t="inlineStr">
        <is>
          <t>Sveaskog</t>
        </is>
      </c>
      <c r="G202" t="n">
        <v>21.2</v>
      </c>
      <c r="H202" t="n">
        <v>0</v>
      </c>
      <c r="I202" t="n">
        <v>0</v>
      </c>
      <c r="J202" t="n">
        <v>3</v>
      </c>
      <c r="K202" t="n">
        <v>0</v>
      </c>
      <c r="L202" t="n">
        <v>0</v>
      </c>
      <c r="M202" t="n">
        <v>0</v>
      </c>
      <c r="N202" t="n">
        <v>0</v>
      </c>
      <c r="O202" t="n">
        <v>3</v>
      </c>
      <c r="P202" t="n">
        <v>0</v>
      </c>
      <c r="Q202" t="n">
        <v>3</v>
      </c>
      <c r="R202" s="2" t="inlineStr">
        <is>
          <t>Harticka
Kolflarnlav
Rosenticka</t>
        </is>
      </c>
      <c r="S202">
        <f>HYPERLINK("https://klasma.github.io/Logging_PITEA/artfynd/A 28595-2023.xlsx", "A 28595-2023")</f>
        <v/>
      </c>
      <c r="T202">
        <f>HYPERLINK("https://klasma.github.io/Logging_PITEA/kartor/A 28595-2023.png", "A 28595-2023")</f>
        <v/>
      </c>
      <c r="V202">
        <f>HYPERLINK("https://klasma.github.io/Logging_PITEA/klagomål/A 28595-2023.docx", "A 28595-2023")</f>
        <v/>
      </c>
      <c r="W202">
        <f>HYPERLINK("https://klasma.github.io/Logging_PITEA/klagomålsmail/A 28595-2023.docx", "A 28595-2023")</f>
        <v/>
      </c>
      <c r="X202">
        <f>HYPERLINK("https://klasma.github.io/Logging_PITEA/tillsyn/A 28595-2023.docx", "A 28595-2023")</f>
        <v/>
      </c>
      <c r="Y202">
        <f>HYPERLINK("https://klasma.github.io/Logging_PITEA/tillsynsmail/A 28595-2023.docx", "A 28595-2023")</f>
        <v/>
      </c>
    </row>
    <row r="203" ht="15" customHeight="1">
      <c r="A203" t="inlineStr">
        <is>
          <t>A 35512-2018</t>
        </is>
      </c>
      <c r="B203" s="1" t="n">
        <v>43325</v>
      </c>
      <c r="C203" s="1" t="n">
        <v>45206</v>
      </c>
      <c r="D203" t="inlineStr">
        <is>
          <t>NORRBOTTENS LÄN</t>
        </is>
      </c>
      <c r="E203" t="inlineStr">
        <is>
          <t>ARJEPLOG</t>
        </is>
      </c>
      <c r="G203" t="n">
        <v>19.8</v>
      </c>
      <c r="H203" t="n">
        <v>2</v>
      </c>
      <c r="I203" t="n">
        <v>0</v>
      </c>
      <c r="J203" t="n">
        <v>2</v>
      </c>
      <c r="K203" t="n">
        <v>0</v>
      </c>
      <c r="L203" t="n">
        <v>0</v>
      </c>
      <c r="M203" t="n">
        <v>0</v>
      </c>
      <c r="N203" t="n">
        <v>0</v>
      </c>
      <c r="O203" t="n">
        <v>2</v>
      </c>
      <c r="P203" t="n">
        <v>0</v>
      </c>
      <c r="Q203" t="n">
        <v>2</v>
      </c>
      <c r="R203" s="2" t="inlineStr">
        <is>
          <t>Lappmes
Talltita</t>
        </is>
      </c>
      <c r="S203">
        <f>HYPERLINK("https://klasma.github.io/Logging_ARJEPLOG/artfynd/A 35512-2018.xlsx", "A 35512-2018")</f>
        <v/>
      </c>
      <c r="T203">
        <f>HYPERLINK("https://klasma.github.io/Logging_ARJEPLOG/kartor/A 35512-2018.png", "A 35512-2018")</f>
        <v/>
      </c>
      <c r="V203">
        <f>HYPERLINK("https://klasma.github.io/Logging_ARJEPLOG/klagomål/A 35512-2018.docx", "A 35512-2018")</f>
        <v/>
      </c>
      <c r="W203">
        <f>HYPERLINK("https://klasma.github.io/Logging_ARJEPLOG/klagomålsmail/A 35512-2018.docx", "A 35512-2018")</f>
        <v/>
      </c>
      <c r="X203">
        <f>HYPERLINK("https://klasma.github.io/Logging_ARJEPLOG/tillsyn/A 35512-2018.docx", "A 35512-2018")</f>
        <v/>
      </c>
      <c r="Y203">
        <f>HYPERLINK("https://klasma.github.io/Logging_ARJEPLOG/tillsynsmail/A 35512-2018.docx", "A 35512-2018")</f>
        <v/>
      </c>
    </row>
    <row r="204" ht="15" customHeight="1">
      <c r="A204" t="inlineStr">
        <is>
          <t>A 50085-2018</t>
        </is>
      </c>
      <c r="B204" s="1" t="n">
        <v>43378</v>
      </c>
      <c r="C204" s="1" t="n">
        <v>45206</v>
      </c>
      <c r="D204" t="inlineStr">
        <is>
          <t>NORRBOTTENS LÄN</t>
        </is>
      </c>
      <c r="E204" t="inlineStr">
        <is>
          <t>GÄLLIVARE</t>
        </is>
      </c>
      <c r="F204" t="inlineStr">
        <is>
          <t>Sveaskog</t>
        </is>
      </c>
      <c r="G204" t="n">
        <v>15.7</v>
      </c>
      <c r="H204" t="n">
        <v>1</v>
      </c>
      <c r="I204" t="n">
        <v>0</v>
      </c>
      <c r="J204" t="n">
        <v>2</v>
      </c>
      <c r="K204" t="n">
        <v>0</v>
      </c>
      <c r="L204" t="n">
        <v>0</v>
      </c>
      <c r="M204" t="n">
        <v>0</v>
      </c>
      <c r="N204" t="n">
        <v>0</v>
      </c>
      <c r="O204" t="n">
        <v>2</v>
      </c>
      <c r="P204" t="n">
        <v>0</v>
      </c>
      <c r="Q204" t="n">
        <v>2</v>
      </c>
      <c r="R204" s="2" t="inlineStr">
        <is>
          <t>Reliktbock
Tretåig hackspett</t>
        </is>
      </c>
      <c r="S204">
        <f>HYPERLINK("https://klasma.github.io/Logging_GALLIVARE/artfynd/A 50085-2018.xlsx", "A 50085-2018")</f>
        <v/>
      </c>
      <c r="T204">
        <f>HYPERLINK("https://klasma.github.io/Logging_GALLIVARE/kartor/A 50085-2018.png", "A 50085-2018")</f>
        <v/>
      </c>
      <c r="V204">
        <f>HYPERLINK("https://klasma.github.io/Logging_GALLIVARE/klagomål/A 50085-2018.docx", "A 50085-2018")</f>
        <v/>
      </c>
      <c r="W204">
        <f>HYPERLINK("https://klasma.github.io/Logging_GALLIVARE/klagomålsmail/A 50085-2018.docx", "A 50085-2018")</f>
        <v/>
      </c>
      <c r="X204">
        <f>HYPERLINK("https://klasma.github.io/Logging_GALLIVARE/tillsyn/A 50085-2018.docx", "A 50085-2018")</f>
        <v/>
      </c>
      <c r="Y204">
        <f>HYPERLINK("https://klasma.github.io/Logging_GALLIVARE/tillsynsmail/A 50085-2018.docx", "A 50085-2018")</f>
        <v/>
      </c>
    </row>
    <row r="205" ht="15" customHeight="1">
      <c r="A205" t="inlineStr">
        <is>
          <t>A 55256-2018</t>
        </is>
      </c>
      <c r="B205" s="1" t="n">
        <v>43397</v>
      </c>
      <c r="C205" s="1" t="n">
        <v>45206</v>
      </c>
      <c r="D205" t="inlineStr">
        <is>
          <t>NORRBOTTENS LÄN</t>
        </is>
      </c>
      <c r="E205" t="inlineStr">
        <is>
          <t>PAJALA</t>
        </is>
      </c>
      <c r="G205" t="n">
        <v>8.699999999999999</v>
      </c>
      <c r="H205" t="n">
        <v>2</v>
      </c>
      <c r="I205" t="n">
        <v>0</v>
      </c>
      <c r="J205" t="n">
        <v>0</v>
      </c>
      <c r="K205" t="n">
        <v>0</v>
      </c>
      <c r="L205" t="n">
        <v>0</v>
      </c>
      <c r="M205" t="n">
        <v>0</v>
      </c>
      <c r="N205" t="n">
        <v>0</v>
      </c>
      <c r="O205" t="n">
        <v>0</v>
      </c>
      <c r="P205" t="n">
        <v>0</v>
      </c>
      <c r="Q205" t="n">
        <v>2</v>
      </c>
      <c r="R205" s="2" t="inlineStr">
        <is>
          <t>Brudsporre
Mattlummer</t>
        </is>
      </c>
      <c r="S205">
        <f>HYPERLINK("https://klasma.github.io/Logging_PAJALA/artfynd/A 55256-2018.xlsx", "A 55256-2018")</f>
        <v/>
      </c>
      <c r="T205">
        <f>HYPERLINK("https://klasma.github.io/Logging_PAJALA/kartor/A 55256-2018.png", "A 55256-2018")</f>
        <v/>
      </c>
      <c r="V205">
        <f>HYPERLINK("https://klasma.github.io/Logging_PAJALA/klagomål/A 55256-2018.docx", "A 55256-2018")</f>
        <v/>
      </c>
      <c r="W205">
        <f>HYPERLINK("https://klasma.github.io/Logging_PAJALA/klagomålsmail/A 55256-2018.docx", "A 55256-2018")</f>
        <v/>
      </c>
      <c r="X205">
        <f>HYPERLINK("https://klasma.github.io/Logging_PAJALA/tillsyn/A 55256-2018.docx", "A 55256-2018")</f>
        <v/>
      </c>
      <c r="Y205">
        <f>HYPERLINK("https://klasma.github.io/Logging_PAJALA/tillsynsmail/A 55256-2018.docx", "A 55256-2018")</f>
        <v/>
      </c>
    </row>
    <row r="206" ht="15" customHeight="1">
      <c r="A206" t="inlineStr">
        <is>
          <t>A 58216-2018</t>
        </is>
      </c>
      <c r="B206" s="1" t="n">
        <v>43408</v>
      </c>
      <c r="C206" s="1" t="n">
        <v>45206</v>
      </c>
      <c r="D206" t="inlineStr">
        <is>
          <t>NORRBOTTENS LÄN</t>
        </is>
      </c>
      <c r="E206" t="inlineStr">
        <is>
          <t>KIRUNA</t>
        </is>
      </c>
      <c r="G206" t="n">
        <v>11</v>
      </c>
      <c r="H206" t="n">
        <v>1</v>
      </c>
      <c r="I206" t="n">
        <v>0</v>
      </c>
      <c r="J206" t="n">
        <v>2</v>
      </c>
      <c r="K206" t="n">
        <v>0</v>
      </c>
      <c r="L206" t="n">
        <v>0</v>
      </c>
      <c r="M206" t="n">
        <v>0</v>
      </c>
      <c r="N206" t="n">
        <v>0</v>
      </c>
      <c r="O206" t="n">
        <v>2</v>
      </c>
      <c r="P206" t="n">
        <v>0</v>
      </c>
      <c r="Q206" t="n">
        <v>2</v>
      </c>
      <c r="R206" s="2" t="inlineStr">
        <is>
          <t>Harticka
Tretåig hackspett</t>
        </is>
      </c>
      <c r="S206">
        <f>HYPERLINK("https://klasma.github.io/Logging_KIRUNA/artfynd/A 58216-2018.xlsx", "A 58216-2018")</f>
        <v/>
      </c>
      <c r="T206">
        <f>HYPERLINK("https://klasma.github.io/Logging_KIRUNA/kartor/A 58216-2018.png", "A 58216-2018")</f>
        <v/>
      </c>
      <c r="V206">
        <f>HYPERLINK("https://klasma.github.io/Logging_KIRUNA/klagomål/A 58216-2018.docx", "A 58216-2018")</f>
        <v/>
      </c>
      <c r="W206">
        <f>HYPERLINK("https://klasma.github.io/Logging_KIRUNA/klagomålsmail/A 58216-2018.docx", "A 58216-2018")</f>
        <v/>
      </c>
      <c r="X206">
        <f>HYPERLINK("https://klasma.github.io/Logging_KIRUNA/tillsyn/A 58216-2018.docx", "A 58216-2018")</f>
        <v/>
      </c>
      <c r="Y206">
        <f>HYPERLINK("https://klasma.github.io/Logging_KIRUNA/tillsynsmail/A 58216-2018.docx", "A 58216-2018")</f>
        <v/>
      </c>
    </row>
    <row r="207" ht="15" customHeight="1">
      <c r="A207" t="inlineStr">
        <is>
          <t>A 65870-2018</t>
        </is>
      </c>
      <c r="B207" s="1" t="n">
        <v>43434</v>
      </c>
      <c r="C207" s="1" t="n">
        <v>45206</v>
      </c>
      <c r="D207" t="inlineStr">
        <is>
          <t>NORRBOTTENS LÄN</t>
        </is>
      </c>
      <c r="E207" t="inlineStr">
        <is>
          <t>GÄLLIVARE</t>
        </is>
      </c>
      <c r="F207" t="inlineStr">
        <is>
          <t>Sveaskog</t>
        </is>
      </c>
      <c r="G207" t="n">
        <v>4.8</v>
      </c>
      <c r="H207" t="n">
        <v>1</v>
      </c>
      <c r="I207" t="n">
        <v>0</v>
      </c>
      <c r="J207" t="n">
        <v>2</v>
      </c>
      <c r="K207" t="n">
        <v>0</v>
      </c>
      <c r="L207" t="n">
        <v>0</v>
      </c>
      <c r="M207" t="n">
        <v>0</v>
      </c>
      <c r="N207" t="n">
        <v>0</v>
      </c>
      <c r="O207" t="n">
        <v>2</v>
      </c>
      <c r="P207" t="n">
        <v>0</v>
      </c>
      <c r="Q207" t="n">
        <v>2</v>
      </c>
      <c r="R207" s="2" t="inlineStr">
        <is>
          <t>Garnlav
Lappmes</t>
        </is>
      </c>
      <c r="S207">
        <f>HYPERLINK("https://klasma.github.io/Logging_GALLIVARE/artfynd/A 65870-2018.xlsx", "A 65870-2018")</f>
        <v/>
      </c>
      <c r="T207">
        <f>HYPERLINK("https://klasma.github.io/Logging_GALLIVARE/kartor/A 65870-2018.png", "A 65870-2018")</f>
        <v/>
      </c>
      <c r="V207">
        <f>HYPERLINK("https://klasma.github.io/Logging_GALLIVARE/klagomål/A 65870-2018.docx", "A 65870-2018")</f>
        <v/>
      </c>
      <c r="W207">
        <f>HYPERLINK("https://klasma.github.io/Logging_GALLIVARE/klagomålsmail/A 65870-2018.docx", "A 65870-2018")</f>
        <v/>
      </c>
      <c r="X207">
        <f>HYPERLINK("https://klasma.github.io/Logging_GALLIVARE/tillsyn/A 65870-2018.docx", "A 65870-2018")</f>
        <v/>
      </c>
      <c r="Y207">
        <f>HYPERLINK("https://klasma.github.io/Logging_GALLIVARE/tillsynsmail/A 65870-2018.docx", "A 65870-2018")</f>
        <v/>
      </c>
    </row>
    <row r="208" ht="15" customHeight="1">
      <c r="A208" t="inlineStr">
        <is>
          <t>A 5271-2019</t>
        </is>
      </c>
      <c r="B208" s="1" t="n">
        <v>43488</v>
      </c>
      <c r="C208" s="1" t="n">
        <v>45206</v>
      </c>
      <c r="D208" t="inlineStr">
        <is>
          <t>NORRBOTTENS LÄN</t>
        </is>
      </c>
      <c r="E208" t="inlineStr">
        <is>
          <t>LULEÅ</t>
        </is>
      </c>
      <c r="G208" t="n">
        <v>7.5</v>
      </c>
      <c r="H208" t="n">
        <v>1</v>
      </c>
      <c r="I208" t="n">
        <v>0</v>
      </c>
      <c r="J208" t="n">
        <v>1</v>
      </c>
      <c r="K208" t="n">
        <v>0</v>
      </c>
      <c r="L208" t="n">
        <v>0</v>
      </c>
      <c r="M208" t="n">
        <v>0</v>
      </c>
      <c r="N208" t="n">
        <v>0</v>
      </c>
      <c r="O208" t="n">
        <v>1</v>
      </c>
      <c r="P208" t="n">
        <v>0</v>
      </c>
      <c r="Q208" t="n">
        <v>2</v>
      </c>
      <c r="R208" s="2" t="inlineStr">
        <is>
          <t>Lunglav
Nattviol</t>
        </is>
      </c>
      <c r="S208">
        <f>HYPERLINK("https://klasma.github.io/Logging_LULEA/artfynd/A 5271-2019.xlsx", "A 5271-2019")</f>
        <v/>
      </c>
      <c r="T208">
        <f>HYPERLINK("https://klasma.github.io/Logging_LULEA/kartor/A 5271-2019.png", "A 5271-2019")</f>
        <v/>
      </c>
      <c r="V208">
        <f>HYPERLINK("https://klasma.github.io/Logging_LULEA/klagomål/A 5271-2019.docx", "A 5271-2019")</f>
        <v/>
      </c>
      <c r="W208">
        <f>HYPERLINK("https://klasma.github.io/Logging_LULEA/klagomålsmail/A 5271-2019.docx", "A 5271-2019")</f>
        <v/>
      </c>
      <c r="X208">
        <f>HYPERLINK("https://klasma.github.io/Logging_LULEA/tillsyn/A 5271-2019.docx", "A 5271-2019")</f>
        <v/>
      </c>
      <c r="Y208">
        <f>HYPERLINK("https://klasma.github.io/Logging_LULEA/tillsynsmail/A 5271-2019.docx", "A 5271-2019")</f>
        <v/>
      </c>
    </row>
    <row r="209" ht="15" customHeight="1">
      <c r="A209" t="inlineStr">
        <is>
          <t>A 9977-2019</t>
        </is>
      </c>
      <c r="B209" s="1" t="n">
        <v>43509</v>
      </c>
      <c r="C209" s="1" t="n">
        <v>45206</v>
      </c>
      <c r="D209" t="inlineStr">
        <is>
          <t>NORRBOTTENS LÄN</t>
        </is>
      </c>
      <c r="E209" t="inlineStr">
        <is>
          <t>JOKKMOKK</t>
        </is>
      </c>
      <c r="G209" t="n">
        <v>5.1</v>
      </c>
      <c r="H209" t="n">
        <v>0</v>
      </c>
      <c r="I209" t="n">
        <v>0</v>
      </c>
      <c r="J209" t="n">
        <v>1</v>
      </c>
      <c r="K209" t="n">
        <v>1</v>
      </c>
      <c r="L209" t="n">
        <v>0</v>
      </c>
      <c r="M209" t="n">
        <v>0</v>
      </c>
      <c r="N209" t="n">
        <v>0</v>
      </c>
      <c r="O209" t="n">
        <v>2</v>
      </c>
      <c r="P209" t="n">
        <v>1</v>
      </c>
      <c r="Q209" t="n">
        <v>2</v>
      </c>
      <c r="R209" s="2" t="inlineStr">
        <is>
          <t>Fläckporing
Dvärgbägarlav</t>
        </is>
      </c>
      <c r="S209">
        <f>HYPERLINK("https://klasma.github.io/Logging_JOKKMOKK/artfynd/A 9977-2019.xlsx", "A 9977-2019")</f>
        <v/>
      </c>
      <c r="T209">
        <f>HYPERLINK("https://klasma.github.io/Logging_JOKKMOKK/kartor/A 9977-2019.png", "A 9977-2019")</f>
        <v/>
      </c>
      <c r="V209">
        <f>HYPERLINK("https://klasma.github.io/Logging_JOKKMOKK/klagomål/A 9977-2019.docx", "A 9977-2019")</f>
        <v/>
      </c>
      <c r="W209">
        <f>HYPERLINK("https://klasma.github.io/Logging_JOKKMOKK/klagomålsmail/A 9977-2019.docx", "A 9977-2019")</f>
        <v/>
      </c>
      <c r="X209">
        <f>HYPERLINK("https://klasma.github.io/Logging_JOKKMOKK/tillsyn/A 9977-2019.docx", "A 9977-2019")</f>
        <v/>
      </c>
      <c r="Y209">
        <f>HYPERLINK("https://klasma.github.io/Logging_JOKKMOKK/tillsynsmail/A 9977-2019.docx", "A 9977-2019")</f>
        <v/>
      </c>
    </row>
    <row r="210" ht="15" customHeight="1">
      <c r="A210" t="inlineStr">
        <is>
          <t>A 11148-2019</t>
        </is>
      </c>
      <c r="B210" s="1" t="n">
        <v>43516</v>
      </c>
      <c r="C210" s="1" t="n">
        <v>45206</v>
      </c>
      <c r="D210" t="inlineStr">
        <is>
          <t>NORRBOTTENS LÄN</t>
        </is>
      </c>
      <c r="E210" t="inlineStr">
        <is>
          <t>JOKKMOKK</t>
        </is>
      </c>
      <c r="G210" t="n">
        <v>12.8</v>
      </c>
      <c r="H210" t="n">
        <v>1</v>
      </c>
      <c r="I210" t="n">
        <v>0</v>
      </c>
      <c r="J210" t="n">
        <v>2</v>
      </c>
      <c r="K210" t="n">
        <v>0</v>
      </c>
      <c r="L210" t="n">
        <v>0</v>
      </c>
      <c r="M210" t="n">
        <v>0</v>
      </c>
      <c r="N210" t="n">
        <v>0</v>
      </c>
      <c r="O210" t="n">
        <v>2</v>
      </c>
      <c r="P210" t="n">
        <v>0</v>
      </c>
      <c r="Q210" t="n">
        <v>2</v>
      </c>
      <c r="R210" s="2" t="inlineStr">
        <is>
          <t>Knottrig blåslav
Lappmes</t>
        </is>
      </c>
      <c r="S210">
        <f>HYPERLINK("https://klasma.github.io/Logging_JOKKMOKK/artfynd/A 11148-2019.xlsx", "A 11148-2019")</f>
        <v/>
      </c>
      <c r="T210">
        <f>HYPERLINK("https://klasma.github.io/Logging_JOKKMOKK/kartor/A 11148-2019.png", "A 11148-2019")</f>
        <v/>
      </c>
      <c r="V210">
        <f>HYPERLINK("https://klasma.github.io/Logging_JOKKMOKK/klagomål/A 11148-2019.docx", "A 11148-2019")</f>
        <v/>
      </c>
      <c r="W210">
        <f>HYPERLINK("https://klasma.github.io/Logging_JOKKMOKK/klagomålsmail/A 11148-2019.docx", "A 11148-2019")</f>
        <v/>
      </c>
      <c r="X210">
        <f>HYPERLINK("https://klasma.github.io/Logging_JOKKMOKK/tillsyn/A 11148-2019.docx", "A 11148-2019")</f>
        <v/>
      </c>
      <c r="Y210">
        <f>HYPERLINK("https://klasma.github.io/Logging_JOKKMOKK/tillsynsmail/A 11148-2019.docx", "A 11148-2019")</f>
        <v/>
      </c>
    </row>
    <row r="211" ht="15" customHeight="1">
      <c r="A211" t="inlineStr">
        <is>
          <t>A 15021-2019</t>
        </is>
      </c>
      <c r="B211" s="1" t="n">
        <v>43538</v>
      </c>
      <c r="C211" s="1" t="n">
        <v>45206</v>
      </c>
      <c r="D211" t="inlineStr">
        <is>
          <t>NORRBOTTENS LÄN</t>
        </is>
      </c>
      <c r="E211" t="inlineStr">
        <is>
          <t>LULEÅ</t>
        </is>
      </c>
      <c r="G211" t="n">
        <v>28.9</v>
      </c>
      <c r="H211" t="n">
        <v>1</v>
      </c>
      <c r="I211" t="n">
        <v>0</v>
      </c>
      <c r="J211" t="n">
        <v>2</v>
      </c>
      <c r="K211" t="n">
        <v>0</v>
      </c>
      <c r="L211" t="n">
        <v>0</v>
      </c>
      <c r="M211" t="n">
        <v>0</v>
      </c>
      <c r="N211" t="n">
        <v>0</v>
      </c>
      <c r="O211" t="n">
        <v>2</v>
      </c>
      <c r="P211" t="n">
        <v>0</v>
      </c>
      <c r="Q211" t="n">
        <v>2</v>
      </c>
      <c r="R211" s="2" t="inlineStr">
        <is>
          <t>Granticka
Spillkråka</t>
        </is>
      </c>
      <c r="S211">
        <f>HYPERLINK("https://klasma.github.io/Logging_LULEA/artfynd/A 15021-2019.xlsx", "A 15021-2019")</f>
        <v/>
      </c>
      <c r="T211">
        <f>HYPERLINK("https://klasma.github.io/Logging_LULEA/kartor/A 15021-2019.png", "A 15021-2019")</f>
        <v/>
      </c>
      <c r="V211">
        <f>HYPERLINK("https://klasma.github.io/Logging_LULEA/klagomål/A 15021-2019.docx", "A 15021-2019")</f>
        <v/>
      </c>
      <c r="W211">
        <f>HYPERLINK("https://klasma.github.io/Logging_LULEA/klagomålsmail/A 15021-2019.docx", "A 15021-2019")</f>
        <v/>
      </c>
      <c r="X211">
        <f>HYPERLINK("https://klasma.github.io/Logging_LULEA/tillsyn/A 15021-2019.docx", "A 15021-2019")</f>
        <v/>
      </c>
      <c r="Y211">
        <f>HYPERLINK("https://klasma.github.io/Logging_LULEA/tillsynsmail/A 15021-2019.docx", "A 15021-2019")</f>
        <v/>
      </c>
    </row>
    <row r="212" ht="15" customHeight="1">
      <c r="A212" t="inlineStr">
        <is>
          <t>A 21127-2019</t>
        </is>
      </c>
      <c r="B212" s="1" t="n">
        <v>43579</v>
      </c>
      <c r="C212" s="1" t="n">
        <v>45206</v>
      </c>
      <c r="D212" t="inlineStr">
        <is>
          <t>NORRBOTTENS LÄN</t>
        </is>
      </c>
      <c r="E212" t="inlineStr">
        <is>
          <t>BODEN</t>
        </is>
      </c>
      <c r="F212" t="inlineStr">
        <is>
          <t>Sveaskog</t>
        </is>
      </c>
      <c r="G212" t="n">
        <v>32</v>
      </c>
      <c r="H212" t="n">
        <v>0</v>
      </c>
      <c r="I212" t="n">
        <v>0</v>
      </c>
      <c r="J212" t="n">
        <v>2</v>
      </c>
      <c r="K212" t="n">
        <v>0</v>
      </c>
      <c r="L212" t="n">
        <v>0</v>
      </c>
      <c r="M212" t="n">
        <v>0</v>
      </c>
      <c r="N212" t="n">
        <v>0</v>
      </c>
      <c r="O212" t="n">
        <v>2</v>
      </c>
      <c r="P212" t="n">
        <v>0</v>
      </c>
      <c r="Q212" t="n">
        <v>2</v>
      </c>
      <c r="R212" s="2" t="inlineStr">
        <is>
          <t>Lunglav
Nordtagging</t>
        </is>
      </c>
      <c r="S212">
        <f>HYPERLINK("https://klasma.github.io/Logging_BODEN/artfynd/A 21127-2019.xlsx", "A 21127-2019")</f>
        <v/>
      </c>
      <c r="T212">
        <f>HYPERLINK("https://klasma.github.io/Logging_BODEN/kartor/A 21127-2019.png", "A 21127-2019")</f>
        <v/>
      </c>
      <c r="V212">
        <f>HYPERLINK("https://klasma.github.io/Logging_BODEN/klagomål/A 21127-2019.docx", "A 21127-2019")</f>
        <v/>
      </c>
      <c r="W212">
        <f>HYPERLINK("https://klasma.github.io/Logging_BODEN/klagomålsmail/A 21127-2019.docx", "A 21127-2019")</f>
        <v/>
      </c>
      <c r="X212">
        <f>HYPERLINK("https://klasma.github.io/Logging_BODEN/tillsyn/A 21127-2019.docx", "A 21127-2019")</f>
        <v/>
      </c>
      <c r="Y212">
        <f>HYPERLINK("https://klasma.github.io/Logging_BODEN/tillsynsmail/A 21127-2019.docx", "A 21127-2019")</f>
        <v/>
      </c>
    </row>
    <row r="213" ht="15" customHeight="1">
      <c r="A213" t="inlineStr">
        <is>
          <t>A 23307-2019</t>
        </is>
      </c>
      <c r="B213" s="1" t="n">
        <v>43593</v>
      </c>
      <c r="C213" s="1" t="n">
        <v>45206</v>
      </c>
      <c r="D213" t="inlineStr">
        <is>
          <t>NORRBOTTENS LÄN</t>
        </is>
      </c>
      <c r="E213" t="inlineStr">
        <is>
          <t>ÖVERTORNEÅ</t>
        </is>
      </c>
      <c r="F213" t="inlineStr">
        <is>
          <t>Sveaskog</t>
        </is>
      </c>
      <c r="G213" t="n">
        <v>34.4</v>
      </c>
      <c r="H213" t="n">
        <v>0</v>
      </c>
      <c r="I213" t="n">
        <v>0</v>
      </c>
      <c r="J213" t="n">
        <v>2</v>
      </c>
      <c r="K213" t="n">
        <v>0</v>
      </c>
      <c r="L213" t="n">
        <v>0</v>
      </c>
      <c r="M213" t="n">
        <v>0</v>
      </c>
      <c r="N213" t="n">
        <v>0</v>
      </c>
      <c r="O213" t="n">
        <v>2</v>
      </c>
      <c r="P213" t="n">
        <v>0</v>
      </c>
      <c r="Q213" t="n">
        <v>2</v>
      </c>
      <c r="R213" s="2" t="inlineStr">
        <is>
          <t>Garnlav
Stjärntagging</t>
        </is>
      </c>
      <c r="S213">
        <f>HYPERLINK("https://klasma.github.io/Logging_OVERTORNEA/artfynd/A 23307-2019.xlsx", "A 23307-2019")</f>
        <v/>
      </c>
      <c r="T213">
        <f>HYPERLINK("https://klasma.github.io/Logging_OVERTORNEA/kartor/A 23307-2019.png", "A 23307-2019")</f>
        <v/>
      </c>
      <c r="V213">
        <f>HYPERLINK("https://klasma.github.io/Logging_OVERTORNEA/klagomål/A 23307-2019.docx", "A 23307-2019")</f>
        <v/>
      </c>
      <c r="W213">
        <f>HYPERLINK("https://klasma.github.io/Logging_OVERTORNEA/klagomålsmail/A 23307-2019.docx", "A 23307-2019")</f>
        <v/>
      </c>
      <c r="X213">
        <f>HYPERLINK("https://klasma.github.io/Logging_OVERTORNEA/tillsyn/A 23307-2019.docx", "A 23307-2019")</f>
        <v/>
      </c>
      <c r="Y213">
        <f>HYPERLINK("https://klasma.github.io/Logging_OVERTORNEA/tillsynsmail/A 23307-2019.docx", "A 23307-2019")</f>
        <v/>
      </c>
    </row>
    <row r="214" ht="15" customHeight="1">
      <c r="A214" t="inlineStr">
        <is>
          <t>A 24672-2019</t>
        </is>
      </c>
      <c r="B214" s="1" t="n">
        <v>43601</v>
      </c>
      <c r="C214" s="1" t="n">
        <v>45206</v>
      </c>
      <c r="D214" t="inlineStr">
        <is>
          <t>NORRBOTTENS LÄN</t>
        </is>
      </c>
      <c r="E214" t="inlineStr">
        <is>
          <t>BODEN</t>
        </is>
      </c>
      <c r="F214" t="inlineStr">
        <is>
          <t>Sveaskog</t>
        </is>
      </c>
      <c r="G214" t="n">
        <v>12.8</v>
      </c>
      <c r="H214" t="n">
        <v>0</v>
      </c>
      <c r="I214" t="n">
        <v>0</v>
      </c>
      <c r="J214" t="n">
        <v>1</v>
      </c>
      <c r="K214" t="n">
        <v>1</v>
      </c>
      <c r="L214" t="n">
        <v>0</v>
      </c>
      <c r="M214" t="n">
        <v>0</v>
      </c>
      <c r="N214" t="n">
        <v>0</v>
      </c>
      <c r="O214" t="n">
        <v>2</v>
      </c>
      <c r="P214" t="n">
        <v>1</v>
      </c>
      <c r="Q214" t="n">
        <v>2</v>
      </c>
      <c r="R214" s="2" t="inlineStr">
        <is>
          <t>Gräddporing
Vaddporing</t>
        </is>
      </c>
      <c r="S214">
        <f>HYPERLINK("https://klasma.github.io/Logging_BODEN/artfynd/A 24672-2019.xlsx", "A 24672-2019")</f>
        <v/>
      </c>
      <c r="T214">
        <f>HYPERLINK("https://klasma.github.io/Logging_BODEN/kartor/A 24672-2019.png", "A 24672-2019")</f>
        <v/>
      </c>
      <c r="V214">
        <f>HYPERLINK("https://klasma.github.io/Logging_BODEN/klagomål/A 24672-2019.docx", "A 24672-2019")</f>
        <v/>
      </c>
      <c r="W214">
        <f>HYPERLINK("https://klasma.github.io/Logging_BODEN/klagomålsmail/A 24672-2019.docx", "A 24672-2019")</f>
        <v/>
      </c>
      <c r="X214">
        <f>HYPERLINK("https://klasma.github.io/Logging_BODEN/tillsyn/A 24672-2019.docx", "A 24672-2019")</f>
        <v/>
      </c>
      <c r="Y214">
        <f>HYPERLINK("https://klasma.github.io/Logging_BODEN/tillsynsmail/A 24672-2019.docx", "A 24672-2019")</f>
        <v/>
      </c>
    </row>
    <row r="215" ht="15" customHeight="1">
      <c r="A215" t="inlineStr">
        <is>
          <t>A 24913-2019</t>
        </is>
      </c>
      <c r="B215" s="1" t="n">
        <v>43602</v>
      </c>
      <c r="C215" s="1" t="n">
        <v>45206</v>
      </c>
      <c r="D215" t="inlineStr">
        <is>
          <t>NORRBOTTENS LÄN</t>
        </is>
      </c>
      <c r="E215" t="inlineStr">
        <is>
          <t>PAJALA</t>
        </is>
      </c>
      <c r="F215" t="inlineStr">
        <is>
          <t>Sveaskog</t>
        </is>
      </c>
      <c r="G215" t="n">
        <v>1.1</v>
      </c>
      <c r="H215" t="n">
        <v>0</v>
      </c>
      <c r="I215" t="n">
        <v>1</v>
      </c>
      <c r="J215" t="n">
        <v>1</v>
      </c>
      <c r="K215" t="n">
        <v>0</v>
      </c>
      <c r="L215" t="n">
        <v>0</v>
      </c>
      <c r="M215" t="n">
        <v>0</v>
      </c>
      <c r="N215" t="n">
        <v>0</v>
      </c>
      <c r="O215" t="n">
        <v>1</v>
      </c>
      <c r="P215" t="n">
        <v>0</v>
      </c>
      <c r="Q215" t="n">
        <v>2</v>
      </c>
      <c r="R215" s="2" t="inlineStr">
        <is>
          <t>Garnlav
Stuplav</t>
        </is>
      </c>
      <c r="S215">
        <f>HYPERLINK("https://klasma.github.io/Logging_PAJALA/artfynd/A 24913-2019.xlsx", "A 24913-2019")</f>
        <v/>
      </c>
      <c r="T215">
        <f>HYPERLINK("https://klasma.github.io/Logging_PAJALA/kartor/A 24913-2019.png", "A 24913-2019")</f>
        <v/>
      </c>
      <c r="V215">
        <f>HYPERLINK("https://klasma.github.io/Logging_PAJALA/klagomål/A 24913-2019.docx", "A 24913-2019")</f>
        <v/>
      </c>
      <c r="W215">
        <f>HYPERLINK("https://klasma.github.io/Logging_PAJALA/klagomålsmail/A 24913-2019.docx", "A 24913-2019")</f>
        <v/>
      </c>
      <c r="X215">
        <f>HYPERLINK("https://klasma.github.io/Logging_PAJALA/tillsyn/A 24913-2019.docx", "A 24913-2019")</f>
        <v/>
      </c>
      <c r="Y215">
        <f>HYPERLINK("https://klasma.github.io/Logging_PAJALA/tillsynsmail/A 24913-2019.docx", "A 24913-2019")</f>
        <v/>
      </c>
    </row>
    <row r="216" ht="15" customHeight="1">
      <c r="A216" t="inlineStr">
        <is>
          <t>A 32337-2019</t>
        </is>
      </c>
      <c r="B216" s="1" t="n">
        <v>43644</v>
      </c>
      <c r="C216" s="1" t="n">
        <v>45206</v>
      </c>
      <c r="D216" t="inlineStr">
        <is>
          <t>NORRBOTTENS LÄN</t>
        </is>
      </c>
      <c r="E216" t="inlineStr">
        <is>
          <t>PAJALA</t>
        </is>
      </c>
      <c r="F216" t="inlineStr">
        <is>
          <t>Sveaskog</t>
        </is>
      </c>
      <c r="G216" t="n">
        <v>5.1</v>
      </c>
      <c r="H216" t="n">
        <v>0</v>
      </c>
      <c r="I216" t="n">
        <v>1</v>
      </c>
      <c r="J216" t="n">
        <v>1</v>
      </c>
      <c r="K216" t="n">
        <v>0</v>
      </c>
      <c r="L216" t="n">
        <v>0</v>
      </c>
      <c r="M216" t="n">
        <v>0</v>
      </c>
      <c r="N216" t="n">
        <v>0</v>
      </c>
      <c r="O216" t="n">
        <v>1</v>
      </c>
      <c r="P216" t="n">
        <v>0</v>
      </c>
      <c r="Q216" t="n">
        <v>2</v>
      </c>
      <c r="R216" s="2" t="inlineStr">
        <is>
          <t>Garnlav
Trådticka</t>
        </is>
      </c>
      <c r="S216">
        <f>HYPERLINK("https://klasma.github.io/Logging_PAJALA/artfynd/A 32337-2019.xlsx", "A 32337-2019")</f>
        <v/>
      </c>
      <c r="T216">
        <f>HYPERLINK("https://klasma.github.io/Logging_PAJALA/kartor/A 32337-2019.png", "A 32337-2019")</f>
        <v/>
      </c>
      <c r="V216">
        <f>HYPERLINK("https://klasma.github.io/Logging_PAJALA/klagomål/A 32337-2019.docx", "A 32337-2019")</f>
        <v/>
      </c>
      <c r="W216">
        <f>HYPERLINK("https://klasma.github.io/Logging_PAJALA/klagomålsmail/A 32337-2019.docx", "A 32337-2019")</f>
        <v/>
      </c>
      <c r="X216">
        <f>HYPERLINK("https://klasma.github.io/Logging_PAJALA/tillsyn/A 32337-2019.docx", "A 32337-2019")</f>
        <v/>
      </c>
      <c r="Y216">
        <f>HYPERLINK("https://klasma.github.io/Logging_PAJALA/tillsynsmail/A 32337-2019.docx", "A 32337-2019")</f>
        <v/>
      </c>
    </row>
    <row r="217" ht="15" customHeight="1">
      <c r="A217" t="inlineStr">
        <is>
          <t>A 36554-2019</t>
        </is>
      </c>
      <c r="B217" s="1" t="n">
        <v>43671</v>
      </c>
      <c r="C217" s="1" t="n">
        <v>45206</v>
      </c>
      <c r="D217" t="inlineStr">
        <is>
          <t>NORRBOTTENS LÄN</t>
        </is>
      </c>
      <c r="E217" t="inlineStr">
        <is>
          <t>GÄLLIVARE</t>
        </is>
      </c>
      <c r="F217" t="inlineStr">
        <is>
          <t>Sveaskog</t>
        </is>
      </c>
      <c r="G217" t="n">
        <v>28.2</v>
      </c>
      <c r="H217" t="n">
        <v>0</v>
      </c>
      <c r="I217" t="n">
        <v>0</v>
      </c>
      <c r="J217" t="n">
        <v>1</v>
      </c>
      <c r="K217" t="n">
        <v>1</v>
      </c>
      <c r="L217" t="n">
        <v>0</v>
      </c>
      <c r="M217" t="n">
        <v>0</v>
      </c>
      <c r="N217" t="n">
        <v>0</v>
      </c>
      <c r="O217" t="n">
        <v>2</v>
      </c>
      <c r="P217" t="n">
        <v>1</v>
      </c>
      <c r="Q217" t="n">
        <v>2</v>
      </c>
      <c r="R217" s="2" t="inlineStr">
        <is>
          <t>Spadskinn
Tallticka</t>
        </is>
      </c>
      <c r="S217">
        <f>HYPERLINK("https://klasma.github.io/Logging_GALLIVARE/artfynd/A 36554-2019.xlsx", "A 36554-2019")</f>
        <v/>
      </c>
      <c r="T217">
        <f>HYPERLINK("https://klasma.github.io/Logging_GALLIVARE/kartor/A 36554-2019.png", "A 36554-2019")</f>
        <v/>
      </c>
      <c r="V217">
        <f>HYPERLINK("https://klasma.github.io/Logging_GALLIVARE/klagomål/A 36554-2019.docx", "A 36554-2019")</f>
        <v/>
      </c>
      <c r="W217">
        <f>HYPERLINK("https://klasma.github.io/Logging_GALLIVARE/klagomålsmail/A 36554-2019.docx", "A 36554-2019")</f>
        <v/>
      </c>
      <c r="X217">
        <f>HYPERLINK("https://klasma.github.io/Logging_GALLIVARE/tillsyn/A 36554-2019.docx", "A 36554-2019")</f>
        <v/>
      </c>
      <c r="Y217">
        <f>HYPERLINK("https://klasma.github.io/Logging_GALLIVARE/tillsynsmail/A 36554-2019.docx", "A 36554-2019")</f>
        <v/>
      </c>
    </row>
    <row r="218" ht="15" customHeight="1">
      <c r="A218" t="inlineStr">
        <is>
          <t>A 38649-2019</t>
        </is>
      </c>
      <c r="B218" s="1" t="n">
        <v>43686</v>
      </c>
      <c r="C218" s="1" t="n">
        <v>45206</v>
      </c>
      <c r="D218" t="inlineStr">
        <is>
          <t>NORRBOTTENS LÄN</t>
        </is>
      </c>
      <c r="E218" t="inlineStr">
        <is>
          <t>GÄLLIVARE</t>
        </is>
      </c>
      <c r="F218" t="inlineStr">
        <is>
          <t>Sveaskog</t>
        </is>
      </c>
      <c r="G218" t="n">
        <v>4.3</v>
      </c>
      <c r="H218" t="n">
        <v>1</v>
      </c>
      <c r="I218" t="n">
        <v>0</v>
      </c>
      <c r="J218" t="n">
        <v>1</v>
      </c>
      <c r="K218" t="n">
        <v>1</v>
      </c>
      <c r="L218" t="n">
        <v>0</v>
      </c>
      <c r="M218" t="n">
        <v>0</v>
      </c>
      <c r="N218" t="n">
        <v>0</v>
      </c>
      <c r="O218" t="n">
        <v>2</v>
      </c>
      <c r="P218" t="n">
        <v>1</v>
      </c>
      <c r="Q218" t="n">
        <v>2</v>
      </c>
      <c r="R218" s="2" t="inlineStr">
        <is>
          <t>Norna
Äggvaxskivling</t>
        </is>
      </c>
      <c r="S218">
        <f>HYPERLINK("https://klasma.github.io/Logging_GALLIVARE/artfynd/A 38649-2019.xlsx", "A 38649-2019")</f>
        <v/>
      </c>
      <c r="T218">
        <f>HYPERLINK("https://klasma.github.io/Logging_GALLIVARE/kartor/A 38649-2019.png", "A 38649-2019")</f>
        <v/>
      </c>
      <c r="V218">
        <f>HYPERLINK("https://klasma.github.io/Logging_GALLIVARE/klagomål/A 38649-2019.docx", "A 38649-2019")</f>
        <v/>
      </c>
      <c r="W218">
        <f>HYPERLINK("https://klasma.github.io/Logging_GALLIVARE/klagomålsmail/A 38649-2019.docx", "A 38649-2019")</f>
        <v/>
      </c>
      <c r="X218">
        <f>HYPERLINK("https://klasma.github.io/Logging_GALLIVARE/tillsyn/A 38649-2019.docx", "A 38649-2019")</f>
        <v/>
      </c>
      <c r="Y218">
        <f>HYPERLINK("https://klasma.github.io/Logging_GALLIVARE/tillsynsmail/A 38649-2019.docx", "A 38649-2019")</f>
        <v/>
      </c>
    </row>
    <row r="219" ht="15" customHeight="1">
      <c r="A219" t="inlineStr">
        <is>
          <t>A 45095-2019</t>
        </is>
      </c>
      <c r="B219" s="1" t="n">
        <v>43707</v>
      </c>
      <c r="C219" s="1" t="n">
        <v>45206</v>
      </c>
      <c r="D219" t="inlineStr">
        <is>
          <t>NORRBOTTENS LÄN</t>
        </is>
      </c>
      <c r="E219" t="inlineStr">
        <is>
          <t>ARJEPLOG</t>
        </is>
      </c>
      <c r="G219" t="n">
        <v>9.9</v>
      </c>
      <c r="H219" t="n">
        <v>2</v>
      </c>
      <c r="I219" t="n">
        <v>1</v>
      </c>
      <c r="J219" t="n">
        <v>0</v>
      </c>
      <c r="K219" t="n">
        <v>0</v>
      </c>
      <c r="L219" t="n">
        <v>0</v>
      </c>
      <c r="M219" t="n">
        <v>0</v>
      </c>
      <c r="N219" t="n">
        <v>0</v>
      </c>
      <c r="O219" t="n">
        <v>0</v>
      </c>
      <c r="P219" t="n">
        <v>0</v>
      </c>
      <c r="Q219" t="n">
        <v>2</v>
      </c>
      <c r="R219" s="2" t="inlineStr">
        <is>
          <t>Plattlummer
Revlummer</t>
        </is>
      </c>
      <c r="S219">
        <f>HYPERLINK("https://klasma.github.io/Logging_ARJEPLOG/artfynd/A 45095-2019.xlsx", "A 45095-2019")</f>
        <v/>
      </c>
      <c r="T219">
        <f>HYPERLINK("https://klasma.github.io/Logging_ARJEPLOG/kartor/A 45095-2019.png", "A 45095-2019")</f>
        <v/>
      </c>
      <c r="V219">
        <f>HYPERLINK("https://klasma.github.io/Logging_ARJEPLOG/klagomål/A 45095-2019.docx", "A 45095-2019")</f>
        <v/>
      </c>
      <c r="W219">
        <f>HYPERLINK("https://klasma.github.io/Logging_ARJEPLOG/klagomålsmail/A 45095-2019.docx", "A 45095-2019")</f>
        <v/>
      </c>
      <c r="X219">
        <f>HYPERLINK("https://klasma.github.io/Logging_ARJEPLOG/tillsyn/A 45095-2019.docx", "A 45095-2019")</f>
        <v/>
      </c>
      <c r="Y219">
        <f>HYPERLINK("https://klasma.github.io/Logging_ARJEPLOG/tillsynsmail/A 45095-2019.docx", "A 45095-2019")</f>
        <v/>
      </c>
    </row>
    <row r="220" ht="15" customHeight="1">
      <c r="A220" t="inlineStr">
        <is>
          <t>A 47756-2019</t>
        </is>
      </c>
      <c r="B220" s="1" t="n">
        <v>43724</v>
      </c>
      <c r="C220" s="1" t="n">
        <v>45206</v>
      </c>
      <c r="D220" t="inlineStr">
        <is>
          <t>NORRBOTTENS LÄN</t>
        </is>
      </c>
      <c r="E220" t="inlineStr">
        <is>
          <t>LULEÅ</t>
        </is>
      </c>
      <c r="G220" t="n">
        <v>4.8</v>
      </c>
      <c r="H220" t="n">
        <v>2</v>
      </c>
      <c r="I220" t="n">
        <v>0</v>
      </c>
      <c r="J220" t="n">
        <v>2</v>
      </c>
      <c r="K220" t="n">
        <v>0</v>
      </c>
      <c r="L220" t="n">
        <v>0</v>
      </c>
      <c r="M220" t="n">
        <v>0</v>
      </c>
      <c r="N220" t="n">
        <v>0</v>
      </c>
      <c r="O220" t="n">
        <v>2</v>
      </c>
      <c r="P220" t="n">
        <v>0</v>
      </c>
      <c r="Q220" t="n">
        <v>2</v>
      </c>
      <c r="R220" s="2" t="inlineStr">
        <is>
          <t>Rödvingetrast
Svartvit flugsnappare</t>
        </is>
      </c>
      <c r="S220">
        <f>HYPERLINK("https://klasma.github.io/Logging_LULEA/artfynd/A 47756-2019.xlsx", "A 47756-2019")</f>
        <v/>
      </c>
      <c r="T220">
        <f>HYPERLINK("https://klasma.github.io/Logging_LULEA/kartor/A 47756-2019.png", "A 47756-2019")</f>
        <v/>
      </c>
      <c r="V220">
        <f>HYPERLINK("https://klasma.github.io/Logging_LULEA/klagomål/A 47756-2019.docx", "A 47756-2019")</f>
        <v/>
      </c>
      <c r="W220">
        <f>HYPERLINK("https://klasma.github.io/Logging_LULEA/klagomålsmail/A 47756-2019.docx", "A 47756-2019")</f>
        <v/>
      </c>
      <c r="X220">
        <f>HYPERLINK("https://klasma.github.io/Logging_LULEA/tillsyn/A 47756-2019.docx", "A 47756-2019")</f>
        <v/>
      </c>
      <c r="Y220">
        <f>HYPERLINK("https://klasma.github.io/Logging_LULEA/tillsynsmail/A 47756-2019.docx", "A 47756-2019")</f>
        <v/>
      </c>
    </row>
    <row r="221" ht="15" customHeight="1">
      <c r="A221" t="inlineStr">
        <is>
          <t>A 50195-2019</t>
        </is>
      </c>
      <c r="B221" s="1" t="n">
        <v>43734</v>
      </c>
      <c r="C221" s="1" t="n">
        <v>45206</v>
      </c>
      <c r="D221" t="inlineStr">
        <is>
          <t>NORRBOTTENS LÄN</t>
        </is>
      </c>
      <c r="E221" t="inlineStr">
        <is>
          <t>PAJALA</t>
        </is>
      </c>
      <c r="F221" t="inlineStr">
        <is>
          <t>Sveaskog</t>
        </is>
      </c>
      <c r="G221" t="n">
        <v>12</v>
      </c>
      <c r="H221" t="n">
        <v>0</v>
      </c>
      <c r="I221" t="n">
        <v>0</v>
      </c>
      <c r="J221" t="n">
        <v>1</v>
      </c>
      <c r="K221" t="n">
        <v>1</v>
      </c>
      <c r="L221" t="n">
        <v>0</v>
      </c>
      <c r="M221" t="n">
        <v>0</v>
      </c>
      <c r="N221" t="n">
        <v>0</v>
      </c>
      <c r="O221" t="n">
        <v>2</v>
      </c>
      <c r="P221" t="n">
        <v>1</v>
      </c>
      <c r="Q221" t="n">
        <v>2</v>
      </c>
      <c r="R221" s="2" t="inlineStr">
        <is>
          <t>Gräddporing
Garnlav</t>
        </is>
      </c>
      <c r="S221">
        <f>HYPERLINK("https://klasma.github.io/Logging_PAJALA/artfynd/A 50195-2019.xlsx", "A 50195-2019")</f>
        <v/>
      </c>
      <c r="T221">
        <f>HYPERLINK("https://klasma.github.io/Logging_PAJALA/kartor/A 50195-2019.png", "A 50195-2019")</f>
        <v/>
      </c>
      <c r="V221">
        <f>HYPERLINK("https://klasma.github.io/Logging_PAJALA/klagomål/A 50195-2019.docx", "A 50195-2019")</f>
        <v/>
      </c>
      <c r="W221">
        <f>HYPERLINK("https://klasma.github.io/Logging_PAJALA/klagomålsmail/A 50195-2019.docx", "A 50195-2019")</f>
        <v/>
      </c>
      <c r="X221">
        <f>HYPERLINK("https://klasma.github.io/Logging_PAJALA/tillsyn/A 50195-2019.docx", "A 50195-2019")</f>
        <v/>
      </c>
      <c r="Y221">
        <f>HYPERLINK("https://klasma.github.io/Logging_PAJALA/tillsynsmail/A 50195-2019.docx", "A 50195-2019")</f>
        <v/>
      </c>
    </row>
    <row r="222" ht="15" customHeight="1">
      <c r="A222" t="inlineStr">
        <is>
          <t>A 52586-2019</t>
        </is>
      </c>
      <c r="B222" s="1" t="n">
        <v>43745</v>
      </c>
      <c r="C222" s="1" t="n">
        <v>45206</v>
      </c>
      <c r="D222" t="inlineStr">
        <is>
          <t>NORRBOTTENS LÄN</t>
        </is>
      </c>
      <c r="E222" t="inlineStr">
        <is>
          <t>BODEN</t>
        </is>
      </c>
      <c r="F222" t="inlineStr">
        <is>
          <t>SCA</t>
        </is>
      </c>
      <c r="G222" t="n">
        <v>3.5</v>
      </c>
      <c r="H222" t="n">
        <v>0</v>
      </c>
      <c r="I222" t="n">
        <v>1</v>
      </c>
      <c r="J222" t="n">
        <v>1</v>
      </c>
      <c r="K222" t="n">
        <v>0</v>
      </c>
      <c r="L222" t="n">
        <v>0</v>
      </c>
      <c r="M222" t="n">
        <v>0</v>
      </c>
      <c r="N222" t="n">
        <v>0</v>
      </c>
      <c r="O222" t="n">
        <v>1</v>
      </c>
      <c r="P222" t="n">
        <v>0</v>
      </c>
      <c r="Q222" t="n">
        <v>2</v>
      </c>
      <c r="R222" s="2" t="inlineStr">
        <is>
          <t>Äggvaxskivling
Grönpyrola</t>
        </is>
      </c>
      <c r="S222">
        <f>HYPERLINK("https://klasma.github.io/Logging_BODEN/artfynd/A 52586-2019.xlsx", "A 52586-2019")</f>
        <v/>
      </c>
      <c r="T222">
        <f>HYPERLINK("https://klasma.github.io/Logging_BODEN/kartor/A 52586-2019.png", "A 52586-2019")</f>
        <v/>
      </c>
      <c r="V222">
        <f>HYPERLINK("https://klasma.github.io/Logging_BODEN/klagomål/A 52586-2019.docx", "A 52586-2019")</f>
        <v/>
      </c>
      <c r="W222">
        <f>HYPERLINK("https://klasma.github.io/Logging_BODEN/klagomålsmail/A 52586-2019.docx", "A 52586-2019")</f>
        <v/>
      </c>
      <c r="X222">
        <f>HYPERLINK("https://klasma.github.io/Logging_BODEN/tillsyn/A 52586-2019.docx", "A 52586-2019")</f>
        <v/>
      </c>
      <c r="Y222">
        <f>HYPERLINK("https://klasma.github.io/Logging_BODEN/tillsynsmail/A 52586-2019.docx", "A 52586-2019")</f>
        <v/>
      </c>
    </row>
    <row r="223" ht="15" customHeight="1">
      <c r="A223" t="inlineStr">
        <is>
          <t>A 55138-2019</t>
        </is>
      </c>
      <c r="B223" s="1" t="n">
        <v>43756</v>
      </c>
      <c r="C223" s="1" t="n">
        <v>45206</v>
      </c>
      <c r="D223" t="inlineStr">
        <is>
          <t>NORRBOTTENS LÄN</t>
        </is>
      </c>
      <c r="E223" t="inlineStr">
        <is>
          <t>GÄLLIVARE</t>
        </is>
      </c>
      <c r="F223" t="inlineStr">
        <is>
          <t>Sveaskog</t>
        </is>
      </c>
      <c r="G223" t="n">
        <v>14</v>
      </c>
      <c r="H223" t="n">
        <v>0</v>
      </c>
      <c r="I223" t="n">
        <v>0</v>
      </c>
      <c r="J223" t="n">
        <v>1</v>
      </c>
      <c r="K223" t="n">
        <v>1</v>
      </c>
      <c r="L223" t="n">
        <v>0</v>
      </c>
      <c r="M223" t="n">
        <v>0</v>
      </c>
      <c r="N223" t="n">
        <v>0</v>
      </c>
      <c r="O223" t="n">
        <v>2</v>
      </c>
      <c r="P223" t="n">
        <v>1</v>
      </c>
      <c r="Q223" t="n">
        <v>2</v>
      </c>
      <c r="R223" s="2" t="inlineStr">
        <is>
          <t>Fläckporing
Talltaggsvamp</t>
        </is>
      </c>
      <c r="S223">
        <f>HYPERLINK("https://klasma.github.io/Logging_GALLIVARE/artfynd/A 55138-2019.xlsx", "A 55138-2019")</f>
        <v/>
      </c>
      <c r="T223">
        <f>HYPERLINK("https://klasma.github.io/Logging_GALLIVARE/kartor/A 55138-2019.png", "A 55138-2019")</f>
        <v/>
      </c>
      <c r="V223">
        <f>HYPERLINK("https://klasma.github.io/Logging_GALLIVARE/klagomål/A 55138-2019.docx", "A 55138-2019")</f>
        <v/>
      </c>
      <c r="W223">
        <f>HYPERLINK("https://klasma.github.io/Logging_GALLIVARE/klagomålsmail/A 55138-2019.docx", "A 55138-2019")</f>
        <v/>
      </c>
      <c r="X223">
        <f>HYPERLINK("https://klasma.github.io/Logging_GALLIVARE/tillsyn/A 55138-2019.docx", "A 55138-2019")</f>
        <v/>
      </c>
      <c r="Y223">
        <f>HYPERLINK("https://klasma.github.io/Logging_GALLIVARE/tillsynsmail/A 55138-2019.docx", "A 55138-2019")</f>
        <v/>
      </c>
    </row>
    <row r="224" ht="15" customHeight="1">
      <c r="A224" t="inlineStr">
        <is>
          <t>A 56355-2019</t>
        </is>
      </c>
      <c r="B224" s="1" t="n">
        <v>43762</v>
      </c>
      <c r="C224" s="1" t="n">
        <v>45206</v>
      </c>
      <c r="D224" t="inlineStr">
        <is>
          <t>NORRBOTTENS LÄN</t>
        </is>
      </c>
      <c r="E224" t="inlineStr">
        <is>
          <t>BODEN</t>
        </is>
      </c>
      <c r="F224" t="inlineStr">
        <is>
          <t>Sveaskog</t>
        </is>
      </c>
      <c r="G224" t="n">
        <v>34.5</v>
      </c>
      <c r="H224" t="n">
        <v>2</v>
      </c>
      <c r="I224" t="n">
        <v>0</v>
      </c>
      <c r="J224" t="n">
        <v>2</v>
      </c>
      <c r="K224" t="n">
        <v>0</v>
      </c>
      <c r="L224" t="n">
        <v>0</v>
      </c>
      <c r="M224" t="n">
        <v>0</v>
      </c>
      <c r="N224" t="n">
        <v>0</v>
      </c>
      <c r="O224" t="n">
        <v>2</v>
      </c>
      <c r="P224" t="n">
        <v>0</v>
      </c>
      <c r="Q224" t="n">
        <v>2</v>
      </c>
      <c r="R224" s="2" t="inlineStr">
        <is>
          <t>Spillkråka
Talltita</t>
        </is>
      </c>
      <c r="S224">
        <f>HYPERLINK("https://klasma.github.io/Logging_BODEN/artfynd/A 56355-2019.xlsx", "A 56355-2019")</f>
        <v/>
      </c>
      <c r="T224">
        <f>HYPERLINK("https://klasma.github.io/Logging_BODEN/kartor/A 56355-2019.png", "A 56355-2019")</f>
        <v/>
      </c>
      <c r="V224">
        <f>HYPERLINK("https://klasma.github.io/Logging_BODEN/klagomål/A 56355-2019.docx", "A 56355-2019")</f>
        <v/>
      </c>
      <c r="W224">
        <f>HYPERLINK("https://klasma.github.io/Logging_BODEN/klagomålsmail/A 56355-2019.docx", "A 56355-2019")</f>
        <v/>
      </c>
      <c r="X224">
        <f>HYPERLINK("https://klasma.github.io/Logging_BODEN/tillsyn/A 56355-2019.docx", "A 56355-2019")</f>
        <v/>
      </c>
      <c r="Y224">
        <f>HYPERLINK("https://klasma.github.io/Logging_BODEN/tillsynsmail/A 56355-2019.docx", "A 56355-2019")</f>
        <v/>
      </c>
    </row>
    <row r="225" ht="15" customHeight="1">
      <c r="A225" t="inlineStr">
        <is>
          <t>A 57990-2019</t>
        </is>
      </c>
      <c r="B225" s="1" t="n">
        <v>43769</v>
      </c>
      <c r="C225" s="1" t="n">
        <v>45206</v>
      </c>
      <c r="D225" t="inlineStr">
        <is>
          <t>NORRBOTTENS LÄN</t>
        </is>
      </c>
      <c r="E225" t="inlineStr">
        <is>
          <t>PAJALA</t>
        </is>
      </c>
      <c r="F225" t="inlineStr">
        <is>
          <t>Sveaskog</t>
        </is>
      </c>
      <c r="G225" t="n">
        <v>30.9</v>
      </c>
      <c r="H225" t="n">
        <v>1</v>
      </c>
      <c r="I225" t="n">
        <v>0</v>
      </c>
      <c r="J225" t="n">
        <v>1</v>
      </c>
      <c r="K225" t="n">
        <v>0</v>
      </c>
      <c r="L225" t="n">
        <v>0</v>
      </c>
      <c r="M225" t="n">
        <v>0</v>
      </c>
      <c r="N225" t="n">
        <v>0</v>
      </c>
      <c r="O225" t="n">
        <v>1</v>
      </c>
      <c r="P225" t="n">
        <v>0</v>
      </c>
      <c r="Q225" t="n">
        <v>2</v>
      </c>
      <c r="R225" s="2" t="inlineStr">
        <is>
          <t>Gammelgransskål
Fläcknycklar</t>
        </is>
      </c>
      <c r="S225">
        <f>HYPERLINK("https://klasma.github.io/Logging_PAJALA/artfynd/A 57990-2019.xlsx", "A 57990-2019")</f>
        <v/>
      </c>
      <c r="T225">
        <f>HYPERLINK("https://klasma.github.io/Logging_PAJALA/kartor/A 57990-2019.png", "A 57990-2019")</f>
        <v/>
      </c>
      <c r="V225">
        <f>HYPERLINK("https://klasma.github.io/Logging_PAJALA/klagomål/A 57990-2019.docx", "A 57990-2019")</f>
        <v/>
      </c>
      <c r="W225">
        <f>HYPERLINK("https://klasma.github.io/Logging_PAJALA/klagomålsmail/A 57990-2019.docx", "A 57990-2019")</f>
        <v/>
      </c>
      <c r="X225">
        <f>HYPERLINK("https://klasma.github.io/Logging_PAJALA/tillsyn/A 57990-2019.docx", "A 57990-2019")</f>
        <v/>
      </c>
      <c r="Y225">
        <f>HYPERLINK("https://klasma.github.io/Logging_PAJALA/tillsynsmail/A 57990-2019.docx", "A 57990-2019")</f>
        <v/>
      </c>
    </row>
    <row r="226" ht="15" customHeight="1">
      <c r="A226" t="inlineStr">
        <is>
          <t>A 59350-2019</t>
        </is>
      </c>
      <c r="B226" s="1" t="n">
        <v>43773</v>
      </c>
      <c r="C226" s="1" t="n">
        <v>45206</v>
      </c>
      <c r="D226" t="inlineStr">
        <is>
          <t>NORRBOTTENS LÄN</t>
        </is>
      </c>
      <c r="E226" t="inlineStr">
        <is>
          <t>GÄLLIVARE</t>
        </is>
      </c>
      <c r="G226" t="n">
        <v>7.7</v>
      </c>
      <c r="H226" t="n">
        <v>0</v>
      </c>
      <c r="I226" t="n">
        <v>1</v>
      </c>
      <c r="J226" t="n">
        <v>1</v>
      </c>
      <c r="K226" t="n">
        <v>0</v>
      </c>
      <c r="L226" t="n">
        <v>0</v>
      </c>
      <c r="M226" t="n">
        <v>0</v>
      </c>
      <c r="N226" t="n">
        <v>0</v>
      </c>
      <c r="O226" t="n">
        <v>1</v>
      </c>
      <c r="P226" t="n">
        <v>0</v>
      </c>
      <c r="Q226" t="n">
        <v>2</v>
      </c>
      <c r="R226" s="2" t="inlineStr">
        <is>
          <t>Garnlav
Bårdlav</t>
        </is>
      </c>
      <c r="S226">
        <f>HYPERLINK("https://klasma.github.io/Logging_GALLIVARE/artfynd/A 59350-2019.xlsx", "A 59350-2019")</f>
        <v/>
      </c>
      <c r="T226">
        <f>HYPERLINK("https://klasma.github.io/Logging_GALLIVARE/kartor/A 59350-2019.png", "A 59350-2019")</f>
        <v/>
      </c>
      <c r="V226">
        <f>HYPERLINK("https://klasma.github.io/Logging_GALLIVARE/klagomål/A 59350-2019.docx", "A 59350-2019")</f>
        <v/>
      </c>
      <c r="W226">
        <f>HYPERLINK("https://klasma.github.io/Logging_GALLIVARE/klagomålsmail/A 59350-2019.docx", "A 59350-2019")</f>
        <v/>
      </c>
      <c r="X226">
        <f>HYPERLINK("https://klasma.github.io/Logging_GALLIVARE/tillsyn/A 59350-2019.docx", "A 59350-2019")</f>
        <v/>
      </c>
      <c r="Y226">
        <f>HYPERLINK("https://klasma.github.io/Logging_GALLIVARE/tillsynsmail/A 59350-2019.docx", "A 59350-2019")</f>
        <v/>
      </c>
    </row>
    <row r="227" ht="15" customHeight="1">
      <c r="A227" t="inlineStr">
        <is>
          <t>A 60777-2019</t>
        </is>
      </c>
      <c r="B227" s="1" t="n">
        <v>43777</v>
      </c>
      <c r="C227" s="1" t="n">
        <v>45206</v>
      </c>
      <c r="D227" t="inlineStr">
        <is>
          <t>NORRBOTTENS LÄN</t>
        </is>
      </c>
      <c r="E227" t="inlineStr">
        <is>
          <t>KIRUNA</t>
        </is>
      </c>
      <c r="G227" t="n">
        <v>4.9</v>
      </c>
      <c r="H227" t="n">
        <v>0</v>
      </c>
      <c r="I227" t="n">
        <v>0</v>
      </c>
      <c r="J227" t="n">
        <v>2</v>
      </c>
      <c r="K227" t="n">
        <v>0</v>
      </c>
      <c r="L227" t="n">
        <v>0</v>
      </c>
      <c r="M227" t="n">
        <v>0</v>
      </c>
      <c r="N227" t="n">
        <v>0</v>
      </c>
      <c r="O227" t="n">
        <v>2</v>
      </c>
      <c r="P227" t="n">
        <v>0</v>
      </c>
      <c r="Q227" t="n">
        <v>2</v>
      </c>
      <c r="R227" s="2" t="inlineStr">
        <is>
          <t>Granticka
Ullticka</t>
        </is>
      </c>
      <c r="S227">
        <f>HYPERLINK("https://klasma.github.io/Logging_KIRUNA/artfynd/A 60777-2019.xlsx", "A 60777-2019")</f>
        <v/>
      </c>
      <c r="T227">
        <f>HYPERLINK("https://klasma.github.io/Logging_KIRUNA/kartor/A 60777-2019.png", "A 60777-2019")</f>
        <v/>
      </c>
      <c r="V227">
        <f>HYPERLINK("https://klasma.github.io/Logging_KIRUNA/klagomål/A 60777-2019.docx", "A 60777-2019")</f>
        <v/>
      </c>
      <c r="W227">
        <f>HYPERLINK("https://klasma.github.io/Logging_KIRUNA/klagomålsmail/A 60777-2019.docx", "A 60777-2019")</f>
        <v/>
      </c>
      <c r="X227">
        <f>HYPERLINK("https://klasma.github.io/Logging_KIRUNA/tillsyn/A 60777-2019.docx", "A 60777-2019")</f>
        <v/>
      </c>
      <c r="Y227">
        <f>HYPERLINK("https://klasma.github.io/Logging_KIRUNA/tillsynsmail/A 60777-2019.docx", "A 60777-2019")</f>
        <v/>
      </c>
    </row>
    <row r="228" ht="15" customHeight="1">
      <c r="A228" t="inlineStr">
        <is>
          <t>A 63693-2019</t>
        </is>
      </c>
      <c r="B228" s="1" t="n">
        <v>43789</v>
      </c>
      <c r="C228" s="1" t="n">
        <v>45206</v>
      </c>
      <c r="D228" t="inlineStr">
        <is>
          <t>NORRBOTTENS LÄN</t>
        </is>
      </c>
      <c r="E228" t="inlineStr">
        <is>
          <t>ÖVERKALIX</t>
        </is>
      </c>
      <c r="F228" t="inlineStr">
        <is>
          <t>SCA</t>
        </is>
      </c>
      <c r="G228" t="n">
        <v>10</v>
      </c>
      <c r="H228" t="n">
        <v>2</v>
      </c>
      <c r="I228" t="n">
        <v>0</v>
      </c>
      <c r="J228" t="n">
        <v>0</v>
      </c>
      <c r="K228" t="n">
        <v>2</v>
      </c>
      <c r="L228" t="n">
        <v>0</v>
      </c>
      <c r="M228" t="n">
        <v>0</v>
      </c>
      <c r="N228" t="n">
        <v>0</v>
      </c>
      <c r="O228" t="n">
        <v>2</v>
      </c>
      <c r="P228" t="n">
        <v>2</v>
      </c>
      <c r="Q228" t="n">
        <v>2</v>
      </c>
      <c r="R228" s="2" t="inlineStr">
        <is>
          <t>Doftticka
Knärot</t>
        </is>
      </c>
      <c r="S228">
        <f>HYPERLINK("https://klasma.github.io/Logging_OVERKALIX/artfynd/A 63693-2019.xlsx", "A 63693-2019")</f>
        <v/>
      </c>
      <c r="T228">
        <f>HYPERLINK("https://klasma.github.io/Logging_OVERKALIX/kartor/A 63693-2019.png", "A 63693-2019")</f>
        <v/>
      </c>
      <c r="U228">
        <f>HYPERLINK("https://klasma.github.io/Logging_OVERKALIX/knärot/A 63693-2019.png", "A 63693-2019")</f>
        <v/>
      </c>
      <c r="V228">
        <f>HYPERLINK("https://klasma.github.io/Logging_OVERKALIX/klagomål/A 63693-2019.docx", "A 63693-2019")</f>
        <v/>
      </c>
      <c r="W228">
        <f>HYPERLINK("https://klasma.github.io/Logging_OVERKALIX/klagomålsmail/A 63693-2019.docx", "A 63693-2019")</f>
        <v/>
      </c>
      <c r="X228">
        <f>HYPERLINK("https://klasma.github.io/Logging_OVERKALIX/tillsyn/A 63693-2019.docx", "A 63693-2019")</f>
        <v/>
      </c>
      <c r="Y228">
        <f>HYPERLINK("https://klasma.github.io/Logging_OVERKALIX/tillsynsmail/A 63693-2019.docx", "A 63693-2019")</f>
        <v/>
      </c>
    </row>
    <row r="229" ht="15" customHeight="1">
      <c r="A229" t="inlineStr">
        <is>
          <t>A 66423-2019</t>
        </is>
      </c>
      <c r="B229" s="1" t="n">
        <v>43802</v>
      </c>
      <c r="C229" s="1" t="n">
        <v>45206</v>
      </c>
      <c r="D229" t="inlineStr">
        <is>
          <t>NORRBOTTENS LÄN</t>
        </is>
      </c>
      <c r="E229" t="inlineStr">
        <is>
          <t>PITEÅ</t>
        </is>
      </c>
      <c r="G229" t="n">
        <v>4.8</v>
      </c>
      <c r="H229" t="n">
        <v>1</v>
      </c>
      <c r="I229" t="n">
        <v>0</v>
      </c>
      <c r="J229" t="n">
        <v>2</v>
      </c>
      <c r="K229" t="n">
        <v>0</v>
      </c>
      <c r="L229" t="n">
        <v>0</v>
      </c>
      <c r="M229" t="n">
        <v>0</v>
      </c>
      <c r="N229" t="n">
        <v>0</v>
      </c>
      <c r="O229" t="n">
        <v>2</v>
      </c>
      <c r="P229" t="n">
        <v>0</v>
      </c>
      <c r="Q229" t="n">
        <v>2</v>
      </c>
      <c r="R229" s="2" t="inlineStr">
        <is>
          <t>Spillkråka
Tallticka</t>
        </is>
      </c>
      <c r="S229">
        <f>HYPERLINK("https://klasma.github.io/Logging_PITEA/artfynd/A 66423-2019.xlsx", "A 66423-2019")</f>
        <v/>
      </c>
      <c r="T229">
        <f>HYPERLINK("https://klasma.github.io/Logging_PITEA/kartor/A 66423-2019.png", "A 66423-2019")</f>
        <v/>
      </c>
      <c r="V229">
        <f>HYPERLINK("https://klasma.github.io/Logging_PITEA/klagomål/A 66423-2019.docx", "A 66423-2019")</f>
        <v/>
      </c>
      <c r="W229">
        <f>HYPERLINK("https://klasma.github.io/Logging_PITEA/klagomålsmail/A 66423-2019.docx", "A 66423-2019")</f>
        <v/>
      </c>
      <c r="X229">
        <f>HYPERLINK("https://klasma.github.io/Logging_PITEA/tillsyn/A 66423-2019.docx", "A 66423-2019")</f>
        <v/>
      </c>
      <c r="Y229">
        <f>HYPERLINK("https://klasma.github.io/Logging_PITEA/tillsynsmail/A 66423-2019.docx", "A 66423-2019")</f>
        <v/>
      </c>
    </row>
    <row r="230" ht="15" customHeight="1">
      <c r="A230" t="inlineStr">
        <is>
          <t>A 8612-2020</t>
        </is>
      </c>
      <c r="B230" s="1" t="n">
        <v>43875</v>
      </c>
      <c r="C230" s="1" t="n">
        <v>45206</v>
      </c>
      <c r="D230" t="inlineStr">
        <is>
          <t>NORRBOTTENS LÄN</t>
        </is>
      </c>
      <c r="E230" t="inlineStr">
        <is>
          <t>ÄLVSBYN</t>
        </is>
      </c>
      <c r="G230" t="n">
        <v>1</v>
      </c>
      <c r="H230" t="n">
        <v>0</v>
      </c>
      <c r="I230" t="n">
        <v>0</v>
      </c>
      <c r="J230" t="n">
        <v>0</v>
      </c>
      <c r="K230" t="n">
        <v>2</v>
      </c>
      <c r="L230" t="n">
        <v>0</v>
      </c>
      <c r="M230" t="n">
        <v>0</v>
      </c>
      <c r="N230" t="n">
        <v>0</v>
      </c>
      <c r="O230" t="n">
        <v>2</v>
      </c>
      <c r="P230" t="n">
        <v>2</v>
      </c>
      <c r="Q230" t="n">
        <v>2</v>
      </c>
      <c r="R230" s="2" t="inlineStr">
        <is>
          <t>Rotfingersvamp
Smalfotad taggsvamp</t>
        </is>
      </c>
      <c r="S230">
        <f>HYPERLINK("https://klasma.github.io/Logging_ALVSBYN/artfynd/A 8612-2020.xlsx", "A 8612-2020")</f>
        <v/>
      </c>
      <c r="T230">
        <f>HYPERLINK("https://klasma.github.io/Logging_ALVSBYN/kartor/A 8612-2020.png", "A 8612-2020")</f>
        <v/>
      </c>
      <c r="V230">
        <f>HYPERLINK("https://klasma.github.io/Logging_ALVSBYN/klagomål/A 8612-2020.docx", "A 8612-2020")</f>
        <v/>
      </c>
      <c r="W230">
        <f>HYPERLINK("https://klasma.github.io/Logging_ALVSBYN/klagomålsmail/A 8612-2020.docx", "A 8612-2020")</f>
        <v/>
      </c>
      <c r="X230">
        <f>HYPERLINK("https://klasma.github.io/Logging_ALVSBYN/tillsyn/A 8612-2020.docx", "A 8612-2020")</f>
        <v/>
      </c>
      <c r="Y230">
        <f>HYPERLINK("https://klasma.github.io/Logging_ALVSBYN/tillsynsmail/A 8612-2020.docx", "A 8612-2020")</f>
        <v/>
      </c>
    </row>
    <row r="231" ht="15" customHeight="1">
      <c r="A231" t="inlineStr">
        <is>
          <t>A 13143-2020</t>
        </is>
      </c>
      <c r="B231" s="1" t="n">
        <v>43901</v>
      </c>
      <c r="C231" s="1" t="n">
        <v>45206</v>
      </c>
      <c r="D231" t="inlineStr">
        <is>
          <t>NORRBOTTENS LÄN</t>
        </is>
      </c>
      <c r="E231" t="inlineStr">
        <is>
          <t>ÖVERKALIX</t>
        </is>
      </c>
      <c r="F231" t="inlineStr">
        <is>
          <t>Sveaskog</t>
        </is>
      </c>
      <c r="G231" t="n">
        <v>40.5</v>
      </c>
      <c r="H231" t="n">
        <v>0</v>
      </c>
      <c r="I231" t="n">
        <v>0</v>
      </c>
      <c r="J231" t="n">
        <v>2</v>
      </c>
      <c r="K231" t="n">
        <v>0</v>
      </c>
      <c r="L231" t="n">
        <v>0</v>
      </c>
      <c r="M231" t="n">
        <v>0</v>
      </c>
      <c r="N231" t="n">
        <v>0</v>
      </c>
      <c r="O231" t="n">
        <v>2</v>
      </c>
      <c r="P231" t="n">
        <v>0</v>
      </c>
      <c r="Q231" t="n">
        <v>2</v>
      </c>
      <c r="R231" s="2" t="inlineStr">
        <is>
          <t>Gammelgransskål
Tallticka</t>
        </is>
      </c>
      <c r="S231">
        <f>HYPERLINK("https://klasma.github.io/Logging_OVERKALIX/artfynd/A 13143-2020.xlsx", "A 13143-2020")</f>
        <v/>
      </c>
      <c r="T231">
        <f>HYPERLINK("https://klasma.github.io/Logging_OVERKALIX/kartor/A 13143-2020.png", "A 13143-2020")</f>
        <v/>
      </c>
      <c r="V231">
        <f>HYPERLINK("https://klasma.github.io/Logging_OVERKALIX/klagomål/A 13143-2020.docx", "A 13143-2020")</f>
        <v/>
      </c>
      <c r="W231">
        <f>HYPERLINK("https://klasma.github.io/Logging_OVERKALIX/klagomålsmail/A 13143-2020.docx", "A 13143-2020")</f>
        <v/>
      </c>
      <c r="X231">
        <f>HYPERLINK("https://klasma.github.io/Logging_OVERKALIX/tillsyn/A 13143-2020.docx", "A 13143-2020")</f>
        <v/>
      </c>
      <c r="Y231">
        <f>HYPERLINK("https://klasma.github.io/Logging_OVERKALIX/tillsynsmail/A 13143-2020.docx", "A 13143-2020")</f>
        <v/>
      </c>
    </row>
    <row r="232" ht="15" customHeight="1">
      <c r="A232" t="inlineStr">
        <is>
          <t>A 14504-2020</t>
        </is>
      </c>
      <c r="B232" s="1" t="n">
        <v>43902</v>
      </c>
      <c r="C232" s="1" t="n">
        <v>45206</v>
      </c>
      <c r="D232" t="inlineStr">
        <is>
          <t>NORRBOTTENS LÄN</t>
        </is>
      </c>
      <c r="E232" t="inlineStr">
        <is>
          <t>PITEÅ</t>
        </is>
      </c>
      <c r="G232" t="n">
        <v>11.9</v>
      </c>
      <c r="H232" t="n">
        <v>2</v>
      </c>
      <c r="I232" t="n">
        <v>0</v>
      </c>
      <c r="J232" t="n">
        <v>1</v>
      </c>
      <c r="K232" t="n">
        <v>1</v>
      </c>
      <c r="L232" t="n">
        <v>0</v>
      </c>
      <c r="M232" t="n">
        <v>0</v>
      </c>
      <c r="N232" t="n">
        <v>0</v>
      </c>
      <c r="O232" t="n">
        <v>2</v>
      </c>
      <c r="P232" t="n">
        <v>1</v>
      </c>
      <c r="Q232" t="n">
        <v>2</v>
      </c>
      <c r="R232" s="2" t="inlineStr">
        <is>
          <t>Knärot
Tretåig hackspett</t>
        </is>
      </c>
      <c r="S232">
        <f>HYPERLINK("https://klasma.github.io/Logging_PITEA/artfynd/A 14504-2020.xlsx", "A 14504-2020")</f>
        <v/>
      </c>
      <c r="T232">
        <f>HYPERLINK("https://klasma.github.io/Logging_PITEA/kartor/A 14504-2020.png", "A 14504-2020")</f>
        <v/>
      </c>
      <c r="U232">
        <f>HYPERLINK("https://klasma.github.io/Logging_PITEA/knärot/A 14504-2020.png", "A 14504-2020")</f>
        <v/>
      </c>
      <c r="V232">
        <f>HYPERLINK("https://klasma.github.io/Logging_PITEA/klagomål/A 14504-2020.docx", "A 14504-2020")</f>
        <v/>
      </c>
      <c r="W232">
        <f>HYPERLINK("https://klasma.github.io/Logging_PITEA/klagomålsmail/A 14504-2020.docx", "A 14504-2020")</f>
        <v/>
      </c>
      <c r="X232">
        <f>HYPERLINK("https://klasma.github.io/Logging_PITEA/tillsyn/A 14504-2020.docx", "A 14504-2020")</f>
        <v/>
      </c>
      <c r="Y232">
        <f>HYPERLINK("https://klasma.github.io/Logging_PITEA/tillsynsmail/A 14504-2020.docx", "A 14504-2020")</f>
        <v/>
      </c>
    </row>
    <row r="233" ht="15" customHeight="1">
      <c r="A233" t="inlineStr">
        <is>
          <t>A 33033-2020</t>
        </is>
      </c>
      <c r="B233" s="1" t="n">
        <v>44021</v>
      </c>
      <c r="C233" s="1" t="n">
        <v>45206</v>
      </c>
      <c r="D233" t="inlineStr">
        <is>
          <t>NORRBOTTENS LÄN</t>
        </is>
      </c>
      <c r="E233" t="inlineStr">
        <is>
          <t>PAJALA</t>
        </is>
      </c>
      <c r="F233" t="inlineStr">
        <is>
          <t>Sveaskog</t>
        </is>
      </c>
      <c r="G233" t="n">
        <v>18</v>
      </c>
      <c r="H233" t="n">
        <v>0</v>
      </c>
      <c r="I233" t="n">
        <v>1</v>
      </c>
      <c r="J233" t="n">
        <v>1</v>
      </c>
      <c r="K233" t="n">
        <v>0</v>
      </c>
      <c r="L233" t="n">
        <v>0</v>
      </c>
      <c r="M233" t="n">
        <v>0</v>
      </c>
      <c r="N233" t="n">
        <v>0</v>
      </c>
      <c r="O233" t="n">
        <v>1</v>
      </c>
      <c r="P233" t="n">
        <v>0</v>
      </c>
      <c r="Q233" t="n">
        <v>2</v>
      </c>
      <c r="R233" s="2" t="inlineStr">
        <is>
          <t>Vitplätt
Vedticka</t>
        </is>
      </c>
      <c r="S233">
        <f>HYPERLINK("https://klasma.github.io/Logging_PAJALA/artfynd/A 33033-2020.xlsx", "A 33033-2020")</f>
        <v/>
      </c>
      <c r="T233">
        <f>HYPERLINK("https://klasma.github.io/Logging_PAJALA/kartor/A 33033-2020.png", "A 33033-2020")</f>
        <v/>
      </c>
      <c r="V233">
        <f>HYPERLINK("https://klasma.github.io/Logging_PAJALA/klagomål/A 33033-2020.docx", "A 33033-2020")</f>
        <v/>
      </c>
      <c r="W233">
        <f>HYPERLINK("https://klasma.github.io/Logging_PAJALA/klagomålsmail/A 33033-2020.docx", "A 33033-2020")</f>
        <v/>
      </c>
      <c r="X233">
        <f>HYPERLINK("https://klasma.github.io/Logging_PAJALA/tillsyn/A 33033-2020.docx", "A 33033-2020")</f>
        <v/>
      </c>
      <c r="Y233">
        <f>HYPERLINK("https://klasma.github.io/Logging_PAJALA/tillsynsmail/A 33033-2020.docx", "A 33033-2020")</f>
        <v/>
      </c>
    </row>
    <row r="234" ht="15" customHeight="1">
      <c r="A234" t="inlineStr">
        <is>
          <t>A 39595-2020</t>
        </is>
      </c>
      <c r="B234" s="1" t="n">
        <v>44064</v>
      </c>
      <c r="C234" s="1" t="n">
        <v>45206</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HYPERLINK("https://klasma.github.io/Logging_BODEN/artfynd/A 39595-2020.xlsx", "A 39595-2020")</f>
        <v/>
      </c>
      <c r="T234">
        <f>HYPERLINK("https://klasma.github.io/Logging_BODEN/kartor/A 39595-2020.png", "A 39595-2020")</f>
        <v/>
      </c>
      <c r="U234">
        <f>HYPERLINK("https://klasma.github.io/Logging_BODEN/knärot/A 39595-2020.png", "A 39595-2020")</f>
        <v/>
      </c>
      <c r="V234">
        <f>HYPERLINK("https://klasma.github.io/Logging_BODEN/klagomål/A 39595-2020.docx", "A 39595-2020")</f>
        <v/>
      </c>
      <c r="W234">
        <f>HYPERLINK("https://klasma.github.io/Logging_BODEN/klagomålsmail/A 39595-2020.docx", "A 39595-2020")</f>
        <v/>
      </c>
      <c r="X234">
        <f>HYPERLINK("https://klasma.github.io/Logging_BODEN/tillsyn/A 39595-2020.docx", "A 39595-2020")</f>
        <v/>
      </c>
      <c r="Y234">
        <f>HYPERLINK("https://klasma.github.io/Logging_BODEN/tillsynsmail/A 39595-2020.docx", "A 39595-2020")</f>
        <v/>
      </c>
    </row>
    <row r="235" ht="15" customHeight="1">
      <c r="A235" t="inlineStr">
        <is>
          <t>A 42855-2020</t>
        </is>
      </c>
      <c r="B235" s="1" t="n">
        <v>44078</v>
      </c>
      <c r="C235" s="1" t="n">
        <v>45206</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HYPERLINK("https://klasma.github.io/Logging_PAJALA/artfynd/A 42855-2020.xlsx", "A 42855-2020")</f>
        <v/>
      </c>
      <c r="T235">
        <f>HYPERLINK("https://klasma.github.io/Logging_PAJALA/kartor/A 42855-2020.png", "A 42855-2020")</f>
        <v/>
      </c>
      <c r="V235">
        <f>HYPERLINK("https://klasma.github.io/Logging_PAJALA/klagomål/A 42855-2020.docx", "A 42855-2020")</f>
        <v/>
      </c>
      <c r="W235">
        <f>HYPERLINK("https://klasma.github.io/Logging_PAJALA/klagomålsmail/A 42855-2020.docx", "A 42855-2020")</f>
        <v/>
      </c>
      <c r="X235">
        <f>HYPERLINK("https://klasma.github.io/Logging_PAJALA/tillsyn/A 42855-2020.docx", "A 42855-2020")</f>
        <v/>
      </c>
      <c r="Y235">
        <f>HYPERLINK("https://klasma.github.io/Logging_PAJALA/tillsynsmail/A 42855-2020.docx", "A 42855-2020")</f>
        <v/>
      </c>
    </row>
    <row r="236" ht="15" customHeight="1">
      <c r="A236" t="inlineStr">
        <is>
          <t>A 43635-2020</t>
        </is>
      </c>
      <c r="B236" s="1" t="n">
        <v>44082</v>
      </c>
      <c r="C236" s="1" t="n">
        <v>45206</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HYPERLINK("https://klasma.github.io/Logging_BODEN/artfynd/A 43635-2020.xlsx", "A 43635-2020")</f>
        <v/>
      </c>
      <c r="T236">
        <f>HYPERLINK("https://klasma.github.io/Logging_BODEN/kartor/A 43635-2020.png", "A 43635-2020")</f>
        <v/>
      </c>
      <c r="V236">
        <f>HYPERLINK("https://klasma.github.io/Logging_BODEN/klagomål/A 43635-2020.docx", "A 43635-2020")</f>
        <v/>
      </c>
      <c r="W236">
        <f>HYPERLINK("https://klasma.github.io/Logging_BODEN/klagomålsmail/A 43635-2020.docx", "A 43635-2020")</f>
        <v/>
      </c>
      <c r="X236">
        <f>HYPERLINK("https://klasma.github.io/Logging_BODEN/tillsyn/A 43635-2020.docx", "A 43635-2020")</f>
        <v/>
      </c>
      <c r="Y236">
        <f>HYPERLINK("https://klasma.github.io/Logging_BODEN/tillsynsmail/A 43635-2020.docx", "A 43635-2020")</f>
        <v/>
      </c>
    </row>
    <row r="237" ht="15" customHeight="1">
      <c r="A237" t="inlineStr">
        <is>
          <t>A 51552-2020</t>
        </is>
      </c>
      <c r="B237" s="1" t="n">
        <v>44113</v>
      </c>
      <c r="C237" s="1" t="n">
        <v>45206</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HYPERLINK("https://klasma.github.io/Logging_OVERKALIX/artfynd/A 51552-2020.xlsx", "A 51552-2020")</f>
        <v/>
      </c>
      <c r="T237">
        <f>HYPERLINK("https://klasma.github.io/Logging_OVERKALIX/kartor/A 51552-2020.png", "A 51552-2020")</f>
        <v/>
      </c>
      <c r="V237">
        <f>HYPERLINK("https://klasma.github.io/Logging_OVERKALIX/klagomål/A 51552-2020.docx", "A 51552-2020")</f>
        <v/>
      </c>
      <c r="W237">
        <f>HYPERLINK("https://klasma.github.io/Logging_OVERKALIX/klagomålsmail/A 51552-2020.docx", "A 51552-2020")</f>
        <v/>
      </c>
      <c r="X237">
        <f>HYPERLINK("https://klasma.github.io/Logging_OVERKALIX/tillsyn/A 51552-2020.docx", "A 51552-2020")</f>
        <v/>
      </c>
      <c r="Y237">
        <f>HYPERLINK("https://klasma.github.io/Logging_OVERKALIX/tillsynsmail/A 51552-2020.docx", "A 51552-2020")</f>
        <v/>
      </c>
    </row>
    <row r="238" ht="15" customHeight="1">
      <c r="A238" t="inlineStr">
        <is>
          <t>A 53419-2020</t>
        </is>
      </c>
      <c r="B238" s="1" t="n">
        <v>44123</v>
      </c>
      <c r="C238" s="1" t="n">
        <v>45206</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HYPERLINK("https://klasma.github.io/Logging_KALIX/artfynd/A 53419-2020.xlsx", "A 53419-2020")</f>
        <v/>
      </c>
      <c r="T238">
        <f>HYPERLINK("https://klasma.github.io/Logging_KALIX/kartor/A 53419-2020.png", "A 53419-2020")</f>
        <v/>
      </c>
      <c r="V238">
        <f>HYPERLINK("https://klasma.github.io/Logging_KALIX/klagomål/A 53419-2020.docx", "A 53419-2020")</f>
        <v/>
      </c>
      <c r="W238">
        <f>HYPERLINK("https://klasma.github.io/Logging_KALIX/klagomålsmail/A 53419-2020.docx", "A 53419-2020")</f>
        <v/>
      </c>
      <c r="X238">
        <f>HYPERLINK("https://klasma.github.io/Logging_KALIX/tillsyn/A 53419-2020.docx", "A 53419-2020")</f>
        <v/>
      </c>
      <c r="Y238">
        <f>HYPERLINK("https://klasma.github.io/Logging_KALIX/tillsynsmail/A 53419-2020.docx", "A 53419-2020")</f>
        <v/>
      </c>
    </row>
    <row r="239" ht="15" customHeight="1">
      <c r="A239" t="inlineStr">
        <is>
          <t>A 63621-2020</t>
        </is>
      </c>
      <c r="B239" s="1" t="n">
        <v>44165</v>
      </c>
      <c r="C239" s="1" t="n">
        <v>45206</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HYPERLINK("https://klasma.github.io/Logging_BODEN/artfynd/A 63621-2020.xlsx", "A 63621-2020")</f>
        <v/>
      </c>
      <c r="T239">
        <f>HYPERLINK("https://klasma.github.io/Logging_BODEN/kartor/A 63621-2020.png", "A 63621-2020")</f>
        <v/>
      </c>
      <c r="V239">
        <f>HYPERLINK("https://klasma.github.io/Logging_BODEN/klagomål/A 63621-2020.docx", "A 63621-2020")</f>
        <v/>
      </c>
      <c r="W239">
        <f>HYPERLINK("https://klasma.github.io/Logging_BODEN/klagomålsmail/A 63621-2020.docx", "A 63621-2020")</f>
        <v/>
      </c>
      <c r="X239">
        <f>HYPERLINK("https://klasma.github.io/Logging_BODEN/tillsyn/A 63621-2020.docx", "A 63621-2020")</f>
        <v/>
      </c>
      <c r="Y239">
        <f>HYPERLINK("https://klasma.github.io/Logging_BODEN/tillsynsmail/A 63621-2020.docx", "A 63621-2020")</f>
        <v/>
      </c>
    </row>
    <row r="240" ht="15" customHeight="1">
      <c r="A240" t="inlineStr">
        <is>
          <t>A 64565-2020</t>
        </is>
      </c>
      <c r="B240" s="1" t="n">
        <v>44166</v>
      </c>
      <c r="C240" s="1" t="n">
        <v>45206</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HYPERLINK("https://klasma.github.io/Logging_BODEN/artfynd/A 64565-2020.xlsx", "A 64565-2020")</f>
        <v/>
      </c>
      <c r="T240">
        <f>HYPERLINK("https://klasma.github.io/Logging_BODEN/kartor/A 64565-2020.png", "A 64565-2020")</f>
        <v/>
      </c>
      <c r="V240">
        <f>HYPERLINK("https://klasma.github.io/Logging_BODEN/klagomål/A 64565-2020.docx", "A 64565-2020")</f>
        <v/>
      </c>
      <c r="W240">
        <f>HYPERLINK("https://klasma.github.io/Logging_BODEN/klagomålsmail/A 64565-2020.docx", "A 64565-2020")</f>
        <v/>
      </c>
      <c r="X240">
        <f>HYPERLINK("https://klasma.github.io/Logging_BODEN/tillsyn/A 64565-2020.docx", "A 64565-2020")</f>
        <v/>
      </c>
      <c r="Y240">
        <f>HYPERLINK("https://klasma.github.io/Logging_BODEN/tillsynsmail/A 64565-2020.docx", "A 64565-2020")</f>
        <v/>
      </c>
    </row>
    <row r="241" ht="15" customHeight="1">
      <c r="A241" t="inlineStr">
        <is>
          <t>A 69475-2020</t>
        </is>
      </c>
      <c r="B241" s="1" t="n">
        <v>44193</v>
      </c>
      <c r="C241" s="1" t="n">
        <v>45206</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HYPERLINK("https://klasma.github.io/Logging_PITEA/artfynd/A 69475-2020.xlsx", "A 69475-2020")</f>
        <v/>
      </c>
      <c r="T241">
        <f>HYPERLINK("https://klasma.github.io/Logging_PITEA/kartor/A 69475-2020.png", "A 69475-2020")</f>
        <v/>
      </c>
      <c r="V241">
        <f>HYPERLINK("https://klasma.github.io/Logging_PITEA/klagomål/A 69475-2020.docx", "A 69475-2020")</f>
        <v/>
      </c>
      <c r="W241">
        <f>HYPERLINK("https://klasma.github.io/Logging_PITEA/klagomålsmail/A 69475-2020.docx", "A 69475-2020")</f>
        <v/>
      </c>
      <c r="X241">
        <f>HYPERLINK("https://klasma.github.io/Logging_PITEA/tillsyn/A 69475-2020.docx", "A 69475-2020")</f>
        <v/>
      </c>
      <c r="Y241">
        <f>HYPERLINK("https://klasma.github.io/Logging_PITEA/tillsynsmail/A 69475-2020.docx", "A 69475-2020")</f>
        <v/>
      </c>
    </row>
    <row r="242" ht="15" customHeight="1">
      <c r="A242" t="inlineStr">
        <is>
          <t>A 14684-2021</t>
        </is>
      </c>
      <c r="B242" s="1" t="n">
        <v>44280</v>
      </c>
      <c r="C242" s="1" t="n">
        <v>45206</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HYPERLINK("https://klasma.github.io/Logging_ARJEPLOG/artfynd/A 14684-2021.xlsx", "A 14684-2021")</f>
        <v/>
      </c>
      <c r="T242">
        <f>HYPERLINK("https://klasma.github.io/Logging_ARJEPLOG/kartor/A 14684-2021.png", "A 14684-2021")</f>
        <v/>
      </c>
      <c r="V242">
        <f>HYPERLINK("https://klasma.github.io/Logging_ARJEPLOG/klagomål/A 14684-2021.docx", "A 14684-2021")</f>
        <v/>
      </c>
      <c r="W242">
        <f>HYPERLINK("https://klasma.github.io/Logging_ARJEPLOG/klagomålsmail/A 14684-2021.docx", "A 14684-2021")</f>
        <v/>
      </c>
      <c r="X242">
        <f>HYPERLINK("https://klasma.github.io/Logging_ARJEPLOG/tillsyn/A 14684-2021.docx", "A 14684-2021")</f>
        <v/>
      </c>
      <c r="Y242">
        <f>HYPERLINK("https://klasma.github.io/Logging_ARJEPLOG/tillsynsmail/A 14684-2021.docx", "A 14684-2021")</f>
        <v/>
      </c>
    </row>
    <row r="243" ht="15" customHeight="1">
      <c r="A243" t="inlineStr">
        <is>
          <t>A 17190-2021</t>
        </is>
      </c>
      <c r="B243" s="1" t="n">
        <v>44298</v>
      </c>
      <c r="C243" s="1" t="n">
        <v>45206</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HYPERLINK("https://klasma.github.io/Logging_PITEA/artfynd/A 17190-2021.xlsx", "A 17190-2021")</f>
        <v/>
      </c>
      <c r="T243">
        <f>HYPERLINK("https://klasma.github.io/Logging_PITEA/kartor/A 17190-2021.png", "A 17190-2021")</f>
        <v/>
      </c>
      <c r="V243">
        <f>HYPERLINK("https://klasma.github.io/Logging_PITEA/klagomål/A 17190-2021.docx", "A 17190-2021")</f>
        <v/>
      </c>
      <c r="W243">
        <f>HYPERLINK("https://klasma.github.io/Logging_PITEA/klagomålsmail/A 17190-2021.docx", "A 17190-2021")</f>
        <v/>
      </c>
      <c r="X243">
        <f>HYPERLINK("https://klasma.github.io/Logging_PITEA/tillsyn/A 17190-2021.docx", "A 17190-2021")</f>
        <v/>
      </c>
      <c r="Y243">
        <f>HYPERLINK("https://klasma.github.io/Logging_PITEA/tillsynsmail/A 17190-2021.docx", "A 17190-2021")</f>
        <v/>
      </c>
    </row>
    <row r="244" ht="15" customHeight="1">
      <c r="A244" t="inlineStr">
        <is>
          <t>A 29494-2021</t>
        </is>
      </c>
      <c r="B244" s="1" t="n">
        <v>44361</v>
      </c>
      <c r="C244" s="1" t="n">
        <v>45206</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HYPERLINK("https://klasma.github.io/Logging_ARVIDSJAUR/artfynd/A 29494-2021.xlsx", "A 29494-2021")</f>
        <v/>
      </c>
      <c r="T244">
        <f>HYPERLINK("https://klasma.github.io/Logging_ARVIDSJAUR/kartor/A 29494-2021.png", "A 29494-2021")</f>
        <v/>
      </c>
      <c r="V244">
        <f>HYPERLINK("https://klasma.github.io/Logging_ARVIDSJAUR/klagomål/A 29494-2021.docx", "A 29494-2021")</f>
        <v/>
      </c>
      <c r="W244">
        <f>HYPERLINK("https://klasma.github.io/Logging_ARVIDSJAUR/klagomålsmail/A 29494-2021.docx", "A 29494-2021")</f>
        <v/>
      </c>
      <c r="X244">
        <f>HYPERLINK("https://klasma.github.io/Logging_ARVIDSJAUR/tillsyn/A 29494-2021.docx", "A 29494-2021")</f>
        <v/>
      </c>
      <c r="Y244">
        <f>HYPERLINK("https://klasma.github.io/Logging_ARVIDSJAUR/tillsynsmail/A 29494-2021.docx", "A 29494-2021")</f>
        <v/>
      </c>
    </row>
    <row r="245" ht="15" customHeight="1">
      <c r="A245" t="inlineStr">
        <is>
          <t>A 31306-2021</t>
        </is>
      </c>
      <c r="B245" s="1" t="n">
        <v>44368</v>
      </c>
      <c r="C245" s="1" t="n">
        <v>45206</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HYPERLINK("https://klasma.github.io/Logging_OVERTORNEA/artfynd/A 31306-2021.xlsx", "A 31306-2021")</f>
        <v/>
      </c>
      <c r="T245">
        <f>HYPERLINK("https://klasma.github.io/Logging_OVERTORNEA/kartor/A 31306-2021.png", "A 31306-2021")</f>
        <v/>
      </c>
      <c r="V245">
        <f>HYPERLINK("https://klasma.github.io/Logging_OVERTORNEA/klagomål/A 31306-2021.docx", "A 31306-2021")</f>
        <v/>
      </c>
      <c r="W245">
        <f>HYPERLINK("https://klasma.github.io/Logging_OVERTORNEA/klagomålsmail/A 31306-2021.docx", "A 31306-2021")</f>
        <v/>
      </c>
      <c r="X245">
        <f>HYPERLINK("https://klasma.github.io/Logging_OVERTORNEA/tillsyn/A 31306-2021.docx", "A 31306-2021")</f>
        <v/>
      </c>
      <c r="Y245">
        <f>HYPERLINK("https://klasma.github.io/Logging_OVERTORNEA/tillsynsmail/A 31306-2021.docx", "A 31306-2021")</f>
        <v/>
      </c>
    </row>
    <row r="246" ht="15" customHeight="1">
      <c r="A246" t="inlineStr">
        <is>
          <t>A 42548-2021</t>
        </is>
      </c>
      <c r="B246" s="1" t="n">
        <v>44427</v>
      </c>
      <c r="C246" s="1" t="n">
        <v>45206</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HYPERLINK("https://klasma.github.io/Logging_GALLIVARE/artfynd/A 42548-2021.xlsx", "A 42548-2021")</f>
        <v/>
      </c>
      <c r="T246">
        <f>HYPERLINK("https://klasma.github.io/Logging_GALLIVARE/kartor/A 42548-2021.png", "A 42548-2021")</f>
        <v/>
      </c>
      <c r="V246">
        <f>HYPERLINK("https://klasma.github.io/Logging_GALLIVARE/klagomål/A 42548-2021.docx", "A 42548-2021")</f>
        <v/>
      </c>
      <c r="W246">
        <f>HYPERLINK("https://klasma.github.io/Logging_GALLIVARE/klagomålsmail/A 42548-2021.docx", "A 42548-2021")</f>
        <v/>
      </c>
      <c r="X246">
        <f>HYPERLINK("https://klasma.github.io/Logging_GALLIVARE/tillsyn/A 42548-2021.docx", "A 42548-2021")</f>
        <v/>
      </c>
      <c r="Y246">
        <f>HYPERLINK("https://klasma.github.io/Logging_GALLIVARE/tillsynsmail/A 42548-2021.docx", "A 42548-2021")</f>
        <v/>
      </c>
    </row>
    <row r="247" ht="15" customHeight="1">
      <c r="A247" t="inlineStr">
        <is>
          <t>A 48789-2021</t>
        </is>
      </c>
      <c r="B247" s="1" t="n">
        <v>44452</v>
      </c>
      <c r="C247" s="1" t="n">
        <v>45206</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HYPERLINK("https://klasma.github.io/Logging_OVERTORNEA/artfynd/A 48789-2021.xlsx", "A 48789-2021")</f>
        <v/>
      </c>
      <c r="T247">
        <f>HYPERLINK("https://klasma.github.io/Logging_OVERTORNEA/kartor/A 48789-2021.png", "A 48789-2021")</f>
        <v/>
      </c>
      <c r="V247">
        <f>HYPERLINK("https://klasma.github.io/Logging_OVERTORNEA/klagomål/A 48789-2021.docx", "A 48789-2021")</f>
        <v/>
      </c>
      <c r="W247">
        <f>HYPERLINK("https://klasma.github.io/Logging_OVERTORNEA/klagomålsmail/A 48789-2021.docx", "A 48789-2021")</f>
        <v/>
      </c>
      <c r="X247">
        <f>HYPERLINK("https://klasma.github.io/Logging_OVERTORNEA/tillsyn/A 48789-2021.docx", "A 48789-2021")</f>
        <v/>
      </c>
      <c r="Y247">
        <f>HYPERLINK("https://klasma.github.io/Logging_OVERTORNEA/tillsynsmail/A 48789-2021.docx", "A 48789-2021")</f>
        <v/>
      </c>
    </row>
    <row r="248" ht="15" customHeight="1">
      <c r="A248" t="inlineStr">
        <is>
          <t>A 52326-2021</t>
        </is>
      </c>
      <c r="B248" s="1" t="n">
        <v>44463</v>
      </c>
      <c r="C248" s="1" t="n">
        <v>45206</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HYPERLINK("https://klasma.github.io/Logging_OVERKALIX/artfynd/A 52326-2021.xlsx", "A 52326-2021")</f>
        <v/>
      </c>
      <c r="T248">
        <f>HYPERLINK("https://klasma.github.io/Logging_OVERKALIX/kartor/A 52326-2021.png", "A 52326-2021")</f>
        <v/>
      </c>
      <c r="V248">
        <f>HYPERLINK("https://klasma.github.io/Logging_OVERKALIX/klagomål/A 52326-2021.docx", "A 52326-2021")</f>
        <v/>
      </c>
      <c r="W248">
        <f>HYPERLINK("https://klasma.github.io/Logging_OVERKALIX/klagomålsmail/A 52326-2021.docx", "A 52326-2021")</f>
        <v/>
      </c>
      <c r="X248">
        <f>HYPERLINK("https://klasma.github.io/Logging_OVERKALIX/tillsyn/A 52326-2021.docx", "A 52326-2021")</f>
        <v/>
      </c>
      <c r="Y248">
        <f>HYPERLINK("https://klasma.github.io/Logging_OVERKALIX/tillsynsmail/A 52326-2021.docx", "A 52326-2021")</f>
        <v/>
      </c>
    </row>
    <row r="249" ht="15" customHeight="1">
      <c r="A249" t="inlineStr">
        <is>
          <t>A 60090-2021</t>
        </is>
      </c>
      <c r="B249" s="1" t="n">
        <v>44495</v>
      </c>
      <c r="C249" s="1" t="n">
        <v>45206</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HYPERLINK("https://klasma.github.io/Logging_OVERTORNEA/artfynd/A 60090-2021.xlsx", "A 60090-2021")</f>
        <v/>
      </c>
      <c r="T249">
        <f>HYPERLINK("https://klasma.github.io/Logging_OVERTORNEA/kartor/A 60090-2021.png", "A 60090-2021")</f>
        <v/>
      </c>
      <c r="V249">
        <f>HYPERLINK("https://klasma.github.io/Logging_OVERTORNEA/klagomål/A 60090-2021.docx", "A 60090-2021")</f>
        <v/>
      </c>
      <c r="W249">
        <f>HYPERLINK("https://klasma.github.io/Logging_OVERTORNEA/klagomålsmail/A 60090-2021.docx", "A 60090-2021")</f>
        <v/>
      </c>
      <c r="X249">
        <f>HYPERLINK("https://klasma.github.io/Logging_OVERTORNEA/tillsyn/A 60090-2021.docx", "A 60090-2021")</f>
        <v/>
      </c>
      <c r="Y249">
        <f>HYPERLINK("https://klasma.github.io/Logging_OVERTORNEA/tillsynsmail/A 60090-2021.docx", "A 60090-2021")</f>
        <v/>
      </c>
    </row>
    <row r="250" ht="15" customHeight="1">
      <c r="A250" t="inlineStr">
        <is>
          <t>A 70227-2021</t>
        </is>
      </c>
      <c r="B250" s="1" t="n">
        <v>44535</v>
      </c>
      <c r="C250" s="1" t="n">
        <v>45206</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HYPERLINK("https://klasma.github.io/Logging_PAJALA/artfynd/A 70227-2021.xlsx", "A 70227-2021")</f>
        <v/>
      </c>
      <c r="T250">
        <f>HYPERLINK("https://klasma.github.io/Logging_PAJALA/kartor/A 70227-2021.png", "A 70227-2021")</f>
        <v/>
      </c>
      <c r="V250">
        <f>HYPERLINK("https://klasma.github.io/Logging_PAJALA/klagomål/A 70227-2021.docx", "A 70227-2021")</f>
        <v/>
      </c>
      <c r="W250">
        <f>HYPERLINK("https://klasma.github.io/Logging_PAJALA/klagomålsmail/A 70227-2021.docx", "A 70227-2021")</f>
        <v/>
      </c>
      <c r="X250">
        <f>HYPERLINK("https://klasma.github.io/Logging_PAJALA/tillsyn/A 70227-2021.docx", "A 70227-2021")</f>
        <v/>
      </c>
      <c r="Y250">
        <f>HYPERLINK("https://klasma.github.io/Logging_PAJALA/tillsynsmail/A 70227-2021.docx", "A 70227-2021")</f>
        <v/>
      </c>
    </row>
    <row r="251" ht="15" customHeight="1">
      <c r="A251" t="inlineStr">
        <is>
          <t>A 70382-2021</t>
        </is>
      </c>
      <c r="B251" s="1" t="n">
        <v>44536</v>
      </c>
      <c r="C251" s="1" t="n">
        <v>45206</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HYPERLINK("https://klasma.github.io/Logging_BODEN/artfynd/A 70382-2021.xlsx", "A 70382-2021")</f>
        <v/>
      </c>
      <c r="T251">
        <f>HYPERLINK("https://klasma.github.io/Logging_BODEN/kartor/A 70382-2021.png", "A 70382-2021")</f>
        <v/>
      </c>
      <c r="V251">
        <f>HYPERLINK("https://klasma.github.io/Logging_BODEN/klagomål/A 70382-2021.docx", "A 70382-2021")</f>
        <v/>
      </c>
      <c r="W251">
        <f>HYPERLINK("https://klasma.github.io/Logging_BODEN/klagomålsmail/A 70382-2021.docx", "A 70382-2021")</f>
        <v/>
      </c>
      <c r="X251">
        <f>HYPERLINK("https://klasma.github.io/Logging_BODEN/tillsyn/A 70382-2021.docx", "A 70382-2021")</f>
        <v/>
      </c>
      <c r="Y251">
        <f>HYPERLINK("https://klasma.github.io/Logging_BODEN/tillsynsmail/A 70382-2021.docx", "A 70382-2021")</f>
        <v/>
      </c>
    </row>
    <row r="252" ht="15" customHeight="1">
      <c r="A252" t="inlineStr">
        <is>
          <t>A 3832-2022</t>
        </is>
      </c>
      <c r="B252" s="1" t="n">
        <v>44586</v>
      </c>
      <c r="C252" s="1" t="n">
        <v>45206</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HYPERLINK("https://klasma.github.io/Logging_HAPARANDA/artfynd/A 3832-2022.xlsx", "A 3832-2022")</f>
        <v/>
      </c>
      <c r="T252">
        <f>HYPERLINK("https://klasma.github.io/Logging_HAPARANDA/kartor/A 3832-2022.png", "A 3832-2022")</f>
        <v/>
      </c>
      <c r="V252">
        <f>HYPERLINK("https://klasma.github.io/Logging_HAPARANDA/klagomål/A 3832-2022.docx", "A 3832-2022")</f>
        <v/>
      </c>
      <c r="W252">
        <f>HYPERLINK("https://klasma.github.io/Logging_HAPARANDA/klagomålsmail/A 3832-2022.docx", "A 3832-2022")</f>
        <v/>
      </c>
      <c r="X252">
        <f>HYPERLINK("https://klasma.github.io/Logging_HAPARANDA/tillsyn/A 3832-2022.docx", "A 3832-2022")</f>
        <v/>
      </c>
      <c r="Y252">
        <f>HYPERLINK("https://klasma.github.io/Logging_HAPARANDA/tillsynsmail/A 3832-2022.docx", "A 3832-2022")</f>
        <v/>
      </c>
    </row>
    <row r="253" ht="15" customHeight="1">
      <c r="A253" t="inlineStr">
        <is>
          <t>A 5797-2022</t>
        </is>
      </c>
      <c r="B253" s="1" t="n">
        <v>44596</v>
      </c>
      <c r="C253" s="1" t="n">
        <v>45206</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HYPERLINK("https://klasma.github.io/Logging_OVERKALIX/artfynd/A 5797-2022.xlsx", "A 5797-2022")</f>
        <v/>
      </c>
      <c r="T253">
        <f>HYPERLINK("https://klasma.github.io/Logging_OVERKALIX/kartor/A 5797-2022.png", "A 5797-2022")</f>
        <v/>
      </c>
      <c r="V253">
        <f>HYPERLINK("https://klasma.github.io/Logging_OVERKALIX/klagomål/A 5797-2022.docx", "A 5797-2022")</f>
        <v/>
      </c>
      <c r="W253">
        <f>HYPERLINK("https://klasma.github.io/Logging_OVERKALIX/klagomålsmail/A 5797-2022.docx", "A 5797-2022")</f>
        <v/>
      </c>
      <c r="X253">
        <f>HYPERLINK("https://klasma.github.io/Logging_OVERKALIX/tillsyn/A 5797-2022.docx", "A 5797-2022")</f>
        <v/>
      </c>
      <c r="Y253">
        <f>HYPERLINK("https://klasma.github.io/Logging_OVERKALIX/tillsynsmail/A 5797-2022.docx", "A 5797-2022")</f>
        <v/>
      </c>
    </row>
    <row r="254" ht="15" customHeight="1">
      <c r="A254" t="inlineStr">
        <is>
          <t>A 8137-2022</t>
        </is>
      </c>
      <c r="B254" s="1" t="n">
        <v>44609</v>
      </c>
      <c r="C254" s="1" t="n">
        <v>45206</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HYPERLINK("https://klasma.github.io/Logging_BODEN/artfynd/A 8137-2022.xlsx", "A 8137-2022")</f>
        <v/>
      </c>
      <c r="T254">
        <f>HYPERLINK("https://klasma.github.io/Logging_BODEN/kartor/A 8137-2022.png", "A 8137-2022")</f>
        <v/>
      </c>
      <c r="V254">
        <f>HYPERLINK("https://klasma.github.io/Logging_BODEN/klagomål/A 8137-2022.docx", "A 8137-2022")</f>
        <v/>
      </c>
      <c r="W254">
        <f>HYPERLINK("https://klasma.github.io/Logging_BODEN/klagomålsmail/A 8137-2022.docx", "A 8137-2022")</f>
        <v/>
      </c>
      <c r="X254">
        <f>HYPERLINK("https://klasma.github.io/Logging_BODEN/tillsyn/A 8137-2022.docx", "A 8137-2022")</f>
        <v/>
      </c>
      <c r="Y254">
        <f>HYPERLINK("https://klasma.github.io/Logging_BODEN/tillsynsmail/A 8137-2022.docx", "A 8137-2022")</f>
        <v/>
      </c>
    </row>
    <row r="255" ht="15" customHeight="1">
      <c r="A255" t="inlineStr">
        <is>
          <t>A 15139-2022</t>
        </is>
      </c>
      <c r="B255" s="1" t="n">
        <v>44658</v>
      </c>
      <c r="C255" s="1" t="n">
        <v>45206</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HYPERLINK("https://klasma.github.io/Logging_OVERKALIX/artfynd/A 15139-2022.xlsx", "A 15139-2022")</f>
        <v/>
      </c>
      <c r="T255">
        <f>HYPERLINK("https://klasma.github.io/Logging_OVERKALIX/kartor/A 15139-2022.png", "A 15139-2022")</f>
        <v/>
      </c>
      <c r="V255">
        <f>HYPERLINK("https://klasma.github.io/Logging_OVERKALIX/klagomål/A 15139-2022.docx", "A 15139-2022")</f>
        <v/>
      </c>
      <c r="W255">
        <f>HYPERLINK("https://klasma.github.io/Logging_OVERKALIX/klagomålsmail/A 15139-2022.docx", "A 15139-2022")</f>
        <v/>
      </c>
      <c r="X255">
        <f>HYPERLINK("https://klasma.github.io/Logging_OVERKALIX/tillsyn/A 15139-2022.docx", "A 15139-2022")</f>
        <v/>
      </c>
      <c r="Y255">
        <f>HYPERLINK("https://klasma.github.io/Logging_OVERKALIX/tillsynsmail/A 15139-2022.docx", "A 15139-2022")</f>
        <v/>
      </c>
    </row>
    <row r="256" ht="15" customHeight="1">
      <c r="A256" t="inlineStr">
        <is>
          <t>A 16752-2022</t>
        </is>
      </c>
      <c r="B256" s="1" t="n">
        <v>44673</v>
      </c>
      <c r="C256" s="1" t="n">
        <v>45206</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HYPERLINK("https://klasma.github.io/Logging_LULEA/artfynd/A 16752-2022.xlsx", "A 16752-2022")</f>
        <v/>
      </c>
      <c r="T256">
        <f>HYPERLINK("https://klasma.github.io/Logging_LULEA/kartor/A 16752-2022.png", "A 16752-2022")</f>
        <v/>
      </c>
      <c r="V256">
        <f>HYPERLINK("https://klasma.github.io/Logging_LULEA/klagomål/A 16752-2022.docx", "A 16752-2022")</f>
        <v/>
      </c>
      <c r="W256">
        <f>HYPERLINK("https://klasma.github.io/Logging_LULEA/klagomålsmail/A 16752-2022.docx", "A 16752-2022")</f>
        <v/>
      </c>
      <c r="X256">
        <f>HYPERLINK("https://klasma.github.io/Logging_LULEA/tillsyn/A 16752-2022.docx", "A 16752-2022")</f>
        <v/>
      </c>
      <c r="Y256">
        <f>HYPERLINK("https://klasma.github.io/Logging_LULEA/tillsynsmail/A 16752-2022.docx", "A 16752-2022")</f>
        <v/>
      </c>
    </row>
    <row r="257" ht="15" customHeight="1">
      <c r="A257" t="inlineStr">
        <is>
          <t>A 22668-2022</t>
        </is>
      </c>
      <c r="B257" s="1" t="n">
        <v>44714</v>
      </c>
      <c r="C257" s="1" t="n">
        <v>45206</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HYPERLINK("https://klasma.github.io/Logging_OVERTORNEA/artfynd/A 22668-2022.xlsx", "A 22668-2022")</f>
        <v/>
      </c>
      <c r="T257">
        <f>HYPERLINK("https://klasma.github.io/Logging_OVERTORNEA/kartor/A 22668-2022.png", "A 22668-2022")</f>
        <v/>
      </c>
      <c r="V257">
        <f>HYPERLINK("https://klasma.github.io/Logging_OVERTORNEA/klagomål/A 22668-2022.docx", "A 22668-2022")</f>
        <v/>
      </c>
      <c r="W257">
        <f>HYPERLINK("https://klasma.github.io/Logging_OVERTORNEA/klagomålsmail/A 22668-2022.docx", "A 22668-2022")</f>
        <v/>
      </c>
      <c r="X257">
        <f>HYPERLINK("https://klasma.github.io/Logging_OVERTORNEA/tillsyn/A 22668-2022.docx", "A 22668-2022")</f>
        <v/>
      </c>
      <c r="Y257">
        <f>HYPERLINK("https://klasma.github.io/Logging_OVERTORNEA/tillsynsmail/A 22668-2022.docx", "A 22668-2022")</f>
        <v/>
      </c>
    </row>
    <row r="258" ht="15" customHeight="1">
      <c r="A258" t="inlineStr">
        <is>
          <t>A 24408-2022</t>
        </is>
      </c>
      <c r="B258" s="1" t="n">
        <v>44726</v>
      </c>
      <c r="C258" s="1" t="n">
        <v>45206</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HYPERLINK("https://klasma.github.io/Logging_JOKKMOKK/artfynd/A 24408-2022.xlsx", "A 24408-2022")</f>
        <v/>
      </c>
      <c r="T258">
        <f>HYPERLINK("https://klasma.github.io/Logging_JOKKMOKK/kartor/A 24408-2022.png", "A 24408-2022")</f>
        <v/>
      </c>
      <c r="V258">
        <f>HYPERLINK("https://klasma.github.io/Logging_JOKKMOKK/klagomål/A 24408-2022.docx", "A 24408-2022")</f>
        <v/>
      </c>
      <c r="W258">
        <f>HYPERLINK("https://klasma.github.io/Logging_JOKKMOKK/klagomålsmail/A 24408-2022.docx", "A 24408-2022")</f>
        <v/>
      </c>
      <c r="X258">
        <f>HYPERLINK("https://klasma.github.io/Logging_JOKKMOKK/tillsyn/A 24408-2022.docx", "A 24408-2022")</f>
        <v/>
      </c>
      <c r="Y258">
        <f>HYPERLINK("https://klasma.github.io/Logging_JOKKMOKK/tillsynsmail/A 24408-2022.docx", "A 24408-2022")</f>
        <v/>
      </c>
    </row>
    <row r="259" ht="15" customHeight="1">
      <c r="A259" t="inlineStr">
        <is>
          <t>A 24767-2022</t>
        </is>
      </c>
      <c r="B259" s="1" t="n">
        <v>44728</v>
      </c>
      <c r="C259" s="1" t="n">
        <v>45206</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HYPERLINK("https://klasma.github.io/Logging_OVERKALIX/artfynd/A 24767-2022.xlsx", "A 24767-2022")</f>
        <v/>
      </c>
      <c r="T259">
        <f>HYPERLINK("https://klasma.github.io/Logging_OVERKALIX/kartor/A 24767-2022.png", "A 24767-2022")</f>
        <v/>
      </c>
      <c r="V259">
        <f>HYPERLINK("https://klasma.github.io/Logging_OVERKALIX/klagomål/A 24767-2022.docx", "A 24767-2022")</f>
        <v/>
      </c>
      <c r="W259">
        <f>HYPERLINK("https://klasma.github.io/Logging_OVERKALIX/klagomålsmail/A 24767-2022.docx", "A 24767-2022")</f>
        <v/>
      </c>
      <c r="X259">
        <f>HYPERLINK("https://klasma.github.io/Logging_OVERKALIX/tillsyn/A 24767-2022.docx", "A 24767-2022")</f>
        <v/>
      </c>
      <c r="Y259">
        <f>HYPERLINK("https://klasma.github.io/Logging_OVERKALIX/tillsynsmail/A 24767-2022.docx", "A 24767-2022")</f>
        <v/>
      </c>
    </row>
    <row r="260" ht="15" customHeight="1">
      <c r="A260" t="inlineStr">
        <is>
          <t>A 31242-2022</t>
        </is>
      </c>
      <c r="B260" s="1" t="n">
        <v>44771</v>
      </c>
      <c r="C260" s="1" t="n">
        <v>45206</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HYPERLINK("https://klasma.github.io/Logging_PAJALA/artfynd/A 31242-2022.xlsx", "A 31242-2022")</f>
        <v/>
      </c>
      <c r="T260">
        <f>HYPERLINK("https://klasma.github.io/Logging_PAJALA/kartor/A 31242-2022.png", "A 31242-2022")</f>
        <v/>
      </c>
      <c r="V260">
        <f>HYPERLINK("https://klasma.github.io/Logging_PAJALA/klagomål/A 31242-2022.docx", "A 31242-2022")</f>
        <v/>
      </c>
      <c r="W260">
        <f>HYPERLINK("https://klasma.github.io/Logging_PAJALA/klagomålsmail/A 31242-2022.docx", "A 31242-2022")</f>
        <v/>
      </c>
      <c r="X260">
        <f>HYPERLINK("https://klasma.github.io/Logging_PAJALA/tillsyn/A 31242-2022.docx", "A 31242-2022")</f>
        <v/>
      </c>
      <c r="Y260">
        <f>HYPERLINK("https://klasma.github.io/Logging_PAJALA/tillsynsmail/A 31242-2022.docx", "A 31242-2022")</f>
        <v/>
      </c>
    </row>
    <row r="261" ht="15" customHeight="1">
      <c r="A261" t="inlineStr">
        <is>
          <t>A 35979-2022</t>
        </is>
      </c>
      <c r="B261" s="1" t="n">
        <v>44802</v>
      </c>
      <c r="C261" s="1" t="n">
        <v>45206</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HYPERLINK("https://klasma.github.io/Logging_KALIX/artfynd/A 35979-2022.xlsx", "A 35979-2022")</f>
        <v/>
      </c>
      <c r="T261">
        <f>HYPERLINK("https://klasma.github.io/Logging_KALIX/kartor/A 35979-2022.png", "A 35979-2022")</f>
        <v/>
      </c>
      <c r="V261">
        <f>HYPERLINK("https://klasma.github.io/Logging_KALIX/klagomål/A 35979-2022.docx", "A 35979-2022")</f>
        <v/>
      </c>
      <c r="W261">
        <f>HYPERLINK("https://klasma.github.io/Logging_KALIX/klagomålsmail/A 35979-2022.docx", "A 35979-2022")</f>
        <v/>
      </c>
      <c r="X261">
        <f>HYPERLINK("https://klasma.github.io/Logging_KALIX/tillsyn/A 35979-2022.docx", "A 35979-2022")</f>
        <v/>
      </c>
      <c r="Y261">
        <f>HYPERLINK("https://klasma.github.io/Logging_KALIX/tillsynsmail/A 35979-2022.docx", "A 35979-2022")</f>
        <v/>
      </c>
    </row>
    <row r="262" ht="15" customHeight="1">
      <c r="A262" t="inlineStr">
        <is>
          <t>A 36629-2022</t>
        </is>
      </c>
      <c r="B262" s="1" t="n">
        <v>44804</v>
      </c>
      <c r="C262" s="1" t="n">
        <v>45206</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HYPERLINK("https://klasma.github.io/Logging_BODEN/artfynd/A 36629-2022.xlsx", "A 36629-2022")</f>
        <v/>
      </c>
      <c r="T262">
        <f>HYPERLINK("https://klasma.github.io/Logging_BODEN/kartor/A 36629-2022.png", "A 36629-2022")</f>
        <v/>
      </c>
      <c r="V262">
        <f>HYPERLINK("https://klasma.github.io/Logging_BODEN/klagomål/A 36629-2022.docx", "A 36629-2022")</f>
        <v/>
      </c>
      <c r="W262">
        <f>HYPERLINK("https://klasma.github.io/Logging_BODEN/klagomålsmail/A 36629-2022.docx", "A 36629-2022")</f>
        <v/>
      </c>
      <c r="X262">
        <f>HYPERLINK("https://klasma.github.io/Logging_BODEN/tillsyn/A 36629-2022.docx", "A 36629-2022")</f>
        <v/>
      </c>
      <c r="Y262">
        <f>HYPERLINK("https://klasma.github.io/Logging_BODEN/tillsynsmail/A 36629-2022.docx", "A 36629-2022")</f>
        <v/>
      </c>
    </row>
    <row r="263" ht="15" customHeight="1">
      <c r="A263" t="inlineStr">
        <is>
          <t>A 37113-2022</t>
        </is>
      </c>
      <c r="B263" s="1" t="n">
        <v>44806</v>
      </c>
      <c r="C263" s="1" t="n">
        <v>45206</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HYPERLINK("https://klasma.github.io/Logging_ARVIDSJAUR/artfynd/A 37113-2022.xlsx", "A 37113-2022")</f>
        <v/>
      </c>
      <c r="T263">
        <f>HYPERLINK("https://klasma.github.io/Logging_ARVIDSJAUR/kartor/A 37113-2022.png", "A 37113-2022")</f>
        <v/>
      </c>
      <c r="V263">
        <f>HYPERLINK("https://klasma.github.io/Logging_ARVIDSJAUR/klagomål/A 37113-2022.docx", "A 37113-2022")</f>
        <v/>
      </c>
      <c r="W263">
        <f>HYPERLINK("https://klasma.github.io/Logging_ARVIDSJAUR/klagomålsmail/A 37113-2022.docx", "A 37113-2022")</f>
        <v/>
      </c>
      <c r="X263">
        <f>HYPERLINK("https://klasma.github.io/Logging_ARVIDSJAUR/tillsyn/A 37113-2022.docx", "A 37113-2022")</f>
        <v/>
      </c>
      <c r="Y263">
        <f>HYPERLINK("https://klasma.github.io/Logging_ARVIDSJAUR/tillsynsmail/A 37113-2022.docx", "A 37113-2022")</f>
        <v/>
      </c>
    </row>
    <row r="264" ht="15" customHeight="1">
      <c r="A264" t="inlineStr">
        <is>
          <t>A 38615-2022</t>
        </is>
      </c>
      <c r="B264" s="1" t="n">
        <v>44813</v>
      </c>
      <c r="C264" s="1" t="n">
        <v>45206</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HYPERLINK("https://klasma.github.io/Logging_ALVSBYN/artfynd/A 38615-2022.xlsx", "A 38615-2022")</f>
        <v/>
      </c>
      <c r="T264">
        <f>HYPERLINK("https://klasma.github.io/Logging_ALVSBYN/kartor/A 38615-2022.png", "A 38615-2022")</f>
        <v/>
      </c>
      <c r="V264">
        <f>HYPERLINK("https://klasma.github.io/Logging_ALVSBYN/klagomål/A 38615-2022.docx", "A 38615-2022")</f>
        <v/>
      </c>
      <c r="W264">
        <f>HYPERLINK("https://klasma.github.io/Logging_ALVSBYN/klagomålsmail/A 38615-2022.docx", "A 38615-2022")</f>
        <v/>
      </c>
      <c r="X264">
        <f>HYPERLINK("https://klasma.github.io/Logging_ALVSBYN/tillsyn/A 38615-2022.docx", "A 38615-2022")</f>
        <v/>
      </c>
      <c r="Y264">
        <f>HYPERLINK("https://klasma.github.io/Logging_ALVSBYN/tillsynsmail/A 38615-2022.docx", "A 38615-2022")</f>
        <v/>
      </c>
    </row>
    <row r="265" ht="15" customHeight="1">
      <c r="A265" t="inlineStr">
        <is>
          <t>A 39825-2022</t>
        </is>
      </c>
      <c r="B265" s="1" t="n">
        <v>44819</v>
      </c>
      <c r="C265" s="1" t="n">
        <v>45206</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HYPERLINK("https://klasma.github.io/Logging_ARVIDSJAUR/artfynd/A 39825-2022.xlsx", "A 39825-2022")</f>
        <v/>
      </c>
      <c r="T265">
        <f>HYPERLINK("https://klasma.github.io/Logging_ARVIDSJAUR/kartor/A 39825-2022.png", "A 39825-2022")</f>
        <v/>
      </c>
      <c r="V265">
        <f>HYPERLINK("https://klasma.github.io/Logging_ARVIDSJAUR/klagomål/A 39825-2022.docx", "A 39825-2022")</f>
        <v/>
      </c>
      <c r="W265">
        <f>HYPERLINK("https://klasma.github.io/Logging_ARVIDSJAUR/klagomålsmail/A 39825-2022.docx", "A 39825-2022")</f>
        <v/>
      </c>
      <c r="X265">
        <f>HYPERLINK("https://klasma.github.io/Logging_ARVIDSJAUR/tillsyn/A 39825-2022.docx", "A 39825-2022")</f>
        <v/>
      </c>
      <c r="Y265">
        <f>HYPERLINK("https://klasma.github.io/Logging_ARVIDSJAUR/tillsynsmail/A 39825-2022.docx", "A 39825-2022")</f>
        <v/>
      </c>
    </row>
    <row r="266" ht="15" customHeight="1">
      <c r="A266" t="inlineStr">
        <is>
          <t>A 43057-2022</t>
        </is>
      </c>
      <c r="B266" s="1" t="n">
        <v>44833</v>
      </c>
      <c r="C266" s="1" t="n">
        <v>45206</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HYPERLINK("https://klasma.github.io/Logging_OVERTORNEA/artfynd/A 43057-2022.xlsx", "A 43057-2022")</f>
        <v/>
      </c>
      <c r="T266">
        <f>HYPERLINK("https://klasma.github.io/Logging_OVERTORNEA/kartor/A 43057-2022.png", "A 43057-2022")</f>
        <v/>
      </c>
      <c r="V266">
        <f>HYPERLINK("https://klasma.github.io/Logging_OVERTORNEA/klagomål/A 43057-2022.docx", "A 43057-2022")</f>
        <v/>
      </c>
      <c r="W266">
        <f>HYPERLINK("https://klasma.github.io/Logging_OVERTORNEA/klagomålsmail/A 43057-2022.docx", "A 43057-2022")</f>
        <v/>
      </c>
      <c r="X266">
        <f>HYPERLINK("https://klasma.github.io/Logging_OVERTORNEA/tillsyn/A 43057-2022.docx", "A 43057-2022")</f>
        <v/>
      </c>
      <c r="Y266">
        <f>HYPERLINK("https://klasma.github.io/Logging_OVERTORNEA/tillsynsmail/A 43057-2022.docx", "A 43057-2022")</f>
        <v/>
      </c>
    </row>
    <row r="267" ht="15" customHeight="1">
      <c r="A267" t="inlineStr">
        <is>
          <t>A 47260-2022</t>
        </is>
      </c>
      <c r="B267" s="1" t="n">
        <v>44852</v>
      </c>
      <c r="C267" s="1" t="n">
        <v>45206</v>
      </c>
      <c r="D267" t="inlineStr">
        <is>
          <t>NORRBOTTENS LÄN</t>
        </is>
      </c>
      <c r="E267" t="inlineStr">
        <is>
          <t>PITEÅ</t>
        </is>
      </c>
      <c r="F267" t="inlineStr">
        <is>
          <t>SCA</t>
        </is>
      </c>
      <c r="G267" t="n">
        <v>5</v>
      </c>
      <c r="H267" t="n">
        <v>0</v>
      </c>
      <c r="I267" t="n">
        <v>0</v>
      </c>
      <c r="J267" t="n">
        <v>2</v>
      </c>
      <c r="K267" t="n">
        <v>0</v>
      </c>
      <c r="L267" t="n">
        <v>0</v>
      </c>
      <c r="M267" t="n">
        <v>0</v>
      </c>
      <c r="N267" t="n">
        <v>0</v>
      </c>
      <c r="O267" t="n">
        <v>2</v>
      </c>
      <c r="P267" t="n">
        <v>0</v>
      </c>
      <c r="Q267" t="n">
        <v>2</v>
      </c>
      <c r="R267" s="2" t="inlineStr">
        <is>
          <t>Violettgrå tagellav
Vitgrynig nållav</t>
        </is>
      </c>
      <c r="S267">
        <f>HYPERLINK("https://klasma.github.io/Logging_PITEA/artfynd/A 47260-2022.xlsx", "A 47260-2022")</f>
        <v/>
      </c>
      <c r="T267">
        <f>HYPERLINK("https://klasma.github.io/Logging_PITEA/kartor/A 47260-2022.png", "A 47260-2022")</f>
        <v/>
      </c>
      <c r="V267">
        <f>HYPERLINK("https://klasma.github.io/Logging_PITEA/klagomål/A 47260-2022.docx", "A 47260-2022")</f>
        <v/>
      </c>
      <c r="W267">
        <f>HYPERLINK("https://klasma.github.io/Logging_PITEA/klagomålsmail/A 47260-2022.docx", "A 47260-2022")</f>
        <v/>
      </c>
      <c r="X267">
        <f>HYPERLINK("https://klasma.github.io/Logging_PITEA/tillsyn/A 47260-2022.docx", "A 47260-2022")</f>
        <v/>
      </c>
      <c r="Y267">
        <f>HYPERLINK("https://klasma.github.io/Logging_PITEA/tillsynsmail/A 47260-2022.docx", "A 47260-2022")</f>
        <v/>
      </c>
    </row>
    <row r="268" ht="15" customHeight="1">
      <c r="A268" t="inlineStr">
        <is>
          <t>A 52513-2022</t>
        </is>
      </c>
      <c r="B268" s="1" t="n">
        <v>44874</v>
      </c>
      <c r="C268" s="1" t="n">
        <v>45206</v>
      </c>
      <c r="D268" t="inlineStr">
        <is>
          <t>NORRBOTTENS LÄN</t>
        </is>
      </c>
      <c r="E268" t="inlineStr">
        <is>
          <t>ÄLVSBYN</t>
        </is>
      </c>
      <c r="F268" t="inlineStr">
        <is>
          <t>Sveaskog</t>
        </is>
      </c>
      <c r="G268" t="n">
        <v>2.3</v>
      </c>
      <c r="H268" t="n">
        <v>0</v>
      </c>
      <c r="I268" t="n">
        <v>0</v>
      </c>
      <c r="J268" t="n">
        <v>2</v>
      </c>
      <c r="K268" t="n">
        <v>0</v>
      </c>
      <c r="L268" t="n">
        <v>0</v>
      </c>
      <c r="M268" t="n">
        <v>0</v>
      </c>
      <c r="N268" t="n">
        <v>0</v>
      </c>
      <c r="O268" t="n">
        <v>2</v>
      </c>
      <c r="P268" t="n">
        <v>0</v>
      </c>
      <c r="Q268" t="n">
        <v>2</v>
      </c>
      <c r="R268" s="2" t="inlineStr">
        <is>
          <t>Gammelgransskål
Lunglav</t>
        </is>
      </c>
      <c r="S268">
        <f>HYPERLINK("https://klasma.github.io/Logging_ALVSBYN/artfynd/A 52513-2022.xlsx", "A 52513-2022")</f>
        <v/>
      </c>
      <c r="T268">
        <f>HYPERLINK("https://klasma.github.io/Logging_ALVSBYN/kartor/A 52513-2022.png", "A 52513-2022")</f>
        <v/>
      </c>
      <c r="V268">
        <f>HYPERLINK("https://klasma.github.io/Logging_ALVSBYN/klagomål/A 52513-2022.docx", "A 52513-2022")</f>
        <v/>
      </c>
      <c r="W268">
        <f>HYPERLINK("https://klasma.github.io/Logging_ALVSBYN/klagomålsmail/A 52513-2022.docx", "A 52513-2022")</f>
        <v/>
      </c>
      <c r="X268">
        <f>HYPERLINK("https://klasma.github.io/Logging_ALVSBYN/tillsyn/A 52513-2022.docx", "A 52513-2022")</f>
        <v/>
      </c>
      <c r="Y268">
        <f>HYPERLINK("https://klasma.github.io/Logging_ALVSBYN/tillsynsmail/A 52513-2022.docx", "A 52513-2022")</f>
        <v/>
      </c>
    </row>
    <row r="269" ht="15" customHeight="1">
      <c r="A269" t="inlineStr">
        <is>
          <t>A 60480-2022</t>
        </is>
      </c>
      <c r="B269" s="1" t="n">
        <v>44911</v>
      </c>
      <c r="C269" s="1" t="n">
        <v>45206</v>
      </c>
      <c r="D269" t="inlineStr">
        <is>
          <t>NORRBOTTENS LÄN</t>
        </is>
      </c>
      <c r="E269" t="inlineStr">
        <is>
          <t>ÖVERKALIX</t>
        </is>
      </c>
      <c r="F269" t="inlineStr">
        <is>
          <t>Sveaskog</t>
        </is>
      </c>
      <c r="G269" t="n">
        <v>1.6</v>
      </c>
      <c r="H269" t="n">
        <v>0</v>
      </c>
      <c r="I269" t="n">
        <v>0</v>
      </c>
      <c r="J269" t="n">
        <v>2</v>
      </c>
      <c r="K269" t="n">
        <v>0</v>
      </c>
      <c r="L269" t="n">
        <v>0</v>
      </c>
      <c r="M269" t="n">
        <v>0</v>
      </c>
      <c r="N269" t="n">
        <v>0</v>
      </c>
      <c r="O269" t="n">
        <v>2</v>
      </c>
      <c r="P269" t="n">
        <v>0</v>
      </c>
      <c r="Q269" t="n">
        <v>2</v>
      </c>
      <c r="R269" s="2" t="inlineStr">
        <is>
          <t>Kolflarnlav
Nordtagging</t>
        </is>
      </c>
      <c r="S269">
        <f>HYPERLINK("https://klasma.github.io/Logging_OVERKALIX/artfynd/A 60480-2022.xlsx", "A 60480-2022")</f>
        <v/>
      </c>
      <c r="T269">
        <f>HYPERLINK("https://klasma.github.io/Logging_OVERKALIX/kartor/A 60480-2022.png", "A 60480-2022")</f>
        <v/>
      </c>
      <c r="V269">
        <f>HYPERLINK("https://klasma.github.io/Logging_OVERKALIX/klagomål/A 60480-2022.docx", "A 60480-2022")</f>
        <v/>
      </c>
      <c r="W269">
        <f>HYPERLINK("https://klasma.github.io/Logging_OVERKALIX/klagomålsmail/A 60480-2022.docx", "A 60480-2022")</f>
        <v/>
      </c>
      <c r="X269">
        <f>HYPERLINK("https://klasma.github.io/Logging_OVERKALIX/tillsyn/A 60480-2022.docx", "A 60480-2022")</f>
        <v/>
      </c>
      <c r="Y269">
        <f>HYPERLINK("https://klasma.github.io/Logging_OVERKALIX/tillsynsmail/A 60480-2022.docx", "A 60480-2022")</f>
        <v/>
      </c>
    </row>
    <row r="270" ht="15" customHeight="1">
      <c r="A270" t="inlineStr">
        <is>
          <t>A 62435-2022</t>
        </is>
      </c>
      <c r="B270" s="1" t="n">
        <v>44916</v>
      </c>
      <c r="C270" s="1" t="n">
        <v>45206</v>
      </c>
      <c r="D270" t="inlineStr">
        <is>
          <t>NORRBOTTENS LÄN</t>
        </is>
      </c>
      <c r="E270" t="inlineStr">
        <is>
          <t>KIRUNA</t>
        </is>
      </c>
      <c r="G270" t="n">
        <v>13.3</v>
      </c>
      <c r="H270" t="n">
        <v>0</v>
      </c>
      <c r="I270" t="n">
        <v>0</v>
      </c>
      <c r="J270" t="n">
        <v>2</v>
      </c>
      <c r="K270" t="n">
        <v>0</v>
      </c>
      <c r="L270" t="n">
        <v>0</v>
      </c>
      <c r="M270" t="n">
        <v>0</v>
      </c>
      <c r="N270" t="n">
        <v>0</v>
      </c>
      <c r="O270" t="n">
        <v>2</v>
      </c>
      <c r="P270" t="n">
        <v>0</v>
      </c>
      <c r="Q270" t="n">
        <v>2</v>
      </c>
      <c r="R270" s="2" t="inlineStr">
        <is>
          <t>Harticka
Rosenticka</t>
        </is>
      </c>
      <c r="S270">
        <f>HYPERLINK("https://klasma.github.io/Logging_KIRUNA/artfynd/A 62435-2022.xlsx", "A 62435-2022")</f>
        <v/>
      </c>
      <c r="T270">
        <f>HYPERLINK("https://klasma.github.io/Logging_KIRUNA/kartor/A 62435-2022.png", "A 62435-2022")</f>
        <v/>
      </c>
      <c r="V270">
        <f>HYPERLINK("https://klasma.github.io/Logging_KIRUNA/klagomål/A 62435-2022.docx", "A 62435-2022")</f>
        <v/>
      </c>
      <c r="W270">
        <f>HYPERLINK("https://klasma.github.io/Logging_KIRUNA/klagomålsmail/A 62435-2022.docx", "A 62435-2022")</f>
        <v/>
      </c>
      <c r="X270">
        <f>HYPERLINK("https://klasma.github.io/Logging_KIRUNA/tillsyn/A 62435-2022.docx", "A 62435-2022")</f>
        <v/>
      </c>
      <c r="Y270">
        <f>HYPERLINK("https://klasma.github.io/Logging_KIRUNA/tillsynsmail/A 62435-2022.docx", "A 62435-2022")</f>
        <v/>
      </c>
    </row>
    <row r="271" ht="15" customHeight="1">
      <c r="A271" t="inlineStr">
        <is>
          <t>A 2817-2023</t>
        </is>
      </c>
      <c r="B271" s="1" t="n">
        <v>44944</v>
      </c>
      <c r="C271" s="1" t="n">
        <v>45206</v>
      </c>
      <c r="D271" t="inlineStr">
        <is>
          <t>NORRBOTTENS LÄN</t>
        </is>
      </c>
      <c r="E271" t="inlineStr">
        <is>
          <t>PITEÅ</t>
        </is>
      </c>
      <c r="G271" t="n">
        <v>4.9</v>
      </c>
      <c r="H271" t="n">
        <v>0</v>
      </c>
      <c r="I271" t="n">
        <v>0</v>
      </c>
      <c r="J271" t="n">
        <v>2</v>
      </c>
      <c r="K271" t="n">
        <v>0</v>
      </c>
      <c r="L271" t="n">
        <v>0</v>
      </c>
      <c r="M271" t="n">
        <v>0</v>
      </c>
      <c r="N271" t="n">
        <v>0</v>
      </c>
      <c r="O271" t="n">
        <v>2</v>
      </c>
      <c r="P271" t="n">
        <v>0</v>
      </c>
      <c r="Q271" t="n">
        <v>2</v>
      </c>
      <c r="R271" s="2" t="inlineStr">
        <is>
          <t>Ullticka
Violettgrå tagellav</t>
        </is>
      </c>
      <c r="S271">
        <f>HYPERLINK("https://klasma.github.io/Logging_PITEA/artfynd/A 2817-2023.xlsx", "A 2817-2023")</f>
        <v/>
      </c>
      <c r="T271">
        <f>HYPERLINK("https://klasma.github.io/Logging_PITEA/kartor/A 2817-2023.png", "A 2817-2023")</f>
        <v/>
      </c>
      <c r="V271">
        <f>HYPERLINK("https://klasma.github.io/Logging_PITEA/klagomål/A 2817-2023.docx", "A 2817-2023")</f>
        <v/>
      </c>
      <c r="W271">
        <f>HYPERLINK("https://klasma.github.io/Logging_PITEA/klagomålsmail/A 2817-2023.docx", "A 2817-2023")</f>
        <v/>
      </c>
      <c r="X271">
        <f>HYPERLINK("https://klasma.github.io/Logging_PITEA/tillsyn/A 2817-2023.docx", "A 2817-2023")</f>
        <v/>
      </c>
      <c r="Y271">
        <f>HYPERLINK("https://klasma.github.io/Logging_PITEA/tillsynsmail/A 2817-2023.docx", "A 2817-2023")</f>
        <v/>
      </c>
    </row>
    <row r="272" ht="15" customHeight="1">
      <c r="A272" t="inlineStr">
        <is>
          <t>A 5171-2023</t>
        </is>
      </c>
      <c r="B272" s="1" t="n">
        <v>44958</v>
      </c>
      <c r="C272" s="1" t="n">
        <v>45206</v>
      </c>
      <c r="D272" t="inlineStr">
        <is>
          <t>NORRBOTTENS LÄN</t>
        </is>
      </c>
      <c r="E272" t="inlineStr">
        <is>
          <t>GÄLLIVARE</t>
        </is>
      </c>
      <c r="F272" t="inlineStr">
        <is>
          <t>SCA</t>
        </is>
      </c>
      <c r="G272" t="n">
        <v>2.4</v>
      </c>
      <c r="H272" t="n">
        <v>0</v>
      </c>
      <c r="I272" t="n">
        <v>0</v>
      </c>
      <c r="J272" t="n">
        <v>1</v>
      </c>
      <c r="K272" t="n">
        <v>1</v>
      </c>
      <c r="L272" t="n">
        <v>0</v>
      </c>
      <c r="M272" t="n">
        <v>0</v>
      </c>
      <c r="N272" t="n">
        <v>0</v>
      </c>
      <c r="O272" t="n">
        <v>2</v>
      </c>
      <c r="P272" t="n">
        <v>1</v>
      </c>
      <c r="Q272" t="n">
        <v>2</v>
      </c>
      <c r="R272" s="2" t="inlineStr">
        <is>
          <t>Tallgråticka
Blå taggsvamp</t>
        </is>
      </c>
      <c r="S272">
        <f>HYPERLINK("https://klasma.github.io/Logging_GALLIVARE/artfynd/A 5171-2023.xlsx", "A 5171-2023")</f>
        <v/>
      </c>
      <c r="T272">
        <f>HYPERLINK("https://klasma.github.io/Logging_GALLIVARE/kartor/A 5171-2023.png", "A 5171-2023")</f>
        <v/>
      </c>
      <c r="V272">
        <f>HYPERLINK("https://klasma.github.io/Logging_GALLIVARE/klagomål/A 5171-2023.docx", "A 5171-2023")</f>
        <v/>
      </c>
      <c r="W272">
        <f>HYPERLINK("https://klasma.github.io/Logging_GALLIVARE/klagomålsmail/A 5171-2023.docx", "A 5171-2023")</f>
        <v/>
      </c>
      <c r="X272">
        <f>HYPERLINK("https://klasma.github.io/Logging_GALLIVARE/tillsyn/A 5171-2023.docx", "A 5171-2023")</f>
        <v/>
      </c>
      <c r="Y272">
        <f>HYPERLINK("https://klasma.github.io/Logging_GALLIVARE/tillsynsmail/A 5171-2023.docx", "A 5171-2023")</f>
        <v/>
      </c>
    </row>
    <row r="273" ht="15" customHeight="1">
      <c r="A273" t="inlineStr">
        <is>
          <t>A 5288-2023</t>
        </is>
      </c>
      <c r="B273" s="1" t="n">
        <v>44959</v>
      </c>
      <c r="C273" s="1" t="n">
        <v>45206</v>
      </c>
      <c r="D273" t="inlineStr">
        <is>
          <t>NORRBOTTENS LÄN</t>
        </is>
      </c>
      <c r="E273" t="inlineStr">
        <is>
          <t>GÄLLIVARE</t>
        </is>
      </c>
      <c r="F273" t="inlineStr">
        <is>
          <t>SCA</t>
        </is>
      </c>
      <c r="G273" t="n">
        <v>12.2</v>
      </c>
      <c r="H273" t="n">
        <v>0</v>
      </c>
      <c r="I273" t="n">
        <v>0</v>
      </c>
      <c r="J273" t="n">
        <v>0</v>
      </c>
      <c r="K273" t="n">
        <v>2</v>
      </c>
      <c r="L273" t="n">
        <v>0</v>
      </c>
      <c r="M273" t="n">
        <v>0</v>
      </c>
      <c r="N273" t="n">
        <v>0</v>
      </c>
      <c r="O273" t="n">
        <v>2</v>
      </c>
      <c r="P273" t="n">
        <v>2</v>
      </c>
      <c r="Q273" t="n">
        <v>2</v>
      </c>
      <c r="R273" s="2" t="inlineStr">
        <is>
          <t>Smultronkantarell
Tallstocksticka</t>
        </is>
      </c>
      <c r="S273">
        <f>HYPERLINK("https://klasma.github.io/Logging_GALLIVARE/artfynd/A 5288-2023.xlsx", "A 5288-2023")</f>
        <v/>
      </c>
      <c r="T273">
        <f>HYPERLINK("https://klasma.github.io/Logging_GALLIVARE/kartor/A 5288-2023.png", "A 5288-2023")</f>
        <v/>
      </c>
      <c r="V273">
        <f>HYPERLINK("https://klasma.github.io/Logging_GALLIVARE/klagomål/A 5288-2023.docx", "A 5288-2023")</f>
        <v/>
      </c>
      <c r="W273">
        <f>HYPERLINK("https://klasma.github.io/Logging_GALLIVARE/klagomålsmail/A 5288-2023.docx", "A 5288-2023")</f>
        <v/>
      </c>
      <c r="X273">
        <f>HYPERLINK("https://klasma.github.io/Logging_GALLIVARE/tillsyn/A 5288-2023.docx", "A 5288-2023")</f>
        <v/>
      </c>
      <c r="Y273">
        <f>HYPERLINK("https://klasma.github.io/Logging_GALLIVARE/tillsynsmail/A 5288-2023.docx", "A 5288-2023")</f>
        <v/>
      </c>
    </row>
    <row r="274" ht="15" customHeight="1">
      <c r="A274" t="inlineStr">
        <is>
          <t>A 9341-2023</t>
        </is>
      </c>
      <c r="B274" s="1" t="n">
        <v>44980</v>
      </c>
      <c r="C274" s="1" t="n">
        <v>45206</v>
      </c>
      <c r="D274" t="inlineStr">
        <is>
          <t>NORRBOTTENS LÄN</t>
        </is>
      </c>
      <c r="E274" t="inlineStr">
        <is>
          <t>KALIX</t>
        </is>
      </c>
      <c r="G274" t="n">
        <v>11.9</v>
      </c>
      <c r="H274" t="n">
        <v>2</v>
      </c>
      <c r="I274" t="n">
        <v>0</v>
      </c>
      <c r="J274" t="n">
        <v>0</v>
      </c>
      <c r="K274" t="n">
        <v>1</v>
      </c>
      <c r="L274" t="n">
        <v>0</v>
      </c>
      <c r="M274" t="n">
        <v>0</v>
      </c>
      <c r="N274" t="n">
        <v>0</v>
      </c>
      <c r="O274" t="n">
        <v>1</v>
      </c>
      <c r="P274" t="n">
        <v>1</v>
      </c>
      <c r="Q274" t="n">
        <v>2</v>
      </c>
      <c r="R274" s="2" t="inlineStr">
        <is>
          <t>Knottblomster
Fläcknycklar</t>
        </is>
      </c>
      <c r="S274">
        <f>HYPERLINK("https://klasma.github.io/Logging_KALIX/artfynd/A 9341-2023.xlsx", "A 9341-2023")</f>
        <v/>
      </c>
      <c r="T274">
        <f>HYPERLINK("https://klasma.github.io/Logging_KALIX/kartor/A 9341-2023.png", "A 9341-2023")</f>
        <v/>
      </c>
      <c r="V274">
        <f>HYPERLINK("https://klasma.github.io/Logging_KALIX/klagomål/A 9341-2023.docx", "A 9341-2023")</f>
        <v/>
      </c>
      <c r="W274">
        <f>HYPERLINK("https://klasma.github.io/Logging_KALIX/klagomålsmail/A 9341-2023.docx", "A 9341-2023")</f>
        <v/>
      </c>
      <c r="X274">
        <f>HYPERLINK("https://klasma.github.io/Logging_KALIX/tillsyn/A 9341-2023.docx", "A 9341-2023")</f>
        <v/>
      </c>
      <c r="Y274">
        <f>HYPERLINK("https://klasma.github.io/Logging_KALIX/tillsynsmail/A 9341-2023.docx", "A 9341-2023")</f>
        <v/>
      </c>
    </row>
    <row r="275" ht="15" customHeight="1">
      <c r="A275" t="inlineStr">
        <is>
          <t>A 14971-2023</t>
        </is>
      </c>
      <c r="B275" s="1" t="n">
        <v>45014</v>
      </c>
      <c r="C275" s="1" t="n">
        <v>45206</v>
      </c>
      <c r="D275" t="inlineStr">
        <is>
          <t>NORRBOTTENS LÄN</t>
        </is>
      </c>
      <c r="E275" t="inlineStr">
        <is>
          <t>PAJALA</t>
        </is>
      </c>
      <c r="F275" t="inlineStr">
        <is>
          <t>Allmännings- och besparingsskogar</t>
        </is>
      </c>
      <c r="G275" t="n">
        <v>49.6</v>
      </c>
      <c r="H275" t="n">
        <v>0</v>
      </c>
      <c r="I275" t="n">
        <v>0</v>
      </c>
      <c r="J275" t="n">
        <v>2</v>
      </c>
      <c r="K275" t="n">
        <v>0</v>
      </c>
      <c r="L275" t="n">
        <v>0</v>
      </c>
      <c r="M275" t="n">
        <v>0</v>
      </c>
      <c r="N275" t="n">
        <v>0</v>
      </c>
      <c r="O275" t="n">
        <v>2</v>
      </c>
      <c r="P275" t="n">
        <v>0</v>
      </c>
      <c r="Q275" t="n">
        <v>2</v>
      </c>
      <c r="R275" s="2" t="inlineStr">
        <is>
          <t>Blanksvart spiklav
Garnlav</t>
        </is>
      </c>
      <c r="S275">
        <f>HYPERLINK("https://klasma.github.io/Logging_PAJALA/artfynd/A 14971-2023.xlsx", "A 14971-2023")</f>
        <v/>
      </c>
      <c r="T275">
        <f>HYPERLINK("https://klasma.github.io/Logging_PAJALA/kartor/A 14971-2023.png", "A 14971-2023")</f>
        <v/>
      </c>
      <c r="V275">
        <f>HYPERLINK("https://klasma.github.io/Logging_PAJALA/klagomål/A 14971-2023.docx", "A 14971-2023")</f>
        <v/>
      </c>
      <c r="W275">
        <f>HYPERLINK("https://klasma.github.io/Logging_PAJALA/klagomålsmail/A 14971-2023.docx", "A 14971-2023")</f>
        <v/>
      </c>
      <c r="X275">
        <f>HYPERLINK("https://klasma.github.io/Logging_PAJALA/tillsyn/A 14971-2023.docx", "A 14971-2023")</f>
        <v/>
      </c>
      <c r="Y275">
        <f>HYPERLINK("https://klasma.github.io/Logging_PAJALA/tillsynsmail/A 14971-2023.docx", "A 14971-2023")</f>
        <v/>
      </c>
    </row>
    <row r="276" ht="15" customHeight="1">
      <c r="A276" t="inlineStr">
        <is>
          <t>A 17549-2023</t>
        </is>
      </c>
      <c r="B276" s="1" t="n">
        <v>45034</v>
      </c>
      <c r="C276" s="1" t="n">
        <v>45206</v>
      </c>
      <c r="D276" t="inlineStr">
        <is>
          <t>NORRBOTTENS LÄN</t>
        </is>
      </c>
      <c r="E276" t="inlineStr">
        <is>
          <t>ARJEPLOG</t>
        </is>
      </c>
      <c r="G276" t="n">
        <v>18.8</v>
      </c>
      <c r="H276" t="n">
        <v>1</v>
      </c>
      <c r="I276" t="n">
        <v>0</v>
      </c>
      <c r="J276" t="n">
        <v>2</v>
      </c>
      <c r="K276" t="n">
        <v>0</v>
      </c>
      <c r="L276" t="n">
        <v>0</v>
      </c>
      <c r="M276" t="n">
        <v>0</v>
      </c>
      <c r="N276" t="n">
        <v>0</v>
      </c>
      <c r="O276" t="n">
        <v>2</v>
      </c>
      <c r="P276" t="n">
        <v>0</v>
      </c>
      <c r="Q276" t="n">
        <v>2</v>
      </c>
      <c r="R276" s="2" t="inlineStr">
        <is>
          <t>Granticka
Tretåig hackspett</t>
        </is>
      </c>
      <c r="S276">
        <f>HYPERLINK("https://klasma.github.io/Logging_ARJEPLOG/artfynd/A 17549-2023.xlsx", "A 17549-2023")</f>
        <v/>
      </c>
      <c r="T276">
        <f>HYPERLINK("https://klasma.github.io/Logging_ARJEPLOG/kartor/A 17549-2023.png", "A 17549-2023")</f>
        <v/>
      </c>
      <c r="V276">
        <f>HYPERLINK("https://klasma.github.io/Logging_ARJEPLOG/klagomål/A 17549-2023.docx", "A 17549-2023")</f>
        <v/>
      </c>
      <c r="W276">
        <f>HYPERLINK("https://klasma.github.io/Logging_ARJEPLOG/klagomålsmail/A 17549-2023.docx", "A 17549-2023")</f>
        <v/>
      </c>
      <c r="X276">
        <f>HYPERLINK("https://klasma.github.io/Logging_ARJEPLOG/tillsyn/A 17549-2023.docx", "A 17549-2023")</f>
        <v/>
      </c>
      <c r="Y276">
        <f>HYPERLINK("https://klasma.github.io/Logging_ARJEPLOG/tillsynsmail/A 17549-2023.docx", "A 17549-2023")</f>
        <v/>
      </c>
    </row>
    <row r="277" ht="15" customHeight="1">
      <c r="A277" t="inlineStr">
        <is>
          <t>A 22906-2023</t>
        </is>
      </c>
      <c r="B277" s="1" t="n">
        <v>45072</v>
      </c>
      <c r="C277" s="1" t="n">
        <v>45206</v>
      </c>
      <c r="D277" t="inlineStr">
        <is>
          <t>NORRBOTTENS LÄN</t>
        </is>
      </c>
      <c r="E277" t="inlineStr">
        <is>
          <t>BODEN</t>
        </is>
      </c>
      <c r="F277" t="inlineStr">
        <is>
          <t>Sveaskog</t>
        </is>
      </c>
      <c r="G277" t="n">
        <v>3.5</v>
      </c>
      <c r="H277" t="n">
        <v>2</v>
      </c>
      <c r="I277" t="n">
        <v>0</v>
      </c>
      <c r="J277" t="n">
        <v>2</v>
      </c>
      <c r="K277" t="n">
        <v>0</v>
      </c>
      <c r="L277" t="n">
        <v>0</v>
      </c>
      <c r="M277" t="n">
        <v>0</v>
      </c>
      <c r="N277" t="n">
        <v>0</v>
      </c>
      <c r="O277" t="n">
        <v>2</v>
      </c>
      <c r="P277" t="n">
        <v>0</v>
      </c>
      <c r="Q277" t="n">
        <v>2</v>
      </c>
      <c r="R277" s="2" t="inlineStr">
        <is>
          <t>Talltita
Utter</t>
        </is>
      </c>
      <c r="S277">
        <f>HYPERLINK("https://klasma.github.io/Logging_BODEN/artfynd/A 22906-2023.xlsx", "A 22906-2023")</f>
        <v/>
      </c>
      <c r="T277">
        <f>HYPERLINK("https://klasma.github.io/Logging_BODEN/kartor/A 22906-2023.png", "A 22906-2023")</f>
        <v/>
      </c>
      <c r="V277">
        <f>HYPERLINK("https://klasma.github.io/Logging_BODEN/klagomål/A 22906-2023.docx", "A 22906-2023")</f>
        <v/>
      </c>
      <c r="W277">
        <f>HYPERLINK("https://klasma.github.io/Logging_BODEN/klagomålsmail/A 22906-2023.docx", "A 22906-2023")</f>
        <v/>
      </c>
      <c r="X277">
        <f>HYPERLINK("https://klasma.github.io/Logging_BODEN/tillsyn/A 22906-2023.docx", "A 22906-2023")</f>
        <v/>
      </c>
      <c r="Y277">
        <f>HYPERLINK("https://klasma.github.io/Logging_BODEN/tillsynsmail/A 22906-2023.docx", "A 22906-2023")</f>
        <v/>
      </c>
    </row>
    <row r="278" ht="15" customHeight="1">
      <c r="A278" t="inlineStr">
        <is>
          <t>A 27018-2023</t>
        </is>
      </c>
      <c r="B278" s="1" t="n">
        <v>45094</v>
      </c>
      <c r="C278" s="1" t="n">
        <v>45206</v>
      </c>
      <c r="D278" t="inlineStr">
        <is>
          <t>NORRBOTTENS LÄN</t>
        </is>
      </c>
      <c r="E278" t="inlineStr">
        <is>
          <t>JOKKMOKK</t>
        </is>
      </c>
      <c r="F278" t="inlineStr">
        <is>
          <t>SCA</t>
        </is>
      </c>
      <c r="G278" t="n">
        <v>4.9</v>
      </c>
      <c r="H278" t="n">
        <v>0</v>
      </c>
      <c r="I278" t="n">
        <v>2</v>
      </c>
      <c r="J278" t="n">
        <v>0</v>
      </c>
      <c r="K278" t="n">
        <v>0</v>
      </c>
      <c r="L278" t="n">
        <v>0</v>
      </c>
      <c r="M278" t="n">
        <v>0</v>
      </c>
      <c r="N278" t="n">
        <v>0</v>
      </c>
      <c r="O278" t="n">
        <v>0</v>
      </c>
      <c r="P278" t="n">
        <v>0</v>
      </c>
      <c r="Q278" t="n">
        <v>2</v>
      </c>
      <c r="R278" s="2" t="inlineStr">
        <is>
          <t>Skinnlav
Vedticka</t>
        </is>
      </c>
      <c r="S278">
        <f>HYPERLINK("https://klasma.github.io/Logging_JOKKMOKK/artfynd/A 27018-2023.xlsx", "A 27018-2023")</f>
        <v/>
      </c>
      <c r="T278">
        <f>HYPERLINK("https://klasma.github.io/Logging_JOKKMOKK/kartor/A 27018-2023.png", "A 27018-2023")</f>
        <v/>
      </c>
      <c r="V278">
        <f>HYPERLINK("https://klasma.github.io/Logging_JOKKMOKK/klagomål/A 27018-2023.docx", "A 27018-2023")</f>
        <v/>
      </c>
      <c r="W278">
        <f>HYPERLINK("https://klasma.github.io/Logging_JOKKMOKK/klagomålsmail/A 27018-2023.docx", "A 27018-2023")</f>
        <v/>
      </c>
      <c r="X278">
        <f>HYPERLINK("https://klasma.github.io/Logging_JOKKMOKK/tillsyn/A 27018-2023.docx", "A 27018-2023")</f>
        <v/>
      </c>
      <c r="Y278">
        <f>HYPERLINK("https://klasma.github.io/Logging_JOKKMOKK/tillsynsmail/A 27018-2023.docx", "A 27018-2023")</f>
        <v/>
      </c>
    </row>
    <row r="279" ht="15" customHeight="1">
      <c r="A279" t="inlineStr">
        <is>
          <t>A 36252-2023</t>
        </is>
      </c>
      <c r="B279" s="1" t="n">
        <v>45150</v>
      </c>
      <c r="C279" s="1" t="n">
        <v>45206</v>
      </c>
      <c r="D279" t="inlineStr">
        <is>
          <t>NORRBOTTENS LÄN</t>
        </is>
      </c>
      <c r="E279" t="inlineStr">
        <is>
          <t>GÄLLIVARE</t>
        </is>
      </c>
      <c r="F279" t="inlineStr">
        <is>
          <t>SCA</t>
        </is>
      </c>
      <c r="G279" t="n">
        <v>14.1</v>
      </c>
      <c r="H279" t="n">
        <v>0</v>
      </c>
      <c r="I279" t="n">
        <v>0</v>
      </c>
      <c r="J279" t="n">
        <v>2</v>
      </c>
      <c r="K279" t="n">
        <v>0</v>
      </c>
      <c r="L279" t="n">
        <v>0</v>
      </c>
      <c r="M279" t="n">
        <v>0</v>
      </c>
      <c r="N279" t="n">
        <v>0</v>
      </c>
      <c r="O279" t="n">
        <v>2</v>
      </c>
      <c r="P279" t="n">
        <v>0</v>
      </c>
      <c r="Q279" t="n">
        <v>2</v>
      </c>
      <c r="R279" s="2" t="inlineStr">
        <is>
          <t>Svartvit taggsvamp
Talltaggsvamp</t>
        </is>
      </c>
      <c r="S279">
        <f>HYPERLINK("https://klasma.github.io/Logging_GALLIVARE/artfynd/A 36252-2023.xlsx", "A 36252-2023")</f>
        <v/>
      </c>
      <c r="T279">
        <f>HYPERLINK("https://klasma.github.io/Logging_GALLIVARE/kartor/A 36252-2023.png", "A 36252-2023")</f>
        <v/>
      </c>
      <c r="V279">
        <f>HYPERLINK("https://klasma.github.io/Logging_GALLIVARE/klagomål/A 36252-2023.docx", "A 36252-2023")</f>
        <v/>
      </c>
      <c r="W279">
        <f>HYPERLINK("https://klasma.github.io/Logging_GALLIVARE/klagomålsmail/A 36252-2023.docx", "A 36252-2023")</f>
        <v/>
      </c>
      <c r="X279">
        <f>HYPERLINK("https://klasma.github.io/Logging_GALLIVARE/tillsyn/A 36252-2023.docx", "A 36252-2023")</f>
        <v/>
      </c>
      <c r="Y279">
        <f>HYPERLINK("https://klasma.github.io/Logging_GALLIVARE/tillsynsmail/A 36252-2023.docx", "A 36252-2023")</f>
        <v/>
      </c>
    </row>
    <row r="280" ht="15" customHeight="1">
      <c r="A280" t="inlineStr">
        <is>
          <t>A 38557-2023</t>
        </is>
      </c>
      <c r="B280" s="1" t="n">
        <v>45160</v>
      </c>
      <c r="C280" s="1" t="n">
        <v>45206</v>
      </c>
      <c r="D280" t="inlineStr">
        <is>
          <t>NORRBOTTENS LÄN</t>
        </is>
      </c>
      <c r="E280" t="inlineStr">
        <is>
          <t>PAJALA</t>
        </is>
      </c>
      <c r="G280" t="n">
        <v>14.1</v>
      </c>
      <c r="H280" t="n">
        <v>2</v>
      </c>
      <c r="I280" t="n">
        <v>0</v>
      </c>
      <c r="J280" t="n">
        <v>0</v>
      </c>
      <c r="K280" t="n">
        <v>1</v>
      </c>
      <c r="L280" t="n">
        <v>0</v>
      </c>
      <c r="M280" t="n">
        <v>0</v>
      </c>
      <c r="N280" t="n">
        <v>0</v>
      </c>
      <c r="O280" t="n">
        <v>1</v>
      </c>
      <c r="P280" t="n">
        <v>1</v>
      </c>
      <c r="Q280" t="n">
        <v>2</v>
      </c>
      <c r="R280" s="2" t="inlineStr">
        <is>
          <t>Knärot
Revlummer</t>
        </is>
      </c>
      <c r="S280">
        <f>HYPERLINK("https://klasma.github.io/Logging_PAJALA/artfynd/A 38557-2023.xlsx", "A 38557-2023")</f>
        <v/>
      </c>
      <c r="T280">
        <f>HYPERLINK("https://klasma.github.io/Logging_PAJALA/kartor/A 38557-2023.png", "A 38557-2023")</f>
        <v/>
      </c>
      <c r="U280">
        <f>HYPERLINK("https://klasma.github.io/Logging_PAJALA/knärot/A 38557-2023.png", "A 38557-2023")</f>
        <v/>
      </c>
      <c r="V280">
        <f>HYPERLINK("https://klasma.github.io/Logging_PAJALA/klagomål/A 38557-2023.docx", "A 38557-2023")</f>
        <v/>
      </c>
      <c r="W280">
        <f>HYPERLINK("https://klasma.github.io/Logging_PAJALA/klagomålsmail/A 38557-2023.docx", "A 38557-2023")</f>
        <v/>
      </c>
      <c r="X280">
        <f>HYPERLINK("https://klasma.github.io/Logging_PAJALA/tillsyn/A 38557-2023.docx", "A 38557-2023")</f>
        <v/>
      </c>
      <c r="Y280">
        <f>HYPERLINK("https://klasma.github.io/Logging_PAJALA/tillsynsmail/A 38557-2023.docx", "A 38557-2023")</f>
        <v/>
      </c>
    </row>
    <row r="281" ht="15" customHeight="1">
      <c r="A281" t="inlineStr">
        <is>
          <t>A 44185-2023</t>
        </is>
      </c>
      <c r="B281" s="1" t="n">
        <v>45188</v>
      </c>
      <c r="C281" s="1" t="n">
        <v>45206</v>
      </c>
      <c r="D281" t="inlineStr">
        <is>
          <t>NORRBOTTENS LÄN</t>
        </is>
      </c>
      <c r="E281" t="inlineStr">
        <is>
          <t>BODEN</t>
        </is>
      </c>
      <c r="F281" t="inlineStr">
        <is>
          <t>Sveaskog</t>
        </is>
      </c>
      <c r="G281" t="n">
        <v>22</v>
      </c>
      <c r="H281" t="n">
        <v>1</v>
      </c>
      <c r="I281" t="n">
        <v>1</v>
      </c>
      <c r="J281" t="n">
        <v>0</v>
      </c>
      <c r="K281" t="n">
        <v>1</v>
      </c>
      <c r="L281" t="n">
        <v>0</v>
      </c>
      <c r="M281" t="n">
        <v>0</v>
      </c>
      <c r="N281" t="n">
        <v>0</v>
      </c>
      <c r="O281" t="n">
        <v>1</v>
      </c>
      <c r="P281" t="n">
        <v>1</v>
      </c>
      <c r="Q281" t="n">
        <v>2</v>
      </c>
      <c r="R281" s="2" t="inlineStr">
        <is>
          <t>Doftticka
Stuplav</t>
        </is>
      </c>
      <c r="S281">
        <f>HYPERLINK("https://klasma.github.io/Logging_BODEN/artfynd/A 44185-2023.xlsx", "A 44185-2023")</f>
        <v/>
      </c>
      <c r="T281">
        <f>HYPERLINK("https://klasma.github.io/Logging_BODEN/kartor/A 44185-2023.png", "A 44185-2023")</f>
        <v/>
      </c>
      <c r="V281">
        <f>HYPERLINK("https://klasma.github.io/Logging_BODEN/klagomål/A 44185-2023.docx", "A 44185-2023")</f>
        <v/>
      </c>
      <c r="W281">
        <f>HYPERLINK("https://klasma.github.io/Logging_BODEN/klagomålsmail/A 44185-2023.docx", "A 44185-2023")</f>
        <v/>
      </c>
      <c r="X281">
        <f>HYPERLINK("https://klasma.github.io/Logging_BODEN/tillsyn/A 44185-2023.docx", "A 44185-2023")</f>
        <v/>
      </c>
      <c r="Y281">
        <f>HYPERLINK("https://klasma.github.io/Logging_BODEN/tillsynsmail/A 44185-2023.docx", "A 44185-2023")</f>
        <v/>
      </c>
    </row>
    <row r="282" ht="15" customHeight="1">
      <c r="A282" t="inlineStr">
        <is>
          <t>A 35173-2018</t>
        </is>
      </c>
      <c r="B282" s="1" t="n">
        <v>43322</v>
      </c>
      <c r="C282" s="1" t="n">
        <v>45206</v>
      </c>
      <c r="D282" t="inlineStr">
        <is>
          <t>NORRBOTTENS LÄN</t>
        </is>
      </c>
      <c r="E282" t="inlineStr">
        <is>
          <t>BODEN</t>
        </is>
      </c>
      <c r="G282" t="n">
        <v>5.6</v>
      </c>
      <c r="H282" t="n">
        <v>1</v>
      </c>
      <c r="I282" t="n">
        <v>0</v>
      </c>
      <c r="J282" t="n">
        <v>0</v>
      </c>
      <c r="K282" t="n">
        <v>1</v>
      </c>
      <c r="L282" t="n">
        <v>0</v>
      </c>
      <c r="M282" t="n">
        <v>0</v>
      </c>
      <c r="N282" t="n">
        <v>0</v>
      </c>
      <c r="O282" t="n">
        <v>1</v>
      </c>
      <c r="P282" t="n">
        <v>1</v>
      </c>
      <c r="Q282" t="n">
        <v>1</v>
      </c>
      <c r="R282" s="2" t="inlineStr">
        <is>
          <t>Norna</t>
        </is>
      </c>
      <c r="S282">
        <f>HYPERLINK("https://klasma.github.io/Logging_BODEN/artfynd/A 35173-2018.xlsx", "A 35173-2018")</f>
        <v/>
      </c>
      <c r="T282">
        <f>HYPERLINK("https://klasma.github.io/Logging_BODEN/kartor/A 35173-2018.png", "A 35173-2018")</f>
        <v/>
      </c>
      <c r="V282">
        <f>HYPERLINK("https://klasma.github.io/Logging_BODEN/klagomål/A 35173-2018.docx", "A 35173-2018")</f>
        <v/>
      </c>
      <c r="W282">
        <f>HYPERLINK("https://klasma.github.io/Logging_BODEN/klagomålsmail/A 35173-2018.docx", "A 35173-2018")</f>
        <v/>
      </c>
      <c r="X282">
        <f>HYPERLINK("https://klasma.github.io/Logging_BODEN/tillsyn/A 35173-2018.docx", "A 35173-2018")</f>
        <v/>
      </c>
      <c r="Y282">
        <f>HYPERLINK("https://klasma.github.io/Logging_BODEN/tillsynsmail/A 35173-2018.docx", "A 35173-2018")</f>
        <v/>
      </c>
    </row>
    <row r="283" ht="15" customHeight="1">
      <c r="A283" t="inlineStr">
        <is>
          <t>A 45410-2018</t>
        </is>
      </c>
      <c r="B283" s="1" t="n">
        <v>43361</v>
      </c>
      <c r="C283" s="1" t="n">
        <v>45206</v>
      </c>
      <c r="D283" t="inlineStr">
        <is>
          <t>NORRBOTTENS LÄN</t>
        </is>
      </c>
      <c r="E283" t="inlineStr">
        <is>
          <t>BODEN</t>
        </is>
      </c>
      <c r="F283" t="inlineStr">
        <is>
          <t>Övriga statliga verk och myndigheter</t>
        </is>
      </c>
      <c r="G283" t="n">
        <v>17.5</v>
      </c>
      <c r="H283" t="n">
        <v>1</v>
      </c>
      <c r="I283" t="n">
        <v>0</v>
      </c>
      <c r="J283" t="n">
        <v>1</v>
      </c>
      <c r="K283" t="n">
        <v>0</v>
      </c>
      <c r="L283" t="n">
        <v>0</v>
      </c>
      <c r="M283" t="n">
        <v>0</v>
      </c>
      <c r="N283" t="n">
        <v>0</v>
      </c>
      <c r="O283" t="n">
        <v>1</v>
      </c>
      <c r="P283" t="n">
        <v>0</v>
      </c>
      <c r="Q283" t="n">
        <v>1</v>
      </c>
      <c r="R283" s="2" t="inlineStr">
        <is>
          <t>Ärtsångare</t>
        </is>
      </c>
      <c r="S283">
        <f>HYPERLINK("https://klasma.github.io/Logging_BODEN/artfynd/A 45410-2018.xlsx", "A 45410-2018")</f>
        <v/>
      </c>
      <c r="T283">
        <f>HYPERLINK("https://klasma.github.io/Logging_BODEN/kartor/A 45410-2018.png", "A 45410-2018")</f>
        <v/>
      </c>
      <c r="V283">
        <f>HYPERLINK("https://klasma.github.io/Logging_BODEN/klagomål/A 45410-2018.docx", "A 45410-2018")</f>
        <v/>
      </c>
      <c r="W283">
        <f>HYPERLINK("https://klasma.github.io/Logging_BODEN/klagomålsmail/A 45410-2018.docx", "A 45410-2018")</f>
        <v/>
      </c>
      <c r="X283">
        <f>HYPERLINK("https://klasma.github.io/Logging_BODEN/tillsyn/A 45410-2018.docx", "A 45410-2018")</f>
        <v/>
      </c>
      <c r="Y283">
        <f>HYPERLINK("https://klasma.github.io/Logging_BODEN/tillsynsmail/A 45410-2018.docx", "A 45410-2018")</f>
        <v/>
      </c>
    </row>
    <row r="284" ht="15" customHeight="1">
      <c r="A284" t="inlineStr">
        <is>
          <t>A 49746-2018</t>
        </is>
      </c>
      <c r="B284" s="1" t="n">
        <v>43374</v>
      </c>
      <c r="C284" s="1" t="n">
        <v>45206</v>
      </c>
      <c r="D284" t="inlineStr">
        <is>
          <t>NORRBOTTENS LÄN</t>
        </is>
      </c>
      <c r="E284" t="inlineStr">
        <is>
          <t>BODEN</t>
        </is>
      </c>
      <c r="F284" t="inlineStr">
        <is>
          <t>Övriga statliga verk och myndigheter</t>
        </is>
      </c>
      <c r="G284" t="n">
        <v>31.5</v>
      </c>
      <c r="H284" t="n">
        <v>0</v>
      </c>
      <c r="I284" t="n">
        <v>0</v>
      </c>
      <c r="J284" t="n">
        <v>1</v>
      </c>
      <c r="K284" t="n">
        <v>0</v>
      </c>
      <c r="L284" t="n">
        <v>0</v>
      </c>
      <c r="M284" t="n">
        <v>0</v>
      </c>
      <c r="N284" t="n">
        <v>0</v>
      </c>
      <c r="O284" t="n">
        <v>1</v>
      </c>
      <c r="P284" t="n">
        <v>0</v>
      </c>
      <c r="Q284" t="n">
        <v>1</v>
      </c>
      <c r="R284" s="2" t="inlineStr">
        <is>
          <t>Garnlav</t>
        </is>
      </c>
      <c r="S284">
        <f>HYPERLINK("https://klasma.github.io/Logging_BODEN/artfynd/A 49746-2018.xlsx", "A 49746-2018")</f>
        <v/>
      </c>
      <c r="T284">
        <f>HYPERLINK("https://klasma.github.io/Logging_BODEN/kartor/A 49746-2018.png", "A 49746-2018")</f>
        <v/>
      </c>
      <c r="V284">
        <f>HYPERLINK("https://klasma.github.io/Logging_BODEN/klagomål/A 49746-2018.docx", "A 49746-2018")</f>
        <v/>
      </c>
      <c r="W284">
        <f>HYPERLINK("https://klasma.github.io/Logging_BODEN/klagomålsmail/A 49746-2018.docx", "A 49746-2018")</f>
        <v/>
      </c>
      <c r="X284">
        <f>HYPERLINK("https://klasma.github.io/Logging_BODEN/tillsyn/A 49746-2018.docx", "A 49746-2018")</f>
        <v/>
      </c>
      <c r="Y284">
        <f>HYPERLINK("https://klasma.github.io/Logging_BODEN/tillsynsmail/A 49746-2018.docx", "A 49746-2018")</f>
        <v/>
      </c>
    </row>
    <row r="285" ht="15" customHeight="1">
      <c r="A285" t="inlineStr">
        <is>
          <t>A 48853-2018</t>
        </is>
      </c>
      <c r="B285" s="1" t="n">
        <v>43375</v>
      </c>
      <c r="C285" s="1" t="n">
        <v>45206</v>
      </c>
      <c r="D285" t="inlineStr">
        <is>
          <t>NORRBOTTENS LÄN</t>
        </is>
      </c>
      <c r="E285" t="inlineStr">
        <is>
          <t>LULEÅ</t>
        </is>
      </c>
      <c r="F285" t="inlineStr">
        <is>
          <t>SCA</t>
        </is>
      </c>
      <c r="G285" t="n">
        <v>3.2</v>
      </c>
      <c r="H285" t="n">
        <v>0</v>
      </c>
      <c r="I285" t="n">
        <v>0</v>
      </c>
      <c r="J285" t="n">
        <v>0</v>
      </c>
      <c r="K285" t="n">
        <v>0</v>
      </c>
      <c r="L285" t="n">
        <v>1</v>
      </c>
      <c r="M285" t="n">
        <v>0</v>
      </c>
      <c r="N285" t="n">
        <v>0</v>
      </c>
      <c r="O285" t="n">
        <v>1</v>
      </c>
      <c r="P285" t="n">
        <v>1</v>
      </c>
      <c r="Q285" t="n">
        <v>1</v>
      </c>
      <c r="R285" s="2" t="inlineStr">
        <is>
          <t>Större svartbagge</t>
        </is>
      </c>
      <c r="S285">
        <f>HYPERLINK("https://klasma.github.io/Logging_LULEA/artfynd/A 48853-2018.xlsx", "A 48853-2018")</f>
        <v/>
      </c>
      <c r="T285">
        <f>HYPERLINK("https://klasma.github.io/Logging_LULEA/kartor/A 48853-2018.png", "A 48853-2018")</f>
        <v/>
      </c>
      <c r="V285">
        <f>HYPERLINK("https://klasma.github.io/Logging_LULEA/klagomål/A 48853-2018.docx", "A 48853-2018")</f>
        <v/>
      </c>
      <c r="W285">
        <f>HYPERLINK("https://klasma.github.io/Logging_LULEA/klagomålsmail/A 48853-2018.docx", "A 48853-2018")</f>
        <v/>
      </c>
      <c r="X285">
        <f>HYPERLINK("https://klasma.github.io/Logging_LULEA/tillsyn/A 48853-2018.docx", "A 48853-2018")</f>
        <v/>
      </c>
      <c r="Y285">
        <f>HYPERLINK("https://klasma.github.io/Logging_LULEA/tillsynsmail/A 48853-2018.docx", "A 48853-2018")</f>
        <v/>
      </c>
    </row>
    <row r="286" ht="15" customHeight="1">
      <c r="A286" t="inlineStr">
        <is>
          <t>A 50665-2018</t>
        </is>
      </c>
      <c r="B286" s="1" t="n">
        <v>43381</v>
      </c>
      <c r="C286" s="1" t="n">
        <v>45206</v>
      </c>
      <c r="D286" t="inlineStr">
        <is>
          <t>NORRBOTTENS LÄN</t>
        </is>
      </c>
      <c r="E286" t="inlineStr">
        <is>
          <t>PAJALA</t>
        </is>
      </c>
      <c r="G286" t="n">
        <v>6.6</v>
      </c>
      <c r="H286" t="n">
        <v>1</v>
      </c>
      <c r="I286" t="n">
        <v>0</v>
      </c>
      <c r="J286" t="n">
        <v>0</v>
      </c>
      <c r="K286" t="n">
        <v>0</v>
      </c>
      <c r="L286" t="n">
        <v>0</v>
      </c>
      <c r="M286" t="n">
        <v>0</v>
      </c>
      <c r="N286" t="n">
        <v>0</v>
      </c>
      <c r="O286" t="n">
        <v>0</v>
      </c>
      <c r="P286" t="n">
        <v>0</v>
      </c>
      <c r="Q286" t="n">
        <v>1</v>
      </c>
      <c r="R286" s="2" t="inlineStr">
        <is>
          <t>Vanlig groda</t>
        </is>
      </c>
      <c r="S286">
        <f>HYPERLINK("https://klasma.github.io/Logging_PAJALA/artfynd/A 50665-2018.xlsx", "A 50665-2018")</f>
        <v/>
      </c>
      <c r="T286">
        <f>HYPERLINK("https://klasma.github.io/Logging_PAJALA/kartor/A 50665-2018.png", "A 50665-2018")</f>
        <v/>
      </c>
      <c r="V286">
        <f>HYPERLINK("https://klasma.github.io/Logging_PAJALA/klagomål/A 50665-2018.docx", "A 50665-2018")</f>
        <v/>
      </c>
      <c r="W286">
        <f>HYPERLINK("https://klasma.github.io/Logging_PAJALA/klagomålsmail/A 50665-2018.docx", "A 50665-2018")</f>
        <v/>
      </c>
      <c r="X286">
        <f>HYPERLINK("https://klasma.github.io/Logging_PAJALA/tillsyn/A 50665-2018.docx", "A 50665-2018")</f>
        <v/>
      </c>
      <c r="Y286">
        <f>HYPERLINK("https://klasma.github.io/Logging_PAJALA/tillsynsmail/A 50665-2018.docx", "A 50665-2018")</f>
        <v/>
      </c>
    </row>
    <row r="287" ht="15" customHeight="1">
      <c r="A287" t="inlineStr">
        <is>
          <t>A 52392-2018</t>
        </is>
      </c>
      <c r="B287" s="1" t="n">
        <v>43388</v>
      </c>
      <c r="C287" s="1" t="n">
        <v>45206</v>
      </c>
      <c r="D287" t="inlineStr">
        <is>
          <t>NORRBOTTENS LÄN</t>
        </is>
      </c>
      <c r="E287" t="inlineStr">
        <is>
          <t>GÄLLIVARE</t>
        </is>
      </c>
      <c r="F287" t="inlineStr">
        <is>
          <t>Sveaskog</t>
        </is>
      </c>
      <c r="G287" t="n">
        <v>2</v>
      </c>
      <c r="H287" t="n">
        <v>0</v>
      </c>
      <c r="I287" t="n">
        <v>0</v>
      </c>
      <c r="J287" t="n">
        <v>1</v>
      </c>
      <c r="K287" t="n">
        <v>0</v>
      </c>
      <c r="L287" t="n">
        <v>0</v>
      </c>
      <c r="M287" t="n">
        <v>0</v>
      </c>
      <c r="N287" t="n">
        <v>0</v>
      </c>
      <c r="O287" t="n">
        <v>1</v>
      </c>
      <c r="P287" t="n">
        <v>0</v>
      </c>
      <c r="Q287" t="n">
        <v>1</v>
      </c>
      <c r="R287" s="2" t="inlineStr">
        <is>
          <t>Gammelgransskål</t>
        </is>
      </c>
      <c r="S287">
        <f>HYPERLINK("https://klasma.github.io/Logging_GALLIVARE/artfynd/A 52392-2018.xlsx", "A 52392-2018")</f>
        <v/>
      </c>
      <c r="T287">
        <f>HYPERLINK("https://klasma.github.io/Logging_GALLIVARE/kartor/A 52392-2018.png", "A 52392-2018")</f>
        <v/>
      </c>
      <c r="V287">
        <f>HYPERLINK("https://klasma.github.io/Logging_GALLIVARE/klagomål/A 52392-2018.docx", "A 52392-2018")</f>
        <v/>
      </c>
      <c r="W287">
        <f>HYPERLINK("https://klasma.github.io/Logging_GALLIVARE/klagomålsmail/A 52392-2018.docx", "A 52392-2018")</f>
        <v/>
      </c>
      <c r="X287">
        <f>HYPERLINK("https://klasma.github.io/Logging_GALLIVARE/tillsyn/A 52392-2018.docx", "A 52392-2018")</f>
        <v/>
      </c>
      <c r="Y287">
        <f>HYPERLINK("https://klasma.github.io/Logging_GALLIVARE/tillsynsmail/A 52392-2018.docx", "A 52392-2018")</f>
        <v/>
      </c>
    </row>
    <row r="288" ht="15" customHeight="1">
      <c r="A288" t="inlineStr">
        <is>
          <t>A 54845-2018</t>
        </is>
      </c>
      <c r="B288" s="1" t="n">
        <v>43396</v>
      </c>
      <c r="C288" s="1" t="n">
        <v>45206</v>
      </c>
      <c r="D288" t="inlineStr">
        <is>
          <t>NORRBOTTENS LÄN</t>
        </is>
      </c>
      <c r="E288" t="inlineStr">
        <is>
          <t>KALIX</t>
        </is>
      </c>
      <c r="G288" t="n">
        <v>9.5</v>
      </c>
      <c r="H288" t="n">
        <v>0</v>
      </c>
      <c r="I288" t="n">
        <v>0</v>
      </c>
      <c r="J288" t="n">
        <v>1</v>
      </c>
      <c r="K288" t="n">
        <v>0</v>
      </c>
      <c r="L288" t="n">
        <v>0</v>
      </c>
      <c r="M288" t="n">
        <v>0</v>
      </c>
      <c r="N288" t="n">
        <v>0</v>
      </c>
      <c r="O288" t="n">
        <v>1</v>
      </c>
      <c r="P288" t="n">
        <v>0</v>
      </c>
      <c r="Q288" t="n">
        <v>1</v>
      </c>
      <c r="R288" s="2" t="inlineStr">
        <is>
          <t>Skrovlig taggsvamp</t>
        </is>
      </c>
      <c r="S288">
        <f>HYPERLINK("https://klasma.github.io/Logging_KALIX/artfynd/A 54845-2018.xlsx", "A 54845-2018")</f>
        <v/>
      </c>
      <c r="T288">
        <f>HYPERLINK("https://klasma.github.io/Logging_KALIX/kartor/A 54845-2018.png", "A 54845-2018")</f>
        <v/>
      </c>
      <c r="V288">
        <f>HYPERLINK("https://klasma.github.io/Logging_KALIX/klagomål/A 54845-2018.docx", "A 54845-2018")</f>
        <v/>
      </c>
      <c r="W288">
        <f>HYPERLINK("https://klasma.github.io/Logging_KALIX/klagomålsmail/A 54845-2018.docx", "A 54845-2018")</f>
        <v/>
      </c>
      <c r="X288">
        <f>HYPERLINK("https://klasma.github.io/Logging_KALIX/tillsyn/A 54845-2018.docx", "A 54845-2018")</f>
        <v/>
      </c>
      <c r="Y288">
        <f>HYPERLINK("https://klasma.github.io/Logging_KALIX/tillsynsmail/A 54845-2018.docx", "A 54845-2018")</f>
        <v/>
      </c>
    </row>
    <row r="289" ht="15" customHeight="1">
      <c r="A289" t="inlineStr">
        <is>
          <t>A 55415-2018</t>
        </is>
      </c>
      <c r="B289" s="1" t="n">
        <v>43397</v>
      </c>
      <c r="C289" s="1" t="n">
        <v>45206</v>
      </c>
      <c r="D289" t="inlineStr">
        <is>
          <t>NORRBOTTENS LÄN</t>
        </is>
      </c>
      <c r="E289" t="inlineStr">
        <is>
          <t>BODEN</t>
        </is>
      </c>
      <c r="F289" t="inlineStr">
        <is>
          <t>Sveaskog</t>
        </is>
      </c>
      <c r="G289" t="n">
        <v>3.9</v>
      </c>
      <c r="H289" t="n">
        <v>1</v>
      </c>
      <c r="I289" t="n">
        <v>0</v>
      </c>
      <c r="J289" t="n">
        <v>0</v>
      </c>
      <c r="K289" t="n">
        <v>0</v>
      </c>
      <c r="L289" t="n">
        <v>0</v>
      </c>
      <c r="M289" t="n">
        <v>0</v>
      </c>
      <c r="N289" t="n">
        <v>0</v>
      </c>
      <c r="O289" t="n">
        <v>0</v>
      </c>
      <c r="P289" t="n">
        <v>0</v>
      </c>
      <c r="Q289" t="n">
        <v>1</v>
      </c>
      <c r="R289" s="2" t="inlineStr">
        <is>
          <t>Nattviol</t>
        </is>
      </c>
      <c r="S289">
        <f>HYPERLINK("https://klasma.github.io/Logging_BODEN/artfynd/A 55415-2018.xlsx", "A 55415-2018")</f>
        <v/>
      </c>
      <c r="T289">
        <f>HYPERLINK("https://klasma.github.io/Logging_BODEN/kartor/A 55415-2018.png", "A 55415-2018")</f>
        <v/>
      </c>
      <c r="V289">
        <f>HYPERLINK("https://klasma.github.io/Logging_BODEN/klagomål/A 55415-2018.docx", "A 55415-2018")</f>
        <v/>
      </c>
      <c r="W289">
        <f>HYPERLINK("https://klasma.github.io/Logging_BODEN/klagomålsmail/A 55415-2018.docx", "A 55415-2018")</f>
        <v/>
      </c>
      <c r="X289">
        <f>HYPERLINK("https://klasma.github.io/Logging_BODEN/tillsyn/A 55415-2018.docx", "A 55415-2018")</f>
        <v/>
      </c>
      <c r="Y289">
        <f>HYPERLINK("https://klasma.github.io/Logging_BODEN/tillsynsmail/A 55415-2018.docx", "A 55415-2018")</f>
        <v/>
      </c>
    </row>
    <row r="290" ht="15" customHeight="1">
      <c r="A290" t="inlineStr">
        <is>
          <t>A 56209-2018</t>
        </is>
      </c>
      <c r="B290" s="1" t="n">
        <v>43399</v>
      </c>
      <c r="C290" s="1" t="n">
        <v>45206</v>
      </c>
      <c r="D290" t="inlineStr">
        <is>
          <t>NORRBOTTENS LÄN</t>
        </is>
      </c>
      <c r="E290" t="inlineStr">
        <is>
          <t>BODEN</t>
        </is>
      </c>
      <c r="F290" t="inlineStr">
        <is>
          <t>Sveaskog</t>
        </is>
      </c>
      <c r="G290" t="n">
        <v>11.6</v>
      </c>
      <c r="H290" t="n">
        <v>0</v>
      </c>
      <c r="I290" t="n">
        <v>0</v>
      </c>
      <c r="J290" t="n">
        <v>1</v>
      </c>
      <c r="K290" t="n">
        <v>0</v>
      </c>
      <c r="L290" t="n">
        <v>0</v>
      </c>
      <c r="M290" t="n">
        <v>0</v>
      </c>
      <c r="N290" t="n">
        <v>0</v>
      </c>
      <c r="O290" t="n">
        <v>1</v>
      </c>
      <c r="P290" t="n">
        <v>0</v>
      </c>
      <c r="Q290" t="n">
        <v>1</v>
      </c>
      <c r="R290" s="2" t="inlineStr">
        <is>
          <t>Gammelgransskål</t>
        </is>
      </c>
      <c r="S290">
        <f>HYPERLINK("https://klasma.github.io/Logging_BODEN/artfynd/A 56209-2018.xlsx", "A 56209-2018")</f>
        <v/>
      </c>
      <c r="T290">
        <f>HYPERLINK("https://klasma.github.io/Logging_BODEN/kartor/A 56209-2018.png", "A 56209-2018")</f>
        <v/>
      </c>
      <c r="V290">
        <f>HYPERLINK("https://klasma.github.io/Logging_BODEN/klagomål/A 56209-2018.docx", "A 56209-2018")</f>
        <v/>
      </c>
      <c r="W290">
        <f>HYPERLINK("https://klasma.github.io/Logging_BODEN/klagomålsmail/A 56209-2018.docx", "A 56209-2018")</f>
        <v/>
      </c>
      <c r="X290">
        <f>HYPERLINK("https://klasma.github.io/Logging_BODEN/tillsyn/A 56209-2018.docx", "A 56209-2018")</f>
        <v/>
      </c>
      <c r="Y290">
        <f>HYPERLINK("https://klasma.github.io/Logging_BODEN/tillsynsmail/A 56209-2018.docx", "A 56209-2018")</f>
        <v/>
      </c>
    </row>
    <row r="291" ht="15" customHeight="1">
      <c r="A291" t="inlineStr">
        <is>
          <t>A 60735-2018</t>
        </is>
      </c>
      <c r="B291" s="1" t="n">
        <v>43409</v>
      </c>
      <c r="C291" s="1" t="n">
        <v>45206</v>
      </c>
      <c r="D291" t="inlineStr">
        <is>
          <t>NORRBOTTENS LÄN</t>
        </is>
      </c>
      <c r="E291" t="inlineStr">
        <is>
          <t>ARJEPLOG</t>
        </is>
      </c>
      <c r="G291" t="n">
        <v>38.9</v>
      </c>
      <c r="H291" t="n">
        <v>0</v>
      </c>
      <c r="I291" t="n">
        <v>0</v>
      </c>
      <c r="J291" t="n">
        <v>1</v>
      </c>
      <c r="K291" t="n">
        <v>0</v>
      </c>
      <c r="L291" t="n">
        <v>0</v>
      </c>
      <c r="M291" t="n">
        <v>0</v>
      </c>
      <c r="N291" t="n">
        <v>0</v>
      </c>
      <c r="O291" t="n">
        <v>1</v>
      </c>
      <c r="P291" t="n">
        <v>0</v>
      </c>
      <c r="Q291" t="n">
        <v>1</v>
      </c>
      <c r="R291" s="2" t="inlineStr">
        <is>
          <t>Gränsticka</t>
        </is>
      </c>
      <c r="S291">
        <f>HYPERLINK("https://klasma.github.io/Logging_ARJEPLOG/artfynd/A 60735-2018.xlsx", "A 60735-2018")</f>
        <v/>
      </c>
      <c r="T291">
        <f>HYPERLINK("https://klasma.github.io/Logging_ARJEPLOG/kartor/A 60735-2018.png", "A 60735-2018")</f>
        <v/>
      </c>
      <c r="V291">
        <f>HYPERLINK("https://klasma.github.io/Logging_ARJEPLOG/klagomål/A 60735-2018.docx", "A 60735-2018")</f>
        <v/>
      </c>
      <c r="W291">
        <f>HYPERLINK("https://klasma.github.io/Logging_ARJEPLOG/klagomålsmail/A 60735-2018.docx", "A 60735-2018")</f>
        <v/>
      </c>
      <c r="X291">
        <f>HYPERLINK("https://klasma.github.io/Logging_ARJEPLOG/tillsyn/A 60735-2018.docx", "A 60735-2018")</f>
        <v/>
      </c>
      <c r="Y291">
        <f>HYPERLINK("https://klasma.github.io/Logging_ARJEPLOG/tillsynsmail/A 60735-2018.docx", "A 60735-2018")</f>
        <v/>
      </c>
    </row>
    <row r="292" ht="15" customHeight="1">
      <c r="A292" t="inlineStr">
        <is>
          <t>A 63639-2018</t>
        </is>
      </c>
      <c r="B292" s="1" t="n">
        <v>43427</v>
      </c>
      <c r="C292" s="1" t="n">
        <v>45206</v>
      </c>
      <c r="D292" t="inlineStr">
        <is>
          <t>NORRBOTTENS LÄN</t>
        </is>
      </c>
      <c r="E292" t="inlineStr">
        <is>
          <t>BODEN</t>
        </is>
      </c>
      <c r="F292" t="inlineStr">
        <is>
          <t>SCA</t>
        </is>
      </c>
      <c r="G292" t="n">
        <v>3.2</v>
      </c>
      <c r="H292" t="n">
        <v>0</v>
      </c>
      <c r="I292" t="n">
        <v>0</v>
      </c>
      <c r="J292" t="n">
        <v>1</v>
      </c>
      <c r="K292" t="n">
        <v>0</v>
      </c>
      <c r="L292" t="n">
        <v>0</v>
      </c>
      <c r="M292" t="n">
        <v>0</v>
      </c>
      <c r="N292" t="n">
        <v>0</v>
      </c>
      <c r="O292" t="n">
        <v>1</v>
      </c>
      <c r="P292" t="n">
        <v>0</v>
      </c>
      <c r="Q292" t="n">
        <v>1</v>
      </c>
      <c r="R292" s="2" t="inlineStr">
        <is>
          <t>Rödbrun blekspik</t>
        </is>
      </c>
      <c r="S292">
        <f>HYPERLINK("https://klasma.github.io/Logging_BODEN/artfynd/A 63639-2018.xlsx", "A 63639-2018")</f>
        <v/>
      </c>
      <c r="T292">
        <f>HYPERLINK("https://klasma.github.io/Logging_BODEN/kartor/A 63639-2018.png", "A 63639-2018")</f>
        <v/>
      </c>
      <c r="V292">
        <f>HYPERLINK("https://klasma.github.io/Logging_BODEN/klagomål/A 63639-2018.docx", "A 63639-2018")</f>
        <v/>
      </c>
      <c r="W292">
        <f>HYPERLINK("https://klasma.github.io/Logging_BODEN/klagomålsmail/A 63639-2018.docx", "A 63639-2018")</f>
        <v/>
      </c>
      <c r="X292">
        <f>HYPERLINK("https://klasma.github.io/Logging_BODEN/tillsyn/A 63639-2018.docx", "A 63639-2018")</f>
        <v/>
      </c>
      <c r="Y292">
        <f>HYPERLINK("https://klasma.github.io/Logging_BODEN/tillsynsmail/A 63639-2018.docx", "A 63639-2018")</f>
        <v/>
      </c>
    </row>
    <row r="293" ht="15" customHeight="1">
      <c r="A293" t="inlineStr">
        <is>
          <t>A 65964-2018</t>
        </is>
      </c>
      <c r="B293" s="1" t="n">
        <v>43434</v>
      </c>
      <c r="C293" s="1" t="n">
        <v>45206</v>
      </c>
      <c r="D293" t="inlineStr">
        <is>
          <t>NORRBOTTENS LÄN</t>
        </is>
      </c>
      <c r="E293" t="inlineStr">
        <is>
          <t>LULEÅ</t>
        </is>
      </c>
      <c r="G293" t="n">
        <v>8.800000000000001</v>
      </c>
      <c r="H293" t="n">
        <v>1</v>
      </c>
      <c r="I293" t="n">
        <v>0</v>
      </c>
      <c r="J293" t="n">
        <v>1</v>
      </c>
      <c r="K293" t="n">
        <v>0</v>
      </c>
      <c r="L293" t="n">
        <v>0</v>
      </c>
      <c r="M293" t="n">
        <v>0</v>
      </c>
      <c r="N293" t="n">
        <v>0</v>
      </c>
      <c r="O293" t="n">
        <v>1</v>
      </c>
      <c r="P293" t="n">
        <v>0</v>
      </c>
      <c r="Q293" t="n">
        <v>1</v>
      </c>
      <c r="R293" s="2" t="inlineStr">
        <is>
          <t>Blå kärrhök</t>
        </is>
      </c>
      <c r="S293">
        <f>HYPERLINK("https://klasma.github.io/Logging_LULEA/artfynd/A 65964-2018.xlsx", "A 65964-2018")</f>
        <v/>
      </c>
      <c r="T293">
        <f>HYPERLINK("https://klasma.github.io/Logging_LULEA/kartor/A 65964-2018.png", "A 65964-2018")</f>
        <v/>
      </c>
      <c r="V293">
        <f>HYPERLINK("https://klasma.github.io/Logging_LULEA/klagomål/A 65964-2018.docx", "A 65964-2018")</f>
        <v/>
      </c>
      <c r="W293">
        <f>HYPERLINK("https://klasma.github.io/Logging_LULEA/klagomålsmail/A 65964-2018.docx", "A 65964-2018")</f>
        <v/>
      </c>
      <c r="X293">
        <f>HYPERLINK("https://klasma.github.io/Logging_LULEA/tillsyn/A 65964-2018.docx", "A 65964-2018")</f>
        <v/>
      </c>
      <c r="Y293">
        <f>HYPERLINK("https://klasma.github.io/Logging_LULEA/tillsynsmail/A 65964-2018.docx", "A 65964-2018")</f>
        <v/>
      </c>
    </row>
    <row r="294" ht="15" customHeight="1">
      <c r="A294" t="inlineStr">
        <is>
          <t>A 68016-2018</t>
        </is>
      </c>
      <c r="B294" s="1" t="n">
        <v>43441</v>
      </c>
      <c r="C294" s="1" t="n">
        <v>45206</v>
      </c>
      <c r="D294" t="inlineStr">
        <is>
          <t>NORRBOTTENS LÄN</t>
        </is>
      </c>
      <c r="E294" t="inlineStr">
        <is>
          <t>ÖVERKALIX</t>
        </is>
      </c>
      <c r="F294" t="inlineStr">
        <is>
          <t>Sveaskog</t>
        </is>
      </c>
      <c r="G294" t="n">
        <v>14.1</v>
      </c>
      <c r="H294" t="n">
        <v>1</v>
      </c>
      <c r="I294" t="n">
        <v>0</v>
      </c>
      <c r="J294" t="n">
        <v>1</v>
      </c>
      <c r="K294" t="n">
        <v>0</v>
      </c>
      <c r="L294" t="n">
        <v>0</v>
      </c>
      <c r="M294" t="n">
        <v>0</v>
      </c>
      <c r="N294" t="n">
        <v>0</v>
      </c>
      <c r="O294" t="n">
        <v>1</v>
      </c>
      <c r="P294" t="n">
        <v>0</v>
      </c>
      <c r="Q294" t="n">
        <v>1</v>
      </c>
      <c r="R294" s="2" t="inlineStr">
        <is>
          <t>Spillkråka</t>
        </is>
      </c>
      <c r="S294">
        <f>HYPERLINK("https://klasma.github.io/Logging_OVERKALIX/artfynd/A 68016-2018.xlsx", "A 68016-2018")</f>
        <v/>
      </c>
      <c r="T294">
        <f>HYPERLINK("https://klasma.github.io/Logging_OVERKALIX/kartor/A 68016-2018.png", "A 68016-2018")</f>
        <v/>
      </c>
      <c r="V294">
        <f>HYPERLINK("https://klasma.github.io/Logging_OVERKALIX/klagomål/A 68016-2018.docx", "A 68016-2018")</f>
        <v/>
      </c>
      <c r="W294">
        <f>HYPERLINK("https://klasma.github.io/Logging_OVERKALIX/klagomålsmail/A 68016-2018.docx", "A 68016-2018")</f>
        <v/>
      </c>
      <c r="X294">
        <f>HYPERLINK("https://klasma.github.io/Logging_OVERKALIX/tillsyn/A 68016-2018.docx", "A 68016-2018")</f>
        <v/>
      </c>
      <c r="Y294">
        <f>HYPERLINK("https://klasma.github.io/Logging_OVERKALIX/tillsynsmail/A 68016-2018.docx", "A 68016-2018")</f>
        <v/>
      </c>
    </row>
    <row r="295" ht="15" customHeight="1">
      <c r="A295" t="inlineStr">
        <is>
          <t>A 69408-2018</t>
        </is>
      </c>
      <c r="B295" s="1" t="n">
        <v>43446</v>
      </c>
      <c r="C295" s="1" t="n">
        <v>45206</v>
      </c>
      <c r="D295" t="inlineStr">
        <is>
          <t>NORRBOTTENS LÄN</t>
        </is>
      </c>
      <c r="E295" t="inlineStr">
        <is>
          <t>GÄLLIVARE</t>
        </is>
      </c>
      <c r="F295" t="inlineStr">
        <is>
          <t>Sveaskog</t>
        </is>
      </c>
      <c r="G295" t="n">
        <v>5.5</v>
      </c>
      <c r="H295" t="n">
        <v>0</v>
      </c>
      <c r="I295" t="n">
        <v>0</v>
      </c>
      <c r="J295" t="n">
        <v>1</v>
      </c>
      <c r="K295" t="n">
        <v>0</v>
      </c>
      <c r="L295" t="n">
        <v>0</v>
      </c>
      <c r="M295" t="n">
        <v>0</v>
      </c>
      <c r="N295" t="n">
        <v>0</v>
      </c>
      <c r="O295" t="n">
        <v>1</v>
      </c>
      <c r="P295" t="n">
        <v>0</v>
      </c>
      <c r="Q295" t="n">
        <v>1</v>
      </c>
      <c r="R295" s="2" t="inlineStr">
        <is>
          <t>Garnlav</t>
        </is>
      </c>
      <c r="S295">
        <f>HYPERLINK("https://klasma.github.io/Logging_GALLIVARE/artfynd/A 69408-2018.xlsx", "A 69408-2018")</f>
        <v/>
      </c>
      <c r="T295">
        <f>HYPERLINK("https://klasma.github.io/Logging_GALLIVARE/kartor/A 69408-2018.png", "A 69408-2018")</f>
        <v/>
      </c>
      <c r="V295">
        <f>HYPERLINK("https://klasma.github.io/Logging_GALLIVARE/klagomål/A 69408-2018.docx", "A 69408-2018")</f>
        <v/>
      </c>
      <c r="W295">
        <f>HYPERLINK("https://klasma.github.io/Logging_GALLIVARE/klagomålsmail/A 69408-2018.docx", "A 69408-2018")</f>
        <v/>
      </c>
      <c r="X295">
        <f>HYPERLINK("https://klasma.github.io/Logging_GALLIVARE/tillsyn/A 69408-2018.docx", "A 69408-2018")</f>
        <v/>
      </c>
      <c r="Y295">
        <f>HYPERLINK("https://klasma.github.io/Logging_GALLIVARE/tillsynsmail/A 69408-2018.docx", "A 69408-2018")</f>
        <v/>
      </c>
    </row>
    <row r="296" ht="15" customHeight="1">
      <c r="A296" t="inlineStr">
        <is>
          <t>A 70079-2018</t>
        </is>
      </c>
      <c r="B296" s="1" t="n">
        <v>43448</v>
      </c>
      <c r="C296" s="1" t="n">
        <v>45206</v>
      </c>
      <c r="D296" t="inlineStr">
        <is>
          <t>NORRBOTTENS LÄN</t>
        </is>
      </c>
      <c r="E296" t="inlineStr">
        <is>
          <t>GÄLLIVARE</t>
        </is>
      </c>
      <c r="F296" t="inlineStr">
        <is>
          <t>Sveaskog</t>
        </is>
      </c>
      <c r="G296" t="n">
        <v>4.7</v>
      </c>
      <c r="H296" t="n">
        <v>0</v>
      </c>
      <c r="I296" t="n">
        <v>0</v>
      </c>
      <c r="J296" t="n">
        <v>1</v>
      </c>
      <c r="K296" t="n">
        <v>0</v>
      </c>
      <c r="L296" t="n">
        <v>0</v>
      </c>
      <c r="M296" t="n">
        <v>0</v>
      </c>
      <c r="N296" t="n">
        <v>0</v>
      </c>
      <c r="O296" t="n">
        <v>1</v>
      </c>
      <c r="P296" t="n">
        <v>0</v>
      </c>
      <c r="Q296" t="n">
        <v>1</v>
      </c>
      <c r="R296" s="2" t="inlineStr">
        <is>
          <t>Garnlav</t>
        </is>
      </c>
      <c r="S296">
        <f>HYPERLINK("https://klasma.github.io/Logging_GALLIVARE/artfynd/A 70079-2018.xlsx", "A 70079-2018")</f>
        <v/>
      </c>
      <c r="T296">
        <f>HYPERLINK("https://klasma.github.io/Logging_GALLIVARE/kartor/A 70079-2018.png", "A 70079-2018")</f>
        <v/>
      </c>
      <c r="V296">
        <f>HYPERLINK("https://klasma.github.io/Logging_GALLIVARE/klagomål/A 70079-2018.docx", "A 70079-2018")</f>
        <v/>
      </c>
      <c r="W296">
        <f>HYPERLINK("https://klasma.github.io/Logging_GALLIVARE/klagomålsmail/A 70079-2018.docx", "A 70079-2018")</f>
        <v/>
      </c>
      <c r="X296">
        <f>HYPERLINK("https://klasma.github.io/Logging_GALLIVARE/tillsyn/A 70079-2018.docx", "A 70079-2018")</f>
        <v/>
      </c>
      <c r="Y296">
        <f>HYPERLINK("https://klasma.github.io/Logging_GALLIVARE/tillsynsmail/A 70079-2018.docx", "A 70079-2018")</f>
        <v/>
      </c>
    </row>
    <row r="297" ht="15" customHeight="1">
      <c r="A297" t="inlineStr">
        <is>
          <t>A 2601-2019</t>
        </is>
      </c>
      <c r="B297" s="1" t="n">
        <v>43476</v>
      </c>
      <c r="C297" s="1" t="n">
        <v>45206</v>
      </c>
      <c r="D297" t="inlineStr">
        <is>
          <t>NORRBOTTENS LÄN</t>
        </is>
      </c>
      <c r="E297" t="inlineStr">
        <is>
          <t>LULEÅ</t>
        </is>
      </c>
      <c r="F297" t="inlineStr">
        <is>
          <t>SCA</t>
        </is>
      </c>
      <c r="G297" t="n">
        <v>3.7</v>
      </c>
      <c r="H297" t="n">
        <v>0</v>
      </c>
      <c r="I297" t="n">
        <v>0</v>
      </c>
      <c r="J297" t="n">
        <v>0</v>
      </c>
      <c r="K297" t="n">
        <v>1</v>
      </c>
      <c r="L297" t="n">
        <v>0</v>
      </c>
      <c r="M297" t="n">
        <v>0</v>
      </c>
      <c r="N297" t="n">
        <v>0</v>
      </c>
      <c r="O297" t="n">
        <v>1</v>
      </c>
      <c r="P297" t="n">
        <v>1</v>
      </c>
      <c r="Q297" t="n">
        <v>1</v>
      </c>
      <c r="R297" s="2" t="inlineStr">
        <is>
          <t>Liten aspgelélav</t>
        </is>
      </c>
      <c r="S297">
        <f>HYPERLINK("https://klasma.github.io/Logging_LULEA/artfynd/A 2601-2019.xlsx", "A 2601-2019")</f>
        <v/>
      </c>
      <c r="T297">
        <f>HYPERLINK("https://klasma.github.io/Logging_LULEA/kartor/A 2601-2019.png", "A 2601-2019")</f>
        <v/>
      </c>
      <c r="V297">
        <f>HYPERLINK("https://klasma.github.io/Logging_LULEA/klagomål/A 2601-2019.docx", "A 2601-2019")</f>
        <v/>
      </c>
      <c r="W297">
        <f>HYPERLINK("https://klasma.github.io/Logging_LULEA/klagomålsmail/A 2601-2019.docx", "A 2601-2019")</f>
        <v/>
      </c>
      <c r="X297">
        <f>HYPERLINK("https://klasma.github.io/Logging_LULEA/tillsyn/A 2601-2019.docx", "A 2601-2019")</f>
        <v/>
      </c>
      <c r="Y297">
        <f>HYPERLINK("https://klasma.github.io/Logging_LULEA/tillsynsmail/A 2601-2019.docx", "A 2601-2019")</f>
        <v/>
      </c>
    </row>
    <row r="298" ht="15" customHeight="1">
      <c r="A298" t="inlineStr">
        <is>
          <t>A 6933-2019</t>
        </is>
      </c>
      <c r="B298" s="1" t="n">
        <v>43488</v>
      </c>
      <c r="C298" s="1" t="n">
        <v>45206</v>
      </c>
      <c r="D298" t="inlineStr">
        <is>
          <t>NORRBOTTENS LÄN</t>
        </is>
      </c>
      <c r="E298" t="inlineStr">
        <is>
          <t>LULEÅ</t>
        </is>
      </c>
      <c r="G298" t="n">
        <v>2.1</v>
      </c>
      <c r="H298" t="n">
        <v>0</v>
      </c>
      <c r="I298" t="n">
        <v>0</v>
      </c>
      <c r="J298" t="n">
        <v>1</v>
      </c>
      <c r="K298" t="n">
        <v>0</v>
      </c>
      <c r="L298" t="n">
        <v>0</v>
      </c>
      <c r="M298" t="n">
        <v>0</v>
      </c>
      <c r="N298" t="n">
        <v>0</v>
      </c>
      <c r="O298" t="n">
        <v>1</v>
      </c>
      <c r="P298" t="n">
        <v>0</v>
      </c>
      <c r="Q298" t="n">
        <v>1</v>
      </c>
      <c r="R298" s="2" t="inlineStr">
        <is>
          <t>Koralltaggsvamp</t>
        </is>
      </c>
      <c r="S298">
        <f>HYPERLINK("https://klasma.github.io/Logging_LULEA/artfynd/A 6933-2019.xlsx", "A 6933-2019")</f>
        <v/>
      </c>
      <c r="T298">
        <f>HYPERLINK("https://klasma.github.io/Logging_LULEA/kartor/A 6933-2019.png", "A 6933-2019")</f>
        <v/>
      </c>
      <c r="V298">
        <f>HYPERLINK("https://klasma.github.io/Logging_LULEA/klagomål/A 6933-2019.docx", "A 6933-2019")</f>
        <v/>
      </c>
      <c r="W298">
        <f>HYPERLINK("https://klasma.github.io/Logging_LULEA/klagomålsmail/A 6933-2019.docx", "A 6933-2019")</f>
        <v/>
      </c>
      <c r="X298">
        <f>HYPERLINK("https://klasma.github.io/Logging_LULEA/tillsyn/A 6933-2019.docx", "A 6933-2019")</f>
        <v/>
      </c>
      <c r="Y298">
        <f>HYPERLINK("https://klasma.github.io/Logging_LULEA/tillsynsmail/A 6933-2019.docx", "A 6933-2019")</f>
        <v/>
      </c>
    </row>
    <row r="299" ht="15" customHeight="1">
      <c r="A299" t="inlineStr">
        <is>
          <t>A 7822-2019</t>
        </is>
      </c>
      <c r="B299" s="1" t="n">
        <v>43500</v>
      </c>
      <c r="C299" s="1" t="n">
        <v>45206</v>
      </c>
      <c r="D299" t="inlineStr">
        <is>
          <t>NORRBOTTENS LÄN</t>
        </is>
      </c>
      <c r="E299" t="inlineStr">
        <is>
          <t>GÄLLIVARE</t>
        </is>
      </c>
      <c r="G299" t="n">
        <v>1.1</v>
      </c>
      <c r="H299" t="n">
        <v>0</v>
      </c>
      <c r="I299" t="n">
        <v>0</v>
      </c>
      <c r="J299" t="n">
        <v>1</v>
      </c>
      <c r="K299" t="n">
        <v>0</v>
      </c>
      <c r="L299" t="n">
        <v>0</v>
      </c>
      <c r="M299" t="n">
        <v>0</v>
      </c>
      <c r="N299" t="n">
        <v>0</v>
      </c>
      <c r="O299" t="n">
        <v>1</v>
      </c>
      <c r="P299" t="n">
        <v>0</v>
      </c>
      <c r="Q299" t="n">
        <v>1</v>
      </c>
      <c r="R299" s="2" t="inlineStr">
        <is>
          <t>Reliktbock</t>
        </is>
      </c>
      <c r="S299">
        <f>HYPERLINK("https://klasma.github.io/Logging_GALLIVARE/artfynd/A 7822-2019.xlsx", "A 7822-2019")</f>
        <v/>
      </c>
      <c r="T299">
        <f>HYPERLINK("https://klasma.github.io/Logging_GALLIVARE/kartor/A 7822-2019.png", "A 7822-2019")</f>
        <v/>
      </c>
      <c r="V299">
        <f>HYPERLINK("https://klasma.github.io/Logging_GALLIVARE/klagomål/A 7822-2019.docx", "A 7822-2019")</f>
        <v/>
      </c>
      <c r="W299">
        <f>HYPERLINK("https://klasma.github.io/Logging_GALLIVARE/klagomålsmail/A 7822-2019.docx", "A 7822-2019")</f>
        <v/>
      </c>
      <c r="X299">
        <f>HYPERLINK("https://klasma.github.io/Logging_GALLIVARE/tillsyn/A 7822-2019.docx", "A 7822-2019")</f>
        <v/>
      </c>
      <c r="Y299">
        <f>HYPERLINK("https://klasma.github.io/Logging_GALLIVARE/tillsynsmail/A 7822-2019.docx", "A 7822-2019")</f>
        <v/>
      </c>
    </row>
    <row r="300" ht="15" customHeight="1">
      <c r="A300" t="inlineStr">
        <is>
          <t>A 9144-2019</t>
        </is>
      </c>
      <c r="B300" s="1" t="n">
        <v>43504</v>
      </c>
      <c r="C300" s="1" t="n">
        <v>45206</v>
      </c>
      <c r="D300" t="inlineStr">
        <is>
          <t>NORRBOTTENS LÄN</t>
        </is>
      </c>
      <c r="E300" t="inlineStr">
        <is>
          <t>GÄLLIVARE</t>
        </is>
      </c>
      <c r="G300" t="n">
        <v>44.5</v>
      </c>
      <c r="H300" t="n">
        <v>0</v>
      </c>
      <c r="I300" t="n">
        <v>0</v>
      </c>
      <c r="J300" t="n">
        <v>1</v>
      </c>
      <c r="K300" t="n">
        <v>0</v>
      </c>
      <c r="L300" t="n">
        <v>0</v>
      </c>
      <c r="M300" t="n">
        <v>0</v>
      </c>
      <c r="N300" t="n">
        <v>0</v>
      </c>
      <c r="O300" t="n">
        <v>1</v>
      </c>
      <c r="P300" t="n">
        <v>0</v>
      </c>
      <c r="Q300" t="n">
        <v>1</v>
      </c>
      <c r="R300" s="2" t="inlineStr">
        <is>
          <t>Knottrig blåslav</t>
        </is>
      </c>
      <c r="S300">
        <f>HYPERLINK("https://klasma.github.io/Logging_GALLIVARE/artfynd/A 9144-2019.xlsx", "A 9144-2019")</f>
        <v/>
      </c>
      <c r="T300">
        <f>HYPERLINK("https://klasma.github.io/Logging_GALLIVARE/kartor/A 9144-2019.png", "A 9144-2019")</f>
        <v/>
      </c>
      <c r="V300">
        <f>HYPERLINK("https://klasma.github.io/Logging_GALLIVARE/klagomål/A 9144-2019.docx", "A 9144-2019")</f>
        <v/>
      </c>
      <c r="W300">
        <f>HYPERLINK("https://klasma.github.io/Logging_GALLIVARE/klagomålsmail/A 9144-2019.docx", "A 9144-2019")</f>
        <v/>
      </c>
      <c r="X300">
        <f>HYPERLINK("https://klasma.github.io/Logging_GALLIVARE/tillsyn/A 9144-2019.docx", "A 9144-2019")</f>
        <v/>
      </c>
      <c r="Y300">
        <f>HYPERLINK("https://klasma.github.io/Logging_GALLIVARE/tillsynsmail/A 9144-2019.docx", "A 9144-2019")</f>
        <v/>
      </c>
    </row>
    <row r="301" ht="15" customHeight="1">
      <c r="A301" t="inlineStr">
        <is>
          <t>A 15030-2019</t>
        </is>
      </c>
      <c r="B301" s="1" t="n">
        <v>43538</v>
      </c>
      <c r="C301" s="1" t="n">
        <v>45206</v>
      </c>
      <c r="D301" t="inlineStr">
        <is>
          <t>NORRBOTTENS LÄN</t>
        </is>
      </c>
      <c r="E301" t="inlineStr">
        <is>
          <t>LULEÅ</t>
        </is>
      </c>
      <c r="G301" t="n">
        <v>3.7</v>
      </c>
      <c r="H301" t="n">
        <v>1</v>
      </c>
      <c r="I301" t="n">
        <v>0</v>
      </c>
      <c r="J301" t="n">
        <v>1</v>
      </c>
      <c r="K301" t="n">
        <v>0</v>
      </c>
      <c r="L301" t="n">
        <v>0</v>
      </c>
      <c r="M301" t="n">
        <v>0</v>
      </c>
      <c r="N301" t="n">
        <v>0</v>
      </c>
      <c r="O301" t="n">
        <v>1</v>
      </c>
      <c r="P301" t="n">
        <v>0</v>
      </c>
      <c r="Q301" t="n">
        <v>1</v>
      </c>
      <c r="R301" s="2" t="inlineStr">
        <is>
          <t>Spillkråka</t>
        </is>
      </c>
      <c r="S301">
        <f>HYPERLINK("https://klasma.github.io/Logging_LULEA/artfynd/A 15030-2019.xlsx", "A 15030-2019")</f>
        <v/>
      </c>
      <c r="T301">
        <f>HYPERLINK("https://klasma.github.io/Logging_LULEA/kartor/A 15030-2019.png", "A 15030-2019")</f>
        <v/>
      </c>
      <c r="V301">
        <f>HYPERLINK("https://klasma.github.io/Logging_LULEA/klagomål/A 15030-2019.docx", "A 15030-2019")</f>
        <v/>
      </c>
      <c r="W301">
        <f>HYPERLINK("https://klasma.github.io/Logging_LULEA/klagomålsmail/A 15030-2019.docx", "A 15030-2019")</f>
        <v/>
      </c>
      <c r="X301">
        <f>HYPERLINK("https://klasma.github.io/Logging_LULEA/tillsyn/A 15030-2019.docx", "A 15030-2019")</f>
        <v/>
      </c>
      <c r="Y301">
        <f>HYPERLINK("https://klasma.github.io/Logging_LULEA/tillsynsmail/A 15030-2019.docx", "A 15030-2019")</f>
        <v/>
      </c>
    </row>
    <row r="302" ht="15" customHeight="1">
      <c r="A302" t="inlineStr">
        <is>
          <t>A 16793-2019</t>
        </is>
      </c>
      <c r="B302" s="1" t="n">
        <v>43549</v>
      </c>
      <c r="C302" s="1" t="n">
        <v>45206</v>
      </c>
      <c r="D302" t="inlineStr">
        <is>
          <t>NORRBOTTENS LÄN</t>
        </is>
      </c>
      <c r="E302" t="inlineStr">
        <is>
          <t>PAJALA</t>
        </is>
      </c>
      <c r="F302" t="inlineStr">
        <is>
          <t>Allmännings- och besparingsskogar</t>
        </is>
      </c>
      <c r="G302" t="n">
        <v>7</v>
      </c>
      <c r="H302" t="n">
        <v>0</v>
      </c>
      <c r="I302" t="n">
        <v>0</v>
      </c>
      <c r="J302" t="n">
        <v>1</v>
      </c>
      <c r="K302" t="n">
        <v>0</v>
      </c>
      <c r="L302" t="n">
        <v>0</v>
      </c>
      <c r="M302" t="n">
        <v>0</v>
      </c>
      <c r="N302" t="n">
        <v>0</v>
      </c>
      <c r="O302" t="n">
        <v>1</v>
      </c>
      <c r="P302" t="n">
        <v>0</v>
      </c>
      <c r="Q302" t="n">
        <v>1</v>
      </c>
      <c r="R302" s="2" t="inlineStr">
        <is>
          <t>Skrovlig taggsvamp</t>
        </is>
      </c>
      <c r="S302">
        <f>HYPERLINK("https://klasma.github.io/Logging_PAJALA/artfynd/A 16793-2019.xlsx", "A 16793-2019")</f>
        <v/>
      </c>
      <c r="T302">
        <f>HYPERLINK("https://klasma.github.io/Logging_PAJALA/kartor/A 16793-2019.png", "A 16793-2019")</f>
        <v/>
      </c>
      <c r="V302">
        <f>HYPERLINK("https://klasma.github.io/Logging_PAJALA/klagomål/A 16793-2019.docx", "A 16793-2019")</f>
        <v/>
      </c>
      <c r="W302">
        <f>HYPERLINK("https://klasma.github.io/Logging_PAJALA/klagomålsmail/A 16793-2019.docx", "A 16793-2019")</f>
        <v/>
      </c>
      <c r="X302">
        <f>HYPERLINK("https://klasma.github.io/Logging_PAJALA/tillsyn/A 16793-2019.docx", "A 16793-2019")</f>
        <v/>
      </c>
      <c r="Y302">
        <f>HYPERLINK("https://klasma.github.io/Logging_PAJALA/tillsynsmail/A 16793-2019.docx", "A 16793-2019")</f>
        <v/>
      </c>
    </row>
    <row r="303" ht="15" customHeight="1">
      <c r="A303" t="inlineStr">
        <is>
          <t>A 17180-2019</t>
        </is>
      </c>
      <c r="B303" s="1" t="n">
        <v>43551</v>
      </c>
      <c r="C303" s="1" t="n">
        <v>45206</v>
      </c>
      <c r="D303" t="inlineStr">
        <is>
          <t>NORRBOTTENS LÄN</t>
        </is>
      </c>
      <c r="E303" t="inlineStr">
        <is>
          <t>ARVIDSJAUR</t>
        </is>
      </c>
      <c r="G303" t="n">
        <v>1.6</v>
      </c>
      <c r="H303" t="n">
        <v>1</v>
      </c>
      <c r="I303" t="n">
        <v>0</v>
      </c>
      <c r="J303" t="n">
        <v>0</v>
      </c>
      <c r="K303" t="n">
        <v>0</v>
      </c>
      <c r="L303" t="n">
        <v>0</v>
      </c>
      <c r="M303" t="n">
        <v>0</v>
      </c>
      <c r="N303" t="n">
        <v>0</v>
      </c>
      <c r="O303" t="n">
        <v>0</v>
      </c>
      <c r="P303" t="n">
        <v>0</v>
      </c>
      <c r="Q303" t="n">
        <v>1</v>
      </c>
      <c r="R303" s="2" t="inlineStr">
        <is>
          <t>Revlummer</t>
        </is>
      </c>
      <c r="S303">
        <f>HYPERLINK("https://klasma.github.io/Logging_ARVIDSJAUR/artfynd/A 17180-2019.xlsx", "A 17180-2019")</f>
        <v/>
      </c>
      <c r="T303">
        <f>HYPERLINK("https://klasma.github.io/Logging_ARVIDSJAUR/kartor/A 17180-2019.png", "A 17180-2019")</f>
        <v/>
      </c>
      <c r="V303">
        <f>HYPERLINK("https://klasma.github.io/Logging_ARVIDSJAUR/klagomål/A 17180-2019.docx", "A 17180-2019")</f>
        <v/>
      </c>
      <c r="W303">
        <f>HYPERLINK("https://klasma.github.io/Logging_ARVIDSJAUR/klagomålsmail/A 17180-2019.docx", "A 17180-2019")</f>
        <v/>
      </c>
      <c r="X303">
        <f>HYPERLINK("https://klasma.github.io/Logging_ARVIDSJAUR/tillsyn/A 17180-2019.docx", "A 17180-2019")</f>
        <v/>
      </c>
      <c r="Y303">
        <f>HYPERLINK("https://klasma.github.io/Logging_ARVIDSJAUR/tillsynsmail/A 17180-2019.docx", "A 17180-2019")</f>
        <v/>
      </c>
    </row>
    <row r="304" ht="15" customHeight="1">
      <c r="A304" t="inlineStr">
        <is>
          <t>A 21123-2019</t>
        </is>
      </c>
      <c r="B304" s="1" t="n">
        <v>43579</v>
      </c>
      <c r="C304" s="1" t="n">
        <v>45206</v>
      </c>
      <c r="D304" t="inlineStr">
        <is>
          <t>NORRBOTTENS LÄN</t>
        </is>
      </c>
      <c r="E304" t="inlineStr">
        <is>
          <t>BODEN</t>
        </is>
      </c>
      <c r="F304" t="inlineStr">
        <is>
          <t>Sveaskog</t>
        </is>
      </c>
      <c r="G304" t="n">
        <v>11.3</v>
      </c>
      <c r="H304" t="n">
        <v>0</v>
      </c>
      <c r="I304" t="n">
        <v>1</v>
      </c>
      <c r="J304" t="n">
        <v>0</v>
      </c>
      <c r="K304" t="n">
        <v>0</v>
      </c>
      <c r="L304" t="n">
        <v>0</v>
      </c>
      <c r="M304" t="n">
        <v>0</v>
      </c>
      <c r="N304" t="n">
        <v>0</v>
      </c>
      <c r="O304" t="n">
        <v>0</v>
      </c>
      <c r="P304" t="n">
        <v>0</v>
      </c>
      <c r="Q304" t="n">
        <v>1</v>
      </c>
      <c r="R304" s="2" t="inlineStr">
        <is>
          <t>Stor aspticka</t>
        </is>
      </c>
      <c r="S304">
        <f>HYPERLINK("https://klasma.github.io/Logging_BODEN/artfynd/A 21123-2019.xlsx", "A 21123-2019")</f>
        <v/>
      </c>
      <c r="T304">
        <f>HYPERLINK("https://klasma.github.io/Logging_BODEN/kartor/A 21123-2019.png", "A 21123-2019")</f>
        <v/>
      </c>
      <c r="V304">
        <f>HYPERLINK("https://klasma.github.io/Logging_BODEN/klagomål/A 21123-2019.docx", "A 21123-2019")</f>
        <v/>
      </c>
      <c r="W304">
        <f>HYPERLINK("https://klasma.github.io/Logging_BODEN/klagomålsmail/A 21123-2019.docx", "A 21123-2019")</f>
        <v/>
      </c>
      <c r="X304">
        <f>HYPERLINK("https://klasma.github.io/Logging_BODEN/tillsyn/A 21123-2019.docx", "A 21123-2019")</f>
        <v/>
      </c>
      <c r="Y304">
        <f>HYPERLINK("https://klasma.github.io/Logging_BODEN/tillsynsmail/A 21123-2019.docx", "A 21123-2019")</f>
        <v/>
      </c>
    </row>
    <row r="305" ht="15" customHeight="1">
      <c r="A305" t="inlineStr">
        <is>
          <t>A 22812-2019</t>
        </is>
      </c>
      <c r="B305" s="1" t="n">
        <v>43590</v>
      </c>
      <c r="C305" s="1" t="n">
        <v>45206</v>
      </c>
      <c r="D305" t="inlineStr">
        <is>
          <t>NORRBOTTENS LÄN</t>
        </is>
      </c>
      <c r="E305" t="inlineStr">
        <is>
          <t>KIRUNA</t>
        </is>
      </c>
      <c r="G305" t="n">
        <v>22.6</v>
      </c>
      <c r="H305" t="n">
        <v>0</v>
      </c>
      <c r="I305" t="n">
        <v>0</v>
      </c>
      <c r="J305" t="n">
        <v>1</v>
      </c>
      <c r="K305" t="n">
        <v>0</v>
      </c>
      <c r="L305" t="n">
        <v>0</v>
      </c>
      <c r="M305" t="n">
        <v>0</v>
      </c>
      <c r="N305" t="n">
        <v>0</v>
      </c>
      <c r="O305" t="n">
        <v>1</v>
      </c>
      <c r="P305" t="n">
        <v>0</v>
      </c>
      <c r="Q305" t="n">
        <v>1</v>
      </c>
      <c r="R305" s="2" t="inlineStr">
        <is>
          <t>Garnlav</t>
        </is>
      </c>
      <c r="S305">
        <f>HYPERLINK("https://klasma.github.io/Logging_KIRUNA/artfynd/A 22812-2019.xlsx", "A 22812-2019")</f>
        <v/>
      </c>
      <c r="T305">
        <f>HYPERLINK("https://klasma.github.io/Logging_KIRUNA/kartor/A 22812-2019.png", "A 22812-2019")</f>
        <v/>
      </c>
      <c r="V305">
        <f>HYPERLINK("https://klasma.github.io/Logging_KIRUNA/klagomål/A 22812-2019.docx", "A 22812-2019")</f>
        <v/>
      </c>
      <c r="W305">
        <f>HYPERLINK("https://klasma.github.io/Logging_KIRUNA/klagomålsmail/A 22812-2019.docx", "A 22812-2019")</f>
        <v/>
      </c>
      <c r="X305">
        <f>HYPERLINK("https://klasma.github.io/Logging_KIRUNA/tillsyn/A 22812-2019.docx", "A 22812-2019")</f>
        <v/>
      </c>
      <c r="Y305">
        <f>HYPERLINK("https://klasma.github.io/Logging_KIRUNA/tillsynsmail/A 22812-2019.docx", "A 22812-2019")</f>
        <v/>
      </c>
    </row>
    <row r="306" ht="15" customHeight="1">
      <c r="A306" t="inlineStr">
        <is>
          <t>A 28204-2019</t>
        </is>
      </c>
      <c r="B306" s="1" t="n">
        <v>43621</v>
      </c>
      <c r="C306" s="1" t="n">
        <v>45206</v>
      </c>
      <c r="D306" t="inlineStr">
        <is>
          <t>NORRBOTTENS LÄN</t>
        </is>
      </c>
      <c r="E306" t="inlineStr">
        <is>
          <t>GÄLLIVARE</t>
        </is>
      </c>
      <c r="F306" t="inlineStr">
        <is>
          <t>SCA</t>
        </is>
      </c>
      <c r="G306" t="n">
        <v>2.6</v>
      </c>
      <c r="H306" t="n">
        <v>0</v>
      </c>
      <c r="I306" t="n">
        <v>1</v>
      </c>
      <c r="J306" t="n">
        <v>0</v>
      </c>
      <c r="K306" t="n">
        <v>0</v>
      </c>
      <c r="L306" t="n">
        <v>0</v>
      </c>
      <c r="M306" t="n">
        <v>0</v>
      </c>
      <c r="N306" t="n">
        <v>0</v>
      </c>
      <c r="O306" t="n">
        <v>0</v>
      </c>
      <c r="P306" t="n">
        <v>0</v>
      </c>
      <c r="Q306" t="n">
        <v>1</v>
      </c>
      <c r="R306" s="2" t="inlineStr">
        <is>
          <t>Bollvitmossa</t>
        </is>
      </c>
      <c r="S306">
        <f>HYPERLINK("https://klasma.github.io/Logging_GALLIVARE/artfynd/A 28204-2019.xlsx", "A 28204-2019")</f>
        <v/>
      </c>
      <c r="T306">
        <f>HYPERLINK("https://klasma.github.io/Logging_GALLIVARE/kartor/A 28204-2019.png", "A 28204-2019")</f>
        <v/>
      </c>
      <c r="V306">
        <f>HYPERLINK("https://klasma.github.io/Logging_GALLIVARE/klagomål/A 28204-2019.docx", "A 28204-2019")</f>
        <v/>
      </c>
      <c r="W306">
        <f>HYPERLINK("https://klasma.github.io/Logging_GALLIVARE/klagomålsmail/A 28204-2019.docx", "A 28204-2019")</f>
        <v/>
      </c>
      <c r="X306">
        <f>HYPERLINK("https://klasma.github.io/Logging_GALLIVARE/tillsyn/A 28204-2019.docx", "A 28204-2019")</f>
        <v/>
      </c>
      <c r="Y306">
        <f>HYPERLINK("https://klasma.github.io/Logging_GALLIVARE/tillsynsmail/A 28204-2019.docx", "A 28204-2019")</f>
        <v/>
      </c>
    </row>
    <row r="307" ht="15" customHeight="1">
      <c r="A307" t="inlineStr">
        <is>
          <t>A 29381-2019</t>
        </is>
      </c>
      <c r="B307" s="1" t="n">
        <v>43629</v>
      </c>
      <c r="C307" s="1" t="n">
        <v>45206</v>
      </c>
      <c r="D307" t="inlineStr">
        <is>
          <t>NORRBOTTENS LÄN</t>
        </is>
      </c>
      <c r="E307" t="inlineStr">
        <is>
          <t>ÖVERTORNEÅ</t>
        </is>
      </c>
      <c r="G307" t="n">
        <v>7</v>
      </c>
      <c r="H307" t="n">
        <v>0</v>
      </c>
      <c r="I307" t="n">
        <v>0</v>
      </c>
      <c r="J307" t="n">
        <v>1</v>
      </c>
      <c r="K307" t="n">
        <v>0</v>
      </c>
      <c r="L307" t="n">
        <v>0</v>
      </c>
      <c r="M307" t="n">
        <v>0</v>
      </c>
      <c r="N307" t="n">
        <v>0</v>
      </c>
      <c r="O307" t="n">
        <v>1</v>
      </c>
      <c r="P307" t="n">
        <v>0</v>
      </c>
      <c r="Q307" t="n">
        <v>1</v>
      </c>
      <c r="R307" s="2" t="inlineStr">
        <is>
          <t>Garnlav</t>
        </is>
      </c>
      <c r="S307">
        <f>HYPERLINK("https://klasma.github.io/Logging_OVERTORNEA/artfynd/A 29381-2019.xlsx", "A 29381-2019")</f>
        <v/>
      </c>
      <c r="T307">
        <f>HYPERLINK("https://klasma.github.io/Logging_OVERTORNEA/kartor/A 29381-2019.png", "A 29381-2019")</f>
        <v/>
      </c>
      <c r="V307">
        <f>HYPERLINK("https://klasma.github.io/Logging_OVERTORNEA/klagomål/A 29381-2019.docx", "A 29381-2019")</f>
        <v/>
      </c>
      <c r="W307">
        <f>HYPERLINK("https://klasma.github.io/Logging_OVERTORNEA/klagomålsmail/A 29381-2019.docx", "A 29381-2019")</f>
        <v/>
      </c>
      <c r="X307">
        <f>HYPERLINK("https://klasma.github.io/Logging_OVERTORNEA/tillsyn/A 29381-2019.docx", "A 29381-2019")</f>
        <v/>
      </c>
      <c r="Y307">
        <f>HYPERLINK("https://klasma.github.io/Logging_OVERTORNEA/tillsynsmail/A 29381-2019.docx", "A 29381-2019")</f>
        <v/>
      </c>
    </row>
    <row r="308" ht="15" customHeight="1">
      <c r="A308" t="inlineStr">
        <is>
          <t>A 30414-2019</t>
        </is>
      </c>
      <c r="B308" s="1" t="n">
        <v>43635</v>
      </c>
      <c r="C308" s="1" t="n">
        <v>45206</v>
      </c>
      <c r="D308" t="inlineStr">
        <is>
          <t>NORRBOTTENS LÄN</t>
        </is>
      </c>
      <c r="E308" t="inlineStr">
        <is>
          <t>ARVIDSJAUR</t>
        </is>
      </c>
      <c r="F308" t="inlineStr">
        <is>
          <t>Sveaskog</t>
        </is>
      </c>
      <c r="G308" t="n">
        <v>4.3</v>
      </c>
      <c r="H308" t="n">
        <v>0</v>
      </c>
      <c r="I308" t="n">
        <v>0</v>
      </c>
      <c r="J308" t="n">
        <v>1</v>
      </c>
      <c r="K308" t="n">
        <v>0</v>
      </c>
      <c r="L308" t="n">
        <v>0</v>
      </c>
      <c r="M308" t="n">
        <v>0</v>
      </c>
      <c r="N308" t="n">
        <v>0</v>
      </c>
      <c r="O308" t="n">
        <v>1</v>
      </c>
      <c r="P308" t="n">
        <v>0</v>
      </c>
      <c r="Q308" t="n">
        <v>1</v>
      </c>
      <c r="R308" s="2" t="inlineStr">
        <is>
          <t>Motaggsvamp</t>
        </is>
      </c>
      <c r="S308">
        <f>HYPERLINK("https://klasma.github.io/Logging_ARVIDSJAUR/artfynd/A 30414-2019.xlsx", "A 30414-2019")</f>
        <v/>
      </c>
      <c r="T308">
        <f>HYPERLINK("https://klasma.github.io/Logging_ARVIDSJAUR/kartor/A 30414-2019.png", "A 30414-2019")</f>
        <v/>
      </c>
      <c r="V308">
        <f>HYPERLINK("https://klasma.github.io/Logging_ARVIDSJAUR/klagomål/A 30414-2019.docx", "A 30414-2019")</f>
        <v/>
      </c>
      <c r="W308">
        <f>HYPERLINK("https://klasma.github.io/Logging_ARVIDSJAUR/klagomålsmail/A 30414-2019.docx", "A 30414-2019")</f>
        <v/>
      </c>
      <c r="X308">
        <f>HYPERLINK("https://klasma.github.io/Logging_ARVIDSJAUR/tillsyn/A 30414-2019.docx", "A 30414-2019")</f>
        <v/>
      </c>
      <c r="Y308">
        <f>HYPERLINK("https://klasma.github.io/Logging_ARVIDSJAUR/tillsynsmail/A 30414-2019.docx", "A 30414-2019")</f>
        <v/>
      </c>
    </row>
    <row r="309" ht="15" customHeight="1">
      <c r="A309" t="inlineStr">
        <is>
          <t>A 31611-2019</t>
        </is>
      </c>
      <c r="B309" s="1" t="n">
        <v>43642</v>
      </c>
      <c r="C309" s="1" t="n">
        <v>45206</v>
      </c>
      <c r="D309" t="inlineStr">
        <is>
          <t>NORRBOTTENS LÄN</t>
        </is>
      </c>
      <c r="E309" t="inlineStr">
        <is>
          <t>ARVIDSJAUR</t>
        </is>
      </c>
      <c r="F309" t="inlineStr">
        <is>
          <t>Sveaskog</t>
        </is>
      </c>
      <c r="G309" t="n">
        <v>21.5</v>
      </c>
      <c r="H309" t="n">
        <v>0</v>
      </c>
      <c r="I309" t="n">
        <v>0</v>
      </c>
      <c r="J309" t="n">
        <v>1</v>
      </c>
      <c r="K309" t="n">
        <v>0</v>
      </c>
      <c r="L309" t="n">
        <v>0</v>
      </c>
      <c r="M309" t="n">
        <v>0</v>
      </c>
      <c r="N309" t="n">
        <v>0</v>
      </c>
      <c r="O309" t="n">
        <v>1</v>
      </c>
      <c r="P309" t="n">
        <v>0</v>
      </c>
      <c r="Q309" t="n">
        <v>1</v>
      </c>
      <c r="R309" s="2" t="inlineStr">
        <is>
          <t>Vaddporing</t>
        </is>
      </c>
      <c r="S309">
        <f>HYPERLINK("https://klasma.github.io/Logging_ARVIDSJAUR/artfynd/A 31611-2019.xlsx", "A 31611-2019")</f>
        <v/>
      </c>
      <c r="T309">
        <f>HYPERLINK("https://klasma.github.io/Logging_ARVIDSJAUR/kartor/A 31611-2019.png", "A 31611-2019")</f>
        <v/>
      </c>
      <c r="V309">
        <f>HYPERLINK("https://klasma.github.io/Logging_ARVIDSJAUR/klagomål/A 31611-2019.docx", "A 31611-2019")</f>
        <v/>
      </c>
      <c r="W309">
        <f>HYPERLINK("https://klasma.github.io/Logging_ARVIDSJAUR/klagomålsmail/A 31611-2019.docx", "A 31611-2019")</f>
        <v/>
      </c>
      <c r="X309">
        <f>HYPERLINK("https://klasma.github.io/Logging_ARVIDSJAUR/tillsyn/A 31611-2019.docx", "A 31611-2019")</f>
        <v/>
      </c>
      <c r="Y309">
        <f>HYPERLINK("https://klasma.github.io/Logging_ARVIDSJAUR/tillsynsmail/A 31611-2019.docx", "A 31611-2019")</f>
        <v/>
      </c>
    </row>
    <row r="310" ht="15" customHeight="1">
      <c r="A310" t="inlineStr">
        <is>
          <t>A 32173-2019</t>
        </is>
      </c>
      <c r="B310" s="1" t="n">
        <v>43643</v>
      </c>
      <c r="C310" s="1" t="n">
        <v>45206</v>
      </c>
      <c r="D310" t="inlineStr">
        <is>
          <t>NORRBOTTENS LÄN</t>
        </is>
      </c>
      <c r="E310" t="inlineStr">
        <is>
          <t>ARVIDSJAUR</t>
        </is>
      </c>
      <c r="F310" t="inlineStr">
        <is>
          <t>Sveaskog</t>
        </is>
      </c>
      <c r="G310" t="n">
        <v>6.1</v>
      </c>
      <c r="H310" t="n">
        <v>0</v>
      </c>
      <c r="I310" t="n">
        <v>0</v>
      </c>
      <c r="J310" t="n">
        <v>1</v>
      </c>
      <c r="K310" t="n">
        <v>0</v>
      </c>
      <c r="L310" t="n">
        <v>0</v>
      </c>
      <c r="M310" t="n">
        <v>0</v>
      </c>
      <c r="N310" t="n">
        <v>0</v>
      </c>
      <c r="O310" t="n">
        <v>1</v>
      </c>
      <c r="P310" t="n">
        <v>0</v>
      </c>
      <c r="Q310" t="n">
        <v>1</v>
      </c>
      <c r="R310" s="2" t="inlineStr">
        <is>
          <t>Motaggsvamp</t>
        </is>
      </c>
      <c r="S310">
        <f>HYPERLINK("https://klasma.github.io/Logging_ARVIDSJAUR/artfynd/A 32173-2019.xlsx", "A 32173-2019")</f>
        <v/>
      </c>
      <c r="T310">
        <f>HYPERLINK("https://klasma.github.io/Logging_ARVIDSJAUR/kartor/A 32173-2019.png", "A 32173-2019")</f>
        <v/>
      </c>
      <c r="V310">
        <f>HYPERLINK("https://klasma.github.io/Logging_ARVIDSJAUR/klagomål/A 32173-2019.docx", "A 32173-2019")</f>
        <v/>
      </c>
      <c r="W310">
        <f>HYPERLINK("https://klasma.github.io/Logging_ARVIDSJAUR/klagomålsmail/A 32173-2019.docx", "A 32173-2019")</f>
        <v/>
      </c>
      <c r="X310">
        <f>HYPERLINK("https://klasma.github.io/Logging_ARVIDSJAUR/tillsyn/A 32173-2019.docx", "A 32173-2019")</f>
        <v/>
      </c>
      <c r="Y310">
        <f>HYPERLINK("https://klasma.github.io/Logging_ARVIDSJAUR/tillsynsmail/A 32173-2019.docx", "A 32173-2019")</f>
        <v/>
      </c>
    </row>
    <row r="311" ht="15" customHeight="1">
      <c r="A311" t="inlineStr">
        <is>
          <t>A 36333-2019</t>
        </is>
      </c>
      <c r="B311" s="1" t="n">
        <v>43661</v>
      </c>
      <c r="C311" s="1" t="n">
        <v>45206</v>
      </c>
      <c r="D311" t="inlineStr">
        <is>
          <t>NORRBOTTENS LÄN</t>
        </is>
      </c>
      <c r="E311" t="inlineStr">
        <is>
          <t>ÖVERKALIX</t>
        </is>
      </c>
      <c r="G311" t="n">
        <v>87.90000000000001</v>
      </c>
      <c r="H311" t="n">
        <v>1</v>
      </c>
      <c r="I311" t="n">
        <v>1</v>
      </c>
      <c r="J311" t="n">
        <v>0</v>
      </c>
      <c r="K311" t="n">
        <v>0</v>
      </c>
      <c r="L311" t="n">
        <v>0</v>
      </c>
      <c r="M311" t="n">
        <v>0</v>
      </c>
      <c r="N311" t="n">
        <v>0</v>
      </c>
      <c r="O311" t="n">
        <v>0</v>
      </c>
      <c r="P311" t="n">
        <v>0</v>
      </c>
      <c r="Q311" t="n">
        <v>1</v>
      </c>
      <c r="R311" s="2" t="inlineStr">
        <is>
          <t>Korallrot</t>
        </is>
      </c>
      <c r="S311">
        <f>HYPERLINK("https://klasma.github.io/Logging_OVERKALIX/artfynd/A 36333-2019.xlsx", "A 36333-2019")</f>
        <v/>
      </c>
      <c r="T311">
        <f>HYPERLINK("https://klasma.github.io/Logging_OVERKALIX/kartor/A 36333-2019.png", "A 36333-2019")</f>
        <v/>
      </c>
      <c r="V311">
        <f>HYPERLINK("https://klasma.github.io/Logging_OVERKALIX/klagomål/A 36333-2019.docx", "A 36333-2019")</f>
        <v/>
      </c>
      <c r="W311">
        <f>HYPERLINK("https://klasma.github.io/Logging_OVERKALIX/klagomålsmail/A 36333-2019.docx", "A 36333-2019")</f>
        <v/>
      </c>
      <c r="X311">
        <f>HYPERLINK("https://klasma.github.io/Logging_OVERKALIX/tillsyn/A 36333-2019.docx", "A 36333-2019")</f>
        <v/>
      </c>
      <c r="Y311">
        <f>HYPERLINK("https://klasma.github.io/Logging_OVERKALIX/tillsynsmail/A 36333-2019.docx", "A 36333-2019")</f>
        <v/>
      </c>
    </row>
    <row r="312" ht="15" customHeight="1">
      <c r="A312" t="inlineStr">
        <is>
          <t>A 35824-2019</t>
        </is>
      </c>
      <c r="B312" s="1" t="n">
        <v>43665</v>
      </c>
      <c r="C312" s="1" t="n">
        <v>45206</v>
      </c>
      <c r="D312" t="inlineStr">
        <is>
          <t>NORRBOTTENS LÄN</t>
        </is>
      </c>
      <c r="E312" t="inlineStr">
        <is>
          <t>BODEN</t>
        </is>
      </c>
      <c r="F312" t="inlineStr">
        <is>
          <t>Sveaskog</t>
        </is>
      </c>
      <c r="G312" t="n">
        <v>1.7</v>
      </c>
      <c r="H312" t="n">
        <v>0</v>
      </c>
      <c r="I312" t="n">
        <v>0</v>
      </c>
      <c r="J312" t="n">
        <v>1</v>
      </c>
      <c r="K312" t="n">
        <v>0</v>
      </c>
      <c r="L312" t="n">
        <v>0</v>
      </c>
      <c r="M312" t="n">
        <v>0</v>
      </c>
      <c r="N312" t="n">
        <v>0</v>
      </c>
      <c r="O312" t="n">
        <v>1</v>
      </c>
      <c r="P312" t="n">
        <v>0</v>
      </c>
      <c r="Q312" t="n">
        <v>1</v>
      </c>
      <c r="R312" s="2" t="inlineStr">
        <is>
          <t>Gammelgransskål</t>
        </is>
      </c>
      <c r="S312">
        <f>HYPERLINK("https://klasma.github.io/Logging_BODEN/artfynd/A 35824-2019.xlsx", "A 35824-2019")</f>
        <v/>
      </c>
      <c r="T312">
        <f>HYPERLINK("https://klasma.github.io/Logging_BODEN/kartor/A 35824-2019.png", "A 35824-2019")</f>
        <v/>
      </c>
      <c r="V312">
        <f>HYPERLINK("https://klasma.github.io/Logging_BODEN/klagomål/A 35824-2019.docx", "A 35824-2019")</f>
        <v/>
      </c>
      <c r="W312">
        <f>HYPERLINK("https://klasma.github.io/Logging_BODEN/klagomålsmail/A 35824-2019.docx", "A 35824-2019")</f>
        <v/>
      </c>
      <c r="X312">
        <f>HYPERLINK("https://klasma.github.io/Logging_BODEN/tillsyn/A 35824-2019.docx", "A 35824-2019")</f>
        <v/>
      </c>
      <c r="Y312">
        <f>HYPERLINK("https://klasma.github.io/Logging_BODEN/tillsynsmail/A 35824-2019.docx", "A 35824-2019")</f>
        <v/>
      </c>
    </row>
    <row r="313" ht="15" customHeight="1">
      <c r="A313" t="inlineStr">
        <is>
          <t>A 38711-2019</t>
        </is>
      </c>
      <c r="B313" s="1" t="n">
        <v>43686</v>
      </c>
      <c r="C313" s="1" t="n">
        <v>45206</v>
      </c>
      <c r="D313" t="inlineStr">
        <is>
          <t>NORRBOTTENS LÄN</t>
        </is>
      </c>
      <c r="E313" t="inlineStr">
        <is>
          <t>ÖVERTORNEÅ</t>
        </is>
      </c>
      <c r="F313" t="inlineStr">
        <is>
          <t>Sveaskog</t>
        </is>
      </c>
      <c r="G313" t="n">
        <v>9.4</v>
      </c>
      <c r="H313" t="n">
        <v>1</v>
      </c>
      <c r="I313" t="n">
        <v>0</v>
      </c>
      <c r="J313" t="n">
        <v>1</v>
      </c>
      <c r="K313" t="n">
        <v>0</v>
      </c>
      <c r="L313" t="n">
        <v>0</v>
      </c>
      <c r="M313" t="n">
        <v>0</v>
      </c>
      <c r="N313" t="n">
        <v>0</v>
      </c>
      <c r="O313" t="n">
        <v>1</v>
      </c>
      <c r="P313" t="n">
        <v>0</v>
      </c>
      <c r="Q313" t="n">
        <v>1</v>
      </c>
      <c r="R313" s="2" t="inlineStr">
        <is>
          <t>Kungsörn</t>
        </is>
      </c>
      <c r="S313">
        <f>HYPERLINK("https://klasma.github.io/Logging_OVERTORNEA/artfynd/A 38711-2019.xlsx", "A 38711-2019")</f>
        <v/>
      </c>
      <c r="T313">
        <f>HYPERLINK("https://klasma.github.io/Logging_OVERTORNEA/kartor/A 38711-2019.png", "A 38711-2019")</f>
        <v/>
      </c>
      <c r="V313">
        <f>HYPERLINK("https://klasma.github.io/Logging_OVERTORNEA/klagomål/A 38711-2019.docx", "A 38711-2019")</f>
        <v/>
      </c>
      <c r="W313">
        <f>HYPERLINK("https://klasma.github.io/Logging_OVERTORNEA/klagomålsmail/A 38711-2019.docx", "A 38711-2019")</f>
        <v/>
      </c>
      <c r="X313">
        <f>HYPERLINK("https://klasma.github.io/Logging_OVERTORNEA/tillsyn/A 38711-2019.docx", "A 38711-2019")</f>
        <v/>
      </c>
      <c r="Y313">
        <f>HYPERLINK("https://klasma.github.io/Logging_OVERTORNEA/tillsynsmail/A 38711-2019.docx", "A 38711-2019")</f>
        <v/>
      </c>
    </row>
    <row r="314" ht="15" customHeight="1">
      <c r="A314" t="inlineStr">
        <is>
          <t>A 41384-2019</t>
        </is>
      </c>
      <c r="B314" s="1" t="n">
        <v>43698</v>
      </c>
      <c r="C314" s="1" t="n">
        <v>45206</v>
      </c>
      <c r="D314" t="inlineStr">
        <is>
          <t>NORRBOTTENS LÄN</t>
        </is>
      </c>
      <c r="E314" t="inlineStr">
        <is>
          <t>GÄLLIVARE</t>
        </is>
      </c>
      <c r="F314" t="inlineStr">
        <is>
          <t>Sveaskog</t>
        </is>
      </c>
      <c r="G314" t="n">
        <v>3</v>
      </c>
      <c r="H314" t="n">
        <v>0</v>
      </c>
      <c r="I314" t="n">
        <v>0</v>
      </c>
      <c r="J314" t="n">
        <v>1</v>
      </c>
      <c r="K314" t="n">
        <v>0</v>
      </c>
      <c r="L314" t="n">
        <v>0</v>
      </c>
      <c r="M314" t="n">
        <v>0</v>
      </c>
      <c r="N314" t="n">
        <v>0</v>
      </c>
      <c r="O314" t="n">
        <v>1</v>
      </c>
      <c r="P314" t="n">
        <v>0</v>
      </c>
      <c r="Q314" t="n">
        <v>1</v>
      </c>
      <c r="R314" s="2" t="inlineStr">
        <is>
          <t>Kolflarnlav</t>
        </is>
      </c>
      <c r="S314">
        <f>HYPERLINK("https://klasma.github.io/Logging_GALLIVARE/artfynd/A 41384-2019.xlsx", "A 41384-2019")</f>
        <v/>
      </c>
      <c r="T314">
        <f>HYPERLINK("https://klasma.github.io/Logging_GALLIVARE/kartor/A 41384-2019.png", "A 41384-2019")</f>
        <v/>
      </c>
      <c r="V314">
        <f>HYPERLINK("https://klasma.github.io/Logging_GALLIVARE/klagomål/A 41384-2019.docx", "A 41384-2019")</f>
        <v/>
      </c>
      <c r="W314">
        <f>HYPERLINK("https://klasma.github.io/Logging_GALLIVARE/klagomålsmail/A 41384-2019.docx", "A 41384-2019")</f>
        <v/>
      </c>
      <c r="X314">
        <f>HYPERLINK("https://klasma.github.io/Logging_GALLIVARE/tillsyn/A 41384-2019.docx", "A 41384-2019")</f>
        <v/>
      </c>
      <c r="Y314">
        <f>HYPERLINK("https://klasma.github.io/Logging_GALLIVARE/tillsynsmail/A 41384-2019.docx", "A 41384-2019")</f>
        <v/>
      </c>
    </row>
    <row r="315" ht="15" customHeight="1">
      <c r="A315" t="inlineStr">
        <is>
          <t>A 45558-2019</t>
        </is>
      </c>
      <c r="B315" s="1" t="n">
        <v>43714</v>
      </c>
      <c r="C315" s="1" t="n">
        <v>45206</v>
      </c>
      <c r="D315" t="inlineStr">
        <is>
          <t>NORRBOTTENS LÄN</t>
        </is>
      </c>
      <c r="E315" t="inlineStr">
        <is>
          <t>PITEÅ</t>
        </is>
      </c>
      <c r="F315" t="inlineStr">
        <is>
          <t>SCA</t>
        </is>
      </c>
      <c r="G315" t="n">
        <v>6.4</v>
      </c>
      <c r="H315" t="n">
        <v>0</v>
      </c>
      <c r="I315" t="n">
        <v>0</v>
      </c>
      <c r="J315" t="n">
        <v>1</v>
      </c>
      <c r="K315" t="n">
        <v>0</v>
      </c>
      <c r="L315" t="n">
        <v>0</v>
      </c>
      <c r="M315" t="n">
        <v>0</v>
      </c>
      <c r="N315" t="n">
        <v>0</v>
      </c>
      <c r="O315" t="n">
        <v>1</v>
      </c>
      <c r="P315" t="n">
        <v>0</v>
      </c>
      <c r="Q315" t="n">
        <v>1</v>
      </c>
      <c r="R315" s="2" t="inlineStr">
        <is>
          <t>Ullticka</t>
        </is>
      </c>
      <c r="S315">
        <f>HYPERLINK("https://klasma.github.io/Logging_PITEA/artfynd/A 45558-2019.xlsx", "A 45558-2019")</f>
        <v/>
      </c>
      <c r="T315">
        <f>HYPERLINK("https://klasma.github.io/Logging_PITEA/kartor/A 45558-2019.png", "A 45558-2019")</f>
        <v/>
      </c>
      <c r="V315">
        <f>HYPERLINK("https://klasma.github.io/Logging_PITEA/klagomål/A 45558-2019.docx", "A 45558-2019")</f>
        <v/>
      </c>
      <c r="W315">
        <f>HYPERLINK("https://klasma.github.io/Logging_PITEA/klagomålsmail/A 45558-2019.docx", "A 45558-2019")</f>
        <v/>
      </c>
      <c r="X315">
        <f>HYPERLINK("https://klasma.github.io/Logging_PITEA/tillsyn/A 45558-2019.docx", "A 45558-2019")</f>
        <v/>
      </c>
      <c r="Y315">
        <f>HYPERLINK("https://klasma.github.io/Logging_PITEA/tillsynsmail/A 45558-2019.docx", "A 45558-2019")</f>
        <v/>
      </c>
    </row>
    <row r="316" ht="15" customHeight="1">
      <c r="A316" t="inlineStr">
        <is>
          <t>A 46134-2019</t>
        </is>
      </c>
      <c r="B316" s="1" t="n">
        <v>43718</v>
      </c>
      <c r="C316" s="1" t="n">
        <v>45206</v>
      </c>
      <c r="D316" t="inlineStr">
        <is>
          <t>NORRBOTTENS LÄN</t>
        </is>
      </c>
      <c r="E316" t="inlineStr">
        <is>
          <t>PAJALA</t>
        </is>
      </c>
      <c r="F316" t="inlineStr">
        <is>
          <t>Sveaskog</t>
        </is>
      </c>
      <c r="G316" t="n">
        <v>10.1</v>
      </c>
      <c r="H316" t="n">
        <v>0</v>
      </c>
      <c r="I316" t="n">
        <v>0</v>
      </c>
      <c r="J316" t="n">
        <v>1</v>
      </c>
      <c r="K316" t="n">
        <v>0</v>
      </c>
      <c r="L316" t="n">
        <v>0</v>
      </c>
      <c r="M316" t="n">
        <v>0</v>
      </c>
      <c r="N316" t="n">
        <v>0</v>
      </c>
      <c r="O316" t="n">
        <v>1</v>
      </c>
      <c r="P316" t="n">
        <v>0</v>
      </c>
      <c r="Q316" t="n">
        <v>1</v>
      </c>
      <c r="R316" s="2" t="inlineStr">
        <is>
          <t>Garnlav</t>
        </is>
      </c>
      <c r="S316">
        <f>HYPERLINK("https://klasma.github.io/Logging_PAJALA/artfynd/A 46134-2019.xlsx", "A 46134-2019")</f>
        <v/>
      </c>
      <c r="T316">
        <f>HYPERLINK("https://klasma.github.io/Logging_PAJALA/kartor/A 46134-2019.png", "A 46134-2019")</f>
        <v/>
      </c>
      <c r="V316">
        <f>HYPERLINK("https://klasma.github.io/Logging_PAJALA/klagomål/A 46134-2019.docx", "A 46134-2019")</f>
        <v/>
      </c>
      <c r="W316">
        <f>HYPERLINK("https://klasma.github.io/Logging_PAJALA/klagomålsmail/A 46134-2019.docx", "A 46134-2019")</f>
        <v/>
      </c>
      <c r="X316">
        <f>HYPERLINK("https://klasma.github.io/Logging_PAJALA/tillsyn/A 46134-2019.docx", "A 46134-2019")</f>
        <v/>
      </c>
      <c r="Y316">
        <f>HYPERLINK("https://klasma.github.io/Logging_PAJALA/tillsynsmail/A 46134-2019.docx", "A 46134-2019")</f>
        <v/>
      </c>
    </row>
    <row r="317" ht="15" customHeight="1">
      <c r="A317" t="inlineStr">
        <is>
          <t>A 47305-2019</t>
        </is>
      </c>
      <c r="B317" s="1" t="n">
        <v>43721</v>
      </c>
      <c r="C317" s="1" t="n">
        <v>45206</v>
      </c>
      <c r="D317" t="inlineStr">
        <is>
          <t>NORRBOTTENS LÄN</t>
        </is>
      </c>
      <c r="E317" t="inlineStr">
        <is>
          <t>KALIX</t>
        </is>
      </c>
      <c r="G317" t="n">
        <v>2.4</v>
      </c>
      <c r="H317" t="n">
        <v>0</v>
      </c>
      <c r="I317" t="n">
        <v>0</v>
      </c>
      <c r="J317" t="n">
        <v>1</v>
      </c>
      <c r="K317" t="n">
        <v>0</v>
      </c>
      <c r="L317" t="n">
        <v>0</v>
      </c>
      <c r="M317" t="n">
        <v>0</v>
      </c>
      <c r="N317" t="n">
        <v>0</v>
      </c>
      <c r="O317" t="n">
        <v>1</v>
      </c>
      <c r="P317" t="n">
        <v>0</v>
      </c>
      <c r="Q317" t="n">
        <v>1</v>
      </c>
      <c r="R317" s="2" t="inlineStr">
        <is>
          <t>Ullticka</t>
        </is>
      </c>
      <c r="S317">
        <f>HYPERLINK("https://klasma.github.io/Logging_KALIX/artfynd/A 47305-2019.xlsx", "A 47305-2019")</f>
        <v/>
      </c>
      <c r="T317">
        <f>HYPERLINK("https://klasma.github.io/Logging_KALIX/kartor/A 47305-2019.png", "A 47305-2019")</f>
        <v/>
      </c>
      <c r="V317">
        <f>HYPERLINK("https://klasma.github.io/Logging_KALIX/klagomål/A 47305-2019.docx", "A 47305-2019")</f>
        <v/>
      </c>
      <c r="W317">
        <f>HYPERLINK("https://klasma.github.io/Logging_KALIX/klagomålsmail/A 47305-2019.docx", "A 47305-2019")</f>
        <v/>
      </c>
      <c r="X317">
        <f>HYPERLINK("https://klasma.github.io/Logging_KALIX/tillsyn/A 47305-2019.docx", "A 47305-2019")</f>
        <v/>
      </c>
      <c r="Y317">
        <f>HYPERLINK("https://klasma.github.io/Logging_KALIX/tillsynsmail/A 47305-2019.docx", "A 47305-2019")</f>
        <v/>
      </c>
    </row>
    <row r="318" ht="15" customHeight="1">
      <c r="A318" t="inlineStr">
        <is>
          <t>A 51078-2019</t>
        </is>
      </c>
      <c r="B318" s="1" t="n">
        <v>43739</v>
      </c>
      <c r="C318" s="1" t="n">
        <v>45206</v>
      </c>
      <c r="D318" t="inlineStr">
        <is>
          <t>NORRBOTTENS LÄN</t>
        </is>
      </c>
      <c r="E318" t="inlineStr">
        <is>
          <t>ÄLVSBYN</t>
        </is>
      </c>
      <c r="F318" t="inlineStr">
        <is>
          <t>Sveaskog</t>
        </is>
      </c>
      <c r="G318" t="n">
        <v>14.8</v>
      </c>
      <c r="H318" t="n">
        <v>1</v>
      </c>
      <c r="I318" t="n">
        <v>0</v>
      </c>
      <c r="J318" t="n">
        <v>1</v>
      </c>
      <c r="K318" t="n">
        <v>0</v>
      </c>
      <c r="L318" t="n">
        <v>0</v>
      </c>
      <c r="M318" t="n">
        <v>0</v>
      </c>
      <c r="N318" t="n">
        <v>0</v>
      </c>
      <c r="O318" t="n">
        <v>1</v>
      </c>
      <c r="P318" t="n">
        <v>0</v>
      </c>
      <c r="Q318" t="n">
        <v>1</v>
      </c>
      <c r="R318" s="2" t="inlineStr">
        <is>
          <t>Tretåig hackspett</t>
        </is>
      </c>
      <c r="S318">
        <f>HYPERLINK("https://klasma.github.io/Logging_ALVSBYN/artfynd/A 51078-2019.xlsx", "A 51078-2019")</f>
        <v/>
      </c>
      <c r="T318">
        <f>HYPERLINK("https://klasma.github.io/Logging_ALVSBYN/kartor/A 51078-2019.png", "A 51078-2019")</f>
        <v/>
      </c>
      <c r="V318">
        <f>HYPERLINK("https://klasma.github.io/Logging_ALVSBYN/klagomål/A 51078-2019.docx", "A 51078-2019")</f>
        <v/>
      </c>
      <c r="W318">
        <f>HYPERLINK("https://klasma.github.io/Logging_ALVSBYN/klagomålsmail/A 51078-2019.docx", "A 51078-2019")</f>
        <v/>
      </c>
      <c r="X318">
        <f>HYPERLINK("https://klasma.github.io/Logging_ALVSBYN/tillsyn/A 51078-2019.docx", "A 51078-2019")</f>
        <v/>
      </c>
      <c r="Y318">
        <f>HYPERLINK("https://klasma.github.io/Logging_ALVSBYN/tillsynsmail/A 51078-2019.docx", "A 51078-2019")</f>
        <v/>
      </c>
    </row>
    <row r="319" ht="15" customHeight="1">
      <c r="A319" t="inlineStr">
        <is>
          <t>A 54126-2019</t>
        </is>
      </c>
      <c r="B319" s="1" t="n">
        <v>43752</v>
      </c>
      <c r="C319" s="1" t="n">
        <v>45206</v>
      </c>
      <c r="D319" t="inlineStr">
        <is>
          <t>NORRBOTTENS LÄN</t>
        </is>
      </c>
      <c r="E319" t="inlineStr">
        <is>
          <t>BODEN</t>
        </is>
      </c>
      <c r="F319" t="inlineStr">
        <is>
          <t>SCA</t>
        </is>
      </c>
      <c r="G319" t="n">
        <v>7.6</v>
      </c>
      <c r="H319" t="n">
        <v>1</v>
      </c>
      <c r="I319" t="n">
        <v>0</v>
      </c>
      <c r="J319" t="n">
        <v>0</v>
      </c>
      <c r="K319" t="n">
        <v>1</v>
      </c>
      <c r="L319" t="n">
        <v>0</v>
      </c>
      <c r="M319" t="n">
        <v>0</v>
      </c>
      <c r="N319" t="n">
        <v>0</v>
      </c>
      <c r="O319" t="n">
        <v>1</v>
      </c>
      <c r="P319" t="n">
        <v>1</v>
      </c>
      <c r="Q319" t="n">
        <v>1</v>
      </c>
      <c r="R319" s="2" t="inlineStr">
        <is>
          <t>Knärot</t>
        </is>
      </c>
      <c r="S319">
        <f>HYPERLINK("https://klasma.github.io/Logging_BODEN/artfynd/A 54126-2019.xlsx", "A 54126-2019")</f>
        <v/>
      </c>
      <c r="T319">
        <f>HYPERLINK("https://klasma.github.io/Logging_BODEN/kartor/A 54126-2019.png", "A 54126-2019")</f>
        <v/>
      </c>
      <c r="U319">
        <f>HYPERLINK("https://klasma.github.io/Logging_BODEN/knärot/A 54126-2019.png", "A 54126-2019")</f>
        <v/>
      </c>
      <c r="V319">
        <f>HYPERLINK("https://klasma.github.io/Logging_BODEN/klagomål/A 54126-2019.docx", "A 54126-2019")</f>
        <v/>
      </c>
      <c r="W319">
        <f>HYPERLINK("https://klasma.github.io/Logging_BODEN/klagomålsmail/A 54126-2019.docx", "A 54126-2019")</f>
        <v/>
      </c>
      <c r="X319">
        <f>HYPERLINK("https://klasma.github.io/Logging_BODEN/tillsyn/A 54126-2019.docx", "A 54126-2019")</f>
        <v/>
      </c>
      <c r="Y319">
        <f>HYPERLINK("https://klasma.github.io/Logging_BODEN/tillsynsmail/A 54126-2019.docx", "A 54126-2019")</f>
        <v/>
      </c>
    </row>
    <row r="320" ht="15" customHeight="1">
      <c r="A320" t="inlineStr">
        <is>
          <t>A 58502-2019</t>
        </is>
      </c>
      <c r="B320" s="1" t="n">
        <v>43766</v>
      </c>
      <c r="C320" s="1" t="n">
        <v>45206</v>
      </c>
      <c r="D320" t="inlineStr">
        <is>
          <t>NORRBOTTENS LÄN</t>
        </is>
      </c>
      <c r="E320" t="inlineStr">
        <is>
          <t>ÖVERKALIX</t>
        </is>
      </c>
      <c r="G320" t="n">
        <v>1</v>
      </c>
      <c r="H320" t="n">
        <v>1</v>
      </c>
      <c r="I320" t="n">
        <v>0</v>
      </c>
      <c r="J320" t="n">
        <v>0</v>
      </c>
      <c r="K320" t="n">
        <v>0</v>
      </c>
      <c r="L320" t="n">
        <v>0</v>
      </c>
      <c r="M320" t="n">
        <v>0</v>
      </c>
      <c r="N320" t="n">
        <v>0</v>
      </c>
      <c r="O320" t="n">
        <v>0</v>
      </c>
      <c r="P320" t="n">
        <v>0</v>
      </c>
      <c r="Q320" t="n">
        <v>1</v>
      </c>
      <c r="R320" s="2" t="inlineStr">
        <is>
          <t>Revlummer</t>
        </is>
      </c>
      <c r="S320">
        <f>HYPERLINK("https://klasma.github.io/Logging_OVERKALIX/artfynd/A 58502-2019.xlsx", "A 58502-2019")</f>
        <v/>
      </c>
      <c r="T320">
        <f>HYPERLINK("https://klasma.github.io/Logging_OVERKALIX/kartor/A 58502-2019.png", "A 58502-2019")</f>
        <v/>
      </c>
      <c r="V320">
        <f>HYPERLINK("https://klasma.github.io/Logging_OVERKALIX/klagomål/A 58502-2019.docx", "A 58502-2019")</f>
        <v/>
      </c>
      <c r="W320">
        <f>HYPERLINK("https://klasma.github.io/Logging_OVERKALIX/klagomålsmail/A 58502-2019.docx", "A 58502-2019")</f>
        <v/>
      </c>
      <c r="X320">
        <f>HYPERLINK("https://klasma.github.io/Logging_OVERKALIX/tillsyn/A 58502-2019.docx", "A 58502-2019")</f>
        <v/>
      </c>
      <c r="Y320">
        <f>HYPERLINK("https://klasma.github.io/Logging_OVERKALIX/tillsynsmail/A 58502-2019.docx", "A 58502-2019")</f>
        <v/>
      </c>
    </row>
    <row r="321" ht="15" customHeight="1">
      <c r="A321" t="inlineStr">
        <is>
          <t>A 56916-2019</t>
        </is>
      </c>
      <c r="B321" s="1" t="n">
        <v>43766</v>
      </c>
      <c r="C321" s="1" t="n">
        <v>45206</v>
      </c>
      <c r="D321" t="inlineStr">
        <is>
          <t>NORRBOTTENS LÄN</t>
        </is>
      </c>
      <c r="E321" t="inlineStr">
        <is>
          <t>BODEN</t>
        </is>
      </c>
      <c r="G321" t="n">
        <v>43.9</v>
      </c>
      <c r="H321" t="n">
        <v>1</v>
      </c>
      <c r="I321" t="n">
        <v>1</v>
      </c>
      <c r="J321" t="n">
        <v>0</v>
      </c>
      <c r="K321" t="n">
        <v>0</v>
      </c>
      <c r="L321" t="n">
        <v>0</v>
      </c>
      <c r="M321" t="n">
        <v>0</v>
      </c>
      <c r="N321" t="n">
        <v>0</v>
      </c>
      <c r="O321" t="n">
        <v>0</v>
      </c>
      <c r="P321" t="n">
        <v>0</v>
      </c>
      <c r="Q321" t="n">
        <v>1</v>
      </c>
      <c r="R321" s="2" t="inlineStr">
        <is>
          <t>Korallrot</t>
        </is>
      </c>
      <c r="S321">
        <f>HYPERLINK("https://klasma.github.io/Logging_BODEN/artfynd/A 56916-2019.xlsx", "A 56916-2019")</f>
        <v/>
      </c>
      <c r="T321">
        <f>HYPERLINK("https://klasma.github.io/Logging_BODEN/kartor/A 56916-2019.png", "A 56916-2019")</f>
        <v/>
      </c>
      <c r="V321">
        <f>HYPERLINK("https://klasma.github.io/Logging_BODEN/klagomål/A 56916-2019.docx", "A 56916-2019")</f>
        <v/>
      </c>
      <c r="W321">
        <f>HYPERLINK("https://klasma.github.io/Logging_BODEN/klagomålsmail/A 56916-2019.docx", "A 56916-2019")</f>
        <v/>
      </c>
      <c r="X321">
        <f>HYPERLINK("https://klasma.github.io/Logging_BODEN/tillsyn/A 56916-2019.docx", "A 56916-2019")</f>
        <v/>
      </c>
      <c r="Y321">
        <f>HYPERLINK("https://klasma.github.io/Logging_BODEN/tillsynsmail/A 56916-2019.docx", "A 56916-2019")</f>
        <v/>
      </c>
    </row>
    <row r="322" ht="15" customHeight="1">
      <c r="A322" t="inlineStr">
        <is>
          <t>A 61313-2019</t>
        </is>
      </c>
      <c r="B322" s="1" t="n">
        <v>43775</v>
      </c>
      <c r="C322" s="1" t="n">
        <v>45206</v>
      </c>
      <c r="D322" t="inlineStr">
        <is>
          <t>NORRBOTTENS LÄN</t>
        </is>
      </c>
      <c r="E322" t="inlineStr">
        <is>
          <t>KIRUNA</t>
        </is>
      </c>
      <c r="F322" t="inlineStr">
        <is>
          <t>Övriga statliga verk och myndigheter</t>
        </is>
      </c>
      <c r="G322" t="n">
        <v>28.7</v>
      </c>
      <c r="H322" t="n">
        <v>1</v>
      </c>
      <c r="I322" t="n">
        <v>0</v>
      </c>
      <c r="J322" t="n">
        <v>0</v>
      </c>
      <c r="K322" t="n">
        <v>1</v>
      </c>
      <c r="L322" t="n">
        <v>0</v>
      </c>
      <c r="M322" t="n">
        <v>0</v>
      </c>
      <c r="N322" t="n">
        <v>0</v>
      </c>
      <c r="O322" t="n">
        <v>1</v>
      </c>
      <c r="P322" t="n">
        <v>1</v>
      </c>
      <c r="Q322" t="n">
        <v>1</v>
      </c>
      <c r="R322" s="2" t="inlineStr">
        <is>
          <t>Norna</t>
        </is>
      </c>
      <c r="S322">
        <f>HYPERLINK("https://klasma.github.io/Logging_KIRUNA/artfynd/A 61313-2019.xlsx", "A 61313-2019")</f>
        <v/>
      </c>
      <c r="T322">
        <f>HYPERLINK("https://klasma.github.io/Logging_KIRUNA/kartor/A 61313-2019.png", "A 61313-2019")</f>
        <v/>
      </c>
      <c r="V322">
        <f>HYPERLINK("https://klasma.github.io/Logging_KIRUNA/klagomål/A 61313-2019.docx", "A 61313-2019")</f>
        <v/>
      </c>
      <c r="W322">
        <f>HYPERLINK("https://klasma.github.io/Logging_KIRUNA/klagomålsmail/A 61313-2019.docx", "A 61313-2019")</f>
        <v/>
      </c>
      <c r="X322">
        <f>HYPERLINK("https://klasma.github.io/Logging_KIRUNA/tillsyn/A 61313-2019.docx", "A 61313-2019")</f>
        <v/>
      </c>
      <c r="Y322">
        <f>HYPERLINK("https://klasma.github.io/Logging_KIRUNA/tillsynsmail/A 61313-2019.docx", "A 61313-2019")</f>
        <v/>
      </c>
    </row>
    <row r="323" ht="15" customHeight="1">
      <c r="A323" t="inlineStr">
        <is>
          <t>A 62168-2019</t>
        </is>
      </c>
      <c r="B323" s="1" t="n">
        <v>43787</v>
      </c>
      <c r="C323" s="1" t="n">
        <v>45206</v>
      </c>
      <c r="D323" t="inlineStr">
        <is>
          <t>NORRBOTTENS LÄN</t>
        </is>
      </c>
      <c r="E323" t="inlineStr">
        <is>
          <t>BODEN</t>
        </is>
      </c>
      <c r="F323" t="inlineStr">
        <is>
          <t>SCA</t>
        </is>
      </c>
      <c r="G323" t="n">
        <v>1.3</v>
      </c>
      <c r="H323" t="n">
        <v>1</v>
      </c>
      <c r="I323" t="n">
        <v>0</v>
      </c>
      <c r="J323" t="n">
        <v>0</v>
      </c>
      <c r="K323" t="n">
        <v>1</v>
      </c>
      <c r="L323" t="n">
        <v>0</v>
      </c>
      <c r="M323" t="n">
        <v>0</v>
      </c>
      <c r="N323" t="n">
        <v>0</v>
      </c>
      <c r="O323" t="n">
        <v>1</v>
      </c>
      <c r="P323" t="n">
        <v>1</v>
      </c>
      <c r="Q323" t="n">
        <v>1</v>
      </c>
      <c r="R323" s="2" t="inlineStr">
        <is>
          <t>Knärot</t>
        </is>
      </c>
      <c r="S323">
        <f>HYPERLINK("https://klasma.github.io/Logging_BODEN/artfynd/A 62168-2019.xlsx", "A 62168-2019")</f>
        <v/>
      </c>
      <c r="T323">
        <f>HYPERLINK("https://klasma.github.io/Logging_BODEN/kartor/A 62168-2019.png", "A 62168-2019")</f>
        <v/>
      </c>
      <c r="U323">
        <f>HYPERLINK("https://klasma.github.io/Logging_BODEN/knärot/A 62168-2019.png", "A 62168-2019")</f>
        <v/>
      </c>
      <c r="V323">
        <f>HYPERLINK("https://klasma.github.io/Logging_BODEN/klagomål/A 62168-2019.docx", "A 62168-2019")</f>
        <v/>
      </c>
      <c r="W323">
        <f>HYPERLINK("https://klasma.github.io/Logging_BODEN/klagomålsmail/A 62168-2019.docx", "A 62168-2019")</f>
        <v/>
      </c>
      <c r="X323">
        <f>HYPERLINK("https://klasma.github.io/Logging_BODEN/tillsyn/A 62168-2019.docx", "A 62168-2019")</f>
        <v/>
      </c>
      <c r="Y323">
        <f>HYPERLINK("https://klasma.github.io/Logging_BODEN/tillsynsmail/A 62168-2019.docx", "A 62168-2019")</f>
        <v/>
      </c>
    </row>
    <row r="324" ht="15" customHeight="1">
      <c r="A324" t="inlineStr">
        <is>
          <t>A 64251-2019</t>
        </is>
      </c>
      <c r="B324" s="1" t="n">
        <v>43797</v>
      </c>
      <c r="C324" s="1" t="n">
        <v>45206</v>
      </c>
      <c r="D324" t="inlineStr">
        <is>
          <t>NORRBOTTENS LÄN</t>
        </is>
      </c>
      <c r="E324" t="inlineStr">
        <is>
          <t>BODEN</t>
        </is>
      </c>
      <c r="F324" t="inlineStr">
        <is>
          <t>Övriga Aktiebolag</t>
        </is>
      </c>
      <c r="G324" t="n">
        <v>10.7</v>
      </c>
      <c r="H324" t="n">
        <v>0</v>
      </c>
      <c r="I324" t="n">
        <v>0</v>
      </c>
      <c r="J324" t="n">
        <v>1</v>
      </c>
      <c r="K324" t="n">
        <v>0</v>
      </c>
      <c r="L324" t="n">
        <v>0</v>
      </c>
      <c r="M324" t="n">
        <v>0</v>
      </c>
      <c r="N324" t="n">
        <v>0</v>
      </c>
      <c r="O324" t="n">
        <v>1</v>
      </c>
      <c r="P324" t="n">
        <v>0</v>
      </c>
      <c r="Q324" t="n">
        <v>1</v>
      </c>
      <c r="R324" s="2" t="inlineStr">
        <is>
          <t>Garnlav</t>
        </is>
      </c>
      <c r="S324">
        <f>HYPERLINK("https://klasma.github.io/Logging_BODEN/artfynd/A 64251-2019.xlsx", "A 64251-2019")</f>
        <v/>
      </c>
      <c r="T324">
        <f>HYPERLINK("https://klasma.github.io/Logging_BODEN/kartor/A 64251-2019.png", "A 64251-2019")</f>
        <v/>
      </c>
      <c r="V324">
        <f>HYPERLINK("https://klasma.github.io/Logging_BODEN/klagomål/A 64251-2019.docx", "A 64251-2019")</f>
        <v/>
      </c>
      <c r="W324">
        <f>HYPERLINK("https://klasma.github.io/Logging_BODEN/klagomålsmail/A 64251-2019.docx", "A 64251-2019")</f>
        <v/>
      </c>
      <c r="X324">
        <f>HYPERLINK("https://klasma.github.io/Logging_BODEN/tillsyn/A 64251-2019.docx", "A 64251-2019")</f>
        <v/>
      </c>
      <c r="Y324">
        <f>HYPERLINK("https://klasma.github.io/Logging_BODEN/tillsynsmail/A 64251-2019.docx", "A 64251-2019")</f>
        <v/>
      </c>
    </row>
    <row r="325" ht="15" customHeight="1">
      <c r="A325" t="inlineStr">
        <is>
          <t>A 13142-2020</t>
        </is>
      </c>
      <c r="B325" s="1" t="n">
        <v>43901</v>
      </c>
      <c r="C325" s="1" t="n">
        <v>45206</v>
      </c>
      <c r="D325" t="inlineStr">
        <is>
          <t>NORRBOTTENS LÄN</t>
        </is>
      </c>
      <c r="E325" t="inlineStr">
        <is>
          <t>ÖVERKALIX</t>
        </is>
      </c>
      <c r="F325" t="inlineStr">
        <is>
          <t>Sveaskog</t>
        </is>
      </c>
      <c r="G325" t="n">
        <v>73.7</v>
      </c>
      <c r="H325" t="n">
        <v>0</v>
      </c>
      <c r="I325" t="n">
        <v>0</v>
      </c>
      <c r="J325" t="n">
        <v>1</v>
      </c>
      <c r="K325" t="n">
        <v>0</v>
      </c>
      <c r="L325" t="n">
        <v>0</v>
      </c>
      <c r="M325" t="n">
        <v>0</v>
      </c>
      <c r="N325" t="n">
        <v>0</v>
      </c>
      <c r="O325" t="n">
        <v>1</v>
      </c>
      <c r="P325" t="n">
        <v>0</v>
      </c>
      <c r="Q325" t="n">
        <v>1</v>
      </c>
      <c r="R325" s="2" t="inlineStr">
        <is>
          <t>Violmussling</t>
        </is>
      </c>
      <c r="S325">
        <f>HYPERLINK("https://klasma.github.io/Logging_OVERKALIX/artfynd/A 13142-2020.xlsx", "A 13142-2020")</f>
        <v/>
      </c>
      <c r="T325">
        <f>HYPERLINK("https://klasma.github.io/Logging_OVERKALIX/kartor/A 13142-2020.png", "A 13142-2020")</f>
        <v/>
      </c>
      <c r="V325">
        <f>HYPERLINK("https://klasma.github.io/Logging_OVERKALIX/klagomål/A 13142-2020.docx", "A 13142-2020")</f>
        <v/>
      </c>
      <c r="W325">
        <f>HYPERLINK("https://klasma.github.io/Logging_OVERKALIX/klagomålsmail/A 13142-2020.docx", "A 13142-2020")</f>
        <v/>
      </c>
      <c r="X325">
        <f>HYPERLINK("https://klasma.github.io/Logging_OVERKALIX/tillsyn/A 13142-2020.docx", "A 13142-2020")</f>
        <v/>
      </c>
      <c r="Y325">
        <f>HYPERLINK("https://klasma.github.io/Logging_OVERKALIX/tillsynsmail/A 13142-2020.docx", "A 13142-2020")</f>
        <v/>
      </c>
    </row>
    <row r="326" ht="15" customHeight="1">
      <c r="A326" t="inlineStr">
        <is>
          <t>A 16356-2020</t>
        </is>
      </c>
      <c r="B326" s="1" t="n">
        <v>43908</v>
      </c>
      <c r="C326" s="1" t="n">
        <v>45206</v>
      </c>
      <c r="D326" t="inlineStr">
        <is>
          <t>NORRBOTTENS LÄN</t>
        </is>
      </c>
      <c r="E326" t="inlineStr">
        <is>
          <t>PITEÅ</t>
        </is>
      </c>
      <c r="G326" t="n">
        <v>8.699999999999999</v>
      </c>
      <c r="H326" t="n">
        <v>0</v>
      </c>
      <c r="I326" t="n">
        <v>0</v>
      </c>
      <c r="J326" t="n">
        <v>1</v>
      </c>
      <c r="K326" t="n">
        <v>0</v>
      </c>
      <c r="L326" t="n">
        <v>0</v>
      </c>
      <c r="M326" t="n">
        <v>0</v>
      </c>
      <c r="N326" t="n">
        <v>0</v>
      </c>
      <c r="O326" t="n">
        <v>1</v>
      </c>
      <c r="P326" t="n">
        <v>0</v>
      </c>
      <c r="Q326" t="n">
        <v>1</v>
      </c>
      <c r="R326" s="2" t="inlineStr">
        <is>
          <t>Skrovlig taggsvamp</t>
        </is>
      </c>
      <c r="S326">
        <f>HYPERLINK("https://klasma.github.io/Logging_PITEA/artfynd/A 16356-2020.xlsx", "A 16356-2020")</f>
        <v/>
      </c>
      <c r="T326">
        <f>HYPERLINK("https://klasma.github.io/Logging_PITEA/kartor/A 16356-2020.png", "A 16356-2020")</f>
        <v/>
      </c>
      <c r="V326">
        <f>HYPERLINK("https://klasma.github.io/Logging_PITEA/klagomål/A 16356-2020.docx", "A 16356-2020")</f>
        <v/>
      </c>
      <c r="W326">
        <f>HYPERLINK("https://klasma.github.io/Logging_PITEA/klagomålsmail/A 16356-2020.docx", "A 16356-2020")</f>
        <v/>
      </c>
      <c r="X326">
        <f>HYPERLINK("https://klasma.github.io/Logging_PITEA/tillsyn/A 16356-2020.docx", "A 16356-2020")</f>
        <v/>
      </c>
      <c r="Y326">
        <f>HYPERLINK("https://klasma.github.io/Logging_PITEA/tillsynsmail/A 16356-2020.docx", "A 16356-2020")</f>
        <v/>
      </c>
    </row>
    <row r="327" ht="15" customHeight="1">
      <c r="A327" t="inlineStr">
        <is>
          <t>A 23473-2020</t>
        </is>
      </c>
      <c r="B327" s="1" t="n">
        <v>43966</v>
      </c>
      <c r="C327" s="1" t="n">
        <v>45206</v>
      </c>
      <c r="D327" t="inlineStr">
        <is>
          <t>NORRBOTTENS LÄN</t>
        </is>
      </c>
      <c r="E327" t="inlineStr">
        <is>
          <t>BODEN</t>
        </is>
      </c>
      <c r="G327" t="n">
        <v>24.7</v>
      </c>
      <c r="H327" t="n">
        <v>0</v>
      </c>
      <c r="I327" t="n">
        <v>0</v>
      </c>
      <c r="J327" t="n">
        <v>1</v>
      </c>
      <c r="K327" t="n">
        <v>0</v>
      </c>
      <c r="L327" t="n">
        <v>0</v>
      </c>
      <c r="M327" t="n">
        <v>0</v>
      </c>
      <c r="N327" t="n">
        <v>0</v>
      </c>
      <c r="O327" t="n">
        <v>1</v>
      </c>
      <c r="P327" t="n">
        <v>0</v>
      </c>
      <c r="Q327" t="n">
        <v>1</v>
      </c>
      <c r="R327" s="2" t="inlineStr">
        <is>
          <t>Lunglav</t>
        </is>
      </c>
      <c r="S327">
        <f>HYPERLINK("https://klasma.github.io/Logging_BODEN/artfynd/A 23473-2020.xlsx", "A 23473-2020")</f>
        <v/>
      </c>
      <c r="T327">
        <f>HYPERLINK("https://klasma.github.io/Logging_BODEN/kartor/A 23473-2020.png", "A 23473-2020")</f>
        <v/>
      </c>
      <c r="V327">
        <f>HYPERLINK("https://klasma.github.io/Logging_BODEN/klagomål/A 23473-2020.docx", "A 23473-2020")</f>
        <v/>
      </c>
      <c r="W327">
        <f>HYPERLINK("https://klasma.github.io/Logging_BODEN/klagomålsmail/A 23473-2020.docx", "A 23473-2020")</f>
        <v/>
      </c>
      <c r="X327">
        <f>HYPERLINK("https://klasma.github.io/Logging_BODEN/tillsyn/A 23473-2020.docx", "A 23473-2020")</f>
        <v/>
      </c>
      <c r="Y327">
        <f>HYPERLINK("https://klasma.github.io/Logging_BODEN/tillsynsmail/A 23473-2020.docx", "A 23473-2020")</f>
        <v/>
      </c>
    </row>
    <row r="328" ht="15" customHeight="1">
      <c r="A328" t="inlineStr">
        <is>
          <t>A 31905-2020</t>
        </is>
      </c>
      <c r="B328" s="1" t="n">
        <v>44014</v>
      </c>
      <c r="C328" s="1" t="n">
        <v>45206</v>
      </c>
      <c r="D328" t="inlineStr">
        <is>
          <t>NORRBOTTENS LÄN</t>
        </is>
      </c>
      <c r="E328" t="inlineStr">
        <is>
          <t>PITEÅ</t>
        </is>
      </c>
      <c r="G328" t="n">
        <v>6.6</v>
      </c>
      <c r="H328" t="n">
        <v>1</v>
      </c>
      <c r="I328" t="n">
        <v>1</v>
      </c>
      <c r="J328" t="n">
        <v>0</v>
      </c>
      <c r="K328" t="n">
        <v>0</v>
      </c>
      <c r="L328" t="n">
        <v>0</v>
      </c>
      <c r="M328" t="n">
        <v>0</v>
      </c>
      <c r="N328" t="n">
        <v>0</v>
      </c>
      <c r="O328" t="n">
        <v>0</v>
      </c>
      <c r="P328" t="n">
        <v>0</v>
      </c>
      <c r="Q328" t="n">
        <v>1</v>
      </c>
      <c r="R328" s="2" t="inlineStr">
        <is>
          <t>Plattlummer</t>
        </is>
      </c>
      <c r="S328">
        <f>HYPERLINK("https://klasma.github.io/Logging_PITEA/artfynd/A 31905-2020.xlsx", "A 31905-2020")</f>
        <v/>
      </c>
      <c r="T328">
        <f>HYPERLINK("https://klasma.github.io/Logging_PITEA/kartor/A 31905-2020.png", "A 31905-2020")</f>
        <v/>
      </c>
      <c r="V328">
        <f>HYPERLINK("https://klasma.github.io/Logging_PITEA/klagomål/A 31905-2020.docx", "A 31905-2020")</f>
        <v/>
      </c>
      <c r="W328">
        <f>HYPERLINK("https://klasma.github.io/Logging_PITEA/klagomålsmail/A 31905-2020.docx", "A 31905-2020")</f>
        <v/>
      </c>
      <c r="X328">
        <f>HYPERLINK("https://klasma.github.io/Logging_PITEA/tillsyn/A 31905-2020.docx", "A 31905-2020")</f>
        <v/>
      </c>
      <c r="Y328">
        <f>HYPERLINK("https://klasma.github.io/Logging_PITEA/tillsynsmail/A 31905-2020.docx", "A 31905-2020")</f>
        <v/>
      </c>
    </row>
    <row r="329" ht="15" customHeight="1">
      <c r="A329" t="inlineStr">
        <is>
          <t>A 36956-2020</t>
        </is>
      </c>
      <c r="B329" s="1" t="n">
        <v>44053</v>
      </c>
      <c r="C329" s="1" t="n">
        <v>45206</v>
      </c>
      <c r="D329" t="inlineStr">
        <is>
          <t>NORRBOTTENS LÄN</t>
        </is>
      </c>
      <c r="E329" t="inlineStr">
        <is>
          <t>PITEÅ</t>
        </is>
      </c>
      <c r="F329" t="inlineStr">
        <is>
          <t>SCA</t>
        </is>
      </c>
      <c r="G329" t="n">
        <v>3.1</v>
      </c>
      <c r="H329" t="n">
        <v>1</v>
      </c>
      <c r="I329" t="n">
        <v>0</v>
      </c>
      <c r="J329" t="n">
        <v>0</v>
      </c>
      <c r="K329" t="n">
        <v>0</v>
      </c>
      <c r="L329" t="n">
        <v>0</v>
      </c>
      <c r="M329" t="n">
        <v>0</v>
      </c>
      <c r="N329" t="n">
        <v>0</v>
      </c>
      <c r="O329" t="n">
        <v>0</v>
      </c>
      <c r="P329" t="n">
        <v>0</v>
      </c>
      <c r="Q329" t="n">
        <v>1</v>
      </c>
      <c r="R329" s="2" t="inlineStr">
        <is>
          <t>Revlummer</t>
        </is>
      </c>
      <c r="S329">
        <f>HYPERLINK("https://klasma.github.io/Logging_PITEA/artfynd/A 36956-2020.xlsx", "A 36956-2020")</f>
        <v/>
      </c>
      <c r="T329">
        <f>HYPERLINK("https://klasma.github.io/Logging_PITEA/kartor/A 36956-2020.png", "A 36956-2020")</f>
        <v/>
      </c>
      <c r="V329">
        <f>HYPERLINK("https://klasma.github.io/Logging_PITEA/klagomål/A 36956-2020.docx", "A 36956-2020")</f>
        <v/>
      </c>
      <c r="W329">
        <f>HYPERLINK("https://klasma.github.io/Logging_PITEA/klagomålsmail/A 36956-2020.docx", "A 36956-2020")</f>
        <v/>
      </c>
      <c r="X329">
        <f>HYPERLINK("https://klasma.github.io/Logging_PITEA/tillsyn/A 36956-2020.docx", "A 36956-2020")</f>
        <v/>
      </c>
      <c r="Y329">
        <f>HYPERLINK("https://klasma.github.io/Logging_PITEA/tillsynsmail/A 36956-2020.docx", "A 36956-2020")</f>
        <v/>
      </c>
    </row>
    <row r="330" ht="15" customHeight="1">
      <c r="A330" t="inlineStr">
        <is>
          <t>A 39034-2020</t>
        </is>
      </c>
      <c r="B330" s="1" t="n">
        <v>44062</v>
      </c>
      <c r="C330" s="1" t="n">
        <v>45206</v>
      </c>
      <c r="D330" t="inlineStr">
        <is>
          <t>NORRBOTTENS LÄN</t>
        </is>
      </c>
      <c r="E330" t="inlineStr">
        <is>
          <t>BODEN</t>
        </is>
      </c>
      <c r="F330" t="inlineStr">
        <is>
          <t>Sveaskog</t>
        </is>
      </c>
      <c r="G330" t="n">
        <v>17.7</v>
      </c>
      <c r="H330" t="n">
        <v>0</v>
      </c>
      <c r="I330" t="n">
        <v>0</v>
      </c>
      <c r="J330" t="n">
        <v>1</v>
      </c>
      <c r="K330" t="n">
        <v>0</v>
      </c>
      <c r="L330" t="n">
        <v>0</v>
      </c>
      <c r="M330" t="n">
        <v>0</v>
      </c>
      <c r="N330" t="n">
        <v>0</v>
      </c>
      <c r="O330" t="n">
        <v>1</v>
      </c>
      <c r="P330" t="n">
        <v>0</v>
      </c>
      <c r="Q330" t="n">
        <v>1</v>
      </c>
      <c r="R330" s="2" t="inlineStr">
        <is>
          <t>Kolflarnlav</t>
        </is>
      </c>
      <c r="S330">
        <f>HYPERLINK("https://klasma.github.io/Logging_BODEN/artfynd/A 39034-2020.xlsx", "A 39034-2020")</f>
        <v/>
      </c>
      <c r="T330">
        <f>HYPERLINK("https://klasma.github.io/Logging_BODEN/kartor/A 39034-2020.png", "A 39034-2020")</f>
        <v/>
      </c>
      <c r="V330">
        <f>HYPERLINK("https://klasma.github.io/Logging_BODEN/klagomål/A 39034-2020.docx", "A 39034-2020")</f>
        <v/>
      </c>
      <c r="W330">
        <f>HYPERLINK("https://klasma.github.io/Logging_BODEN/klagomålsmail/A 39034-2020.docx", "A 39034-2020")</f>
        <v/>
      </c>
      <c r="X330">
        <f>HYPERLINK("https://klasma.github.io/Logging_BODEN/tillsyn/A 39034-2020.docx", "A 39034-2020")</f>
        <v/>
      </c>
      <c r="Y330">
        <f>HYPERLINK("https://klasma.github.io/Logging_BODEN/tillsynsmail/A 39034-2020.docx", "A 39034-2020")</f>
        <v/>
      </c>
    </row>
    <row r="331" ht="15" customHeight="1">
      <c r="A331" t="inlineStr">
        <is>
          <t>A 39599-2020</t>
        </is>
      </c>
      <c r="B331" s="1" t="n">
        <v>44064</v>
      </c>
      <c r="C331" s="1" t="n">
        <v>45206</v>
      </c>
      <c r="D331" t="inlineStr">
        <is>
          <t>NORRBOTTENS LÄN</t>
        </is>
      </c>
      <c r="E331" t="inlineStr">
        <is>
          <t>BODEN</t>
        </is>
      </c>
      <c r="F331" t="inlineStr">
        <is>
          <t>Sveaskog</t>
        </is>
      </c>
      <c r="G331" t="n">
        <v>12.6</v>
      </c>
      <c r="H331" t="n">
        <v>1</v>
      </c>
      <c r="I331" t="n">
        <v>0</v>
      </c>
      <c r="J331" t="n">
        <v>0</v>
      </c>
      <c r="K331" t="n">
        <v>1</v>
      </c>
      <c r="L331" t="n">
        <v>0</v>
      </c>
      <c r="M331" t="n">
        <v>0</v>
      </c>
      <c r="N331" t="n">
        <v>0</v>
      </c>
      <c r="O331" t="n">
        <v>1</v>
      </c>
      <c r="P331" t="n">
        <v>1</v>
      </c>
      <c r="Q331" t="n">
        <v>1</v>
      </c>
      <c r="R331" s="2" t="inlineStr">
        <is>
          <t>Knärot</t>
        </is>
      </c>
      <c r="S331">
        <f>HYPERLINK("https://klasma.github.io/Logging_BODEN/artfynd/A 39599-2020.xlsx", "A 39599-2020")</f>
        <v/>
      </c>
      <c r="T331">
        <f>HYPERLINK("https://klasma.github.io/Logging_BODEN/kartor/A 39599-2020.png", "A 39599-2020")</f>
        <v/>
      </c>
      <c r="U331">
        <f>HYPERLINK("https://klasma.github.io/Logging_BODEN/knärot/A 39599-2020.png", "A 39599-2020")</f>
        <v/>
      </c>
      <c r="V331">
        <f>HYPERLINK("https://klasma.github.io/Logging_BODEN/klagomål/A 39599-2020.docx", "A 39599-2020")</f>
        <v/>
      </c>
      <c r="W331">
        <f>HYPERLINK("https://klasma.github.io/Logging_BODEN/klagomålsmail/A 39599-2020.docx", "A 39599-2020")</f>
        <v/>
      </c>
      <c r="X331">
        <f>HYPERLINK("https://klasma.github.io/Logging_BODEN/tillsyn/A 39599-2020.docx", "A 39599-2020")</f>
        <v/>
      </c>
      <c r="Y331">
        <f>HYPERLINK("https://klasma.github.io/Logging_BODEN/tillsynsmail/A 39599-2020.docx", "A 39599-2020")</f>
        <v/>
      </c>
    </row>
    <row r="332" ht="15" customHeight="1">
      <c r="A332" t="inlineStr">
        <is>
          <t>A 42854-2020</t>
        </is>
      </c>
      <c r="B332" s="1" t="n">
        <v>44078</v>
      </c>
      <c r="C332" s="1" t="n">
        <v>45206</v>
      </c>
      <c r="D332" t="inlineStr">
        <is>
          <t>NORRBOTTENS LÄN</t>
        </is>
      </c>
      <c r="E332" t="inlineStr">
        <is>
          <t>PAJALA</t>
        </is>
      </c>
      <c r="F332" t="inlineStr">
        <is>
          <t>Sveaskog</t>
        </is>
      </c>
      <c r="G332" t="n">
        <v>5.4</v>
      </c>
      <c r="H332" t="n">
        <v>1</v>
      </c>
      <c r="I332" t="n">
        <v>0</v>
      </c>
      <c r="J332" t="n">
        <v>1</v>
      </c>
      <c r="K332" t="n">
        <v>0</v>
      </c>
      <c r="L332" t="n">
        <v>0</v>
      </c>
      <c r="M332" t="n">
        <v>0</v>
      </c>
      <c r="N332" t="n">
        <v>0</v>
      </c>
      <c r="O332" t="n">
        <v>1</v>
      </c>
      <c r="P332" t="n">
        <v>0</v>
      </c>
      <c r="Q332" t="n">
        <v>1</v>
      </c>
      <c r="R332" s="2" t="inlineStr">
        <is>
          <t>Duvhök</t>
        </is>
      </c>
      <c r="S332">
        <f>HYPERLINK("https://klasma.github.io/Logging_PAJALA/artfynd/A 42854-2020.xlsx", "A 42854-2020")</f>
        <v/>
      </c>
      <c r="T332">
        <f>HYPERLINK("https://klasma.github.io/Logging_PAJALA/kartor/A 42854-2020.png", "A 42854-2020")</f>
        <v/>
      </c>
      <c r="V332">
        <f>HYPERLINK("https://klasma.github.io/Logging_PAJALA/klagomål/A 42854-2020.docx", "A 42854-2020")</f>
        <v/>
      </c>
      <c r="W332">
        <f>HYPERLINK("https://klasma.github.io/Logging_PAJALA/klagomålsmail/A 42854-2020.docx", "A 42854-2020")</f>
        <v/>
      </c>
      <c r="X332">
        <f>HYPERLINK("https://klasma.github.io/Logging_PAJALA/tillsyn/A 42854-2020.docx", "A 42854-2020")</f>
        <v/>
      </c>
      <c r="Y332">
        <f>HYPERLINK("https://klasma.github.io/Logging_PAJALA/tillsynsmail/A 42854-2020.docx", "A 42854-2020")</f>
        <v/>
      </c>
    </row>
    <row r="333" ht="15" customHeight="1">
      <c r="A333" t="inlineStr">
        <is>
          <t>A 43643-2020</t>
        </is>
      </c>
      <c r="B333" s="1" t="n">
        <v>44082</v>
      </c>
      <c r="C333" s="1" t="n">
        <v>45206</v>
      </c>
      <c r="D333" t="inlineStr">
        <is>
          <t>NORRBOTTENS LÄN</t>
        </is>
      </c>
      <c r="E333" t="inlineStr">
        <is>
          <t>BODEN</t>
        </is>
      </c>
      <c r="F333" t="inlineStr">
        <is>
          <t>Sveaskog</t>
        </is>
      </c>
      <c r="G333" t="n">
        <v>3.2</v>
      </c>
      <c r="H333" t="n">
        <v>0</v>
      </c>
      <c r="I333" t="n">
        <v>0</v>
      </c>
      <c r="J333" t="n">
        <v>1</v>
      </c>
      <c r="K333" t="n">
        <v>0</v>
      </c>
      <c r="L333" t="n">
        <v>0</v>
      </c>
      <c r="M333" t="n">
        <v>0</v>
      </c>
      <c r="N333" t="n">
        <v>0</v>
      </c>
      <c r="O333" t="n">
        <v>1</v>
      </c>
      <c r="P333" t="n">
        <v>0</v>
      </c>
      <c r="Q333" t="n">
        <v>1</v>
      </c>
      <c r="R333" s="2" t="inlineStr">
        <is>
          <t>Blå taggsvamp</t>
        </is>
      </c>
      <c r="S333">
        <f>HYPERLINK("https://klasma.github.io/Logging_BODEN/artfynd/A 43643-2020.xlsx", "A 43643-2020")</f>
        <v/>
      </c>
      <c r="T333">
        <f>HYPERLINK("https://klasma.github.io/Logging_BODEN/kartor/A 43643-2020.png", "A 43643-2020")</f>
        <v/>
      </c>
      <c r="V333">
        <f>HYPERLINK("https://klasma.github.io/Logging_BODEN/klagomål/A 43643-2020.docx", "A 43643-2020")</f>
        <v/>
      </c>
      <c r="W333">
        <f>HYPERLINK("https://klasma.github.io/Logging_BODEN/klagomålsmail/A 43643-2020.docx", "A 43643-2020")</f>
        <v/>
      </c>
      <c r="X333">
        <f>HYPERLINK("https://klasma.github.io/Logging_BODEN/tillsyn/A 43643-2020.docx", "A 43643-2020")</f>
        <v/>
      </c>
      <c r="Y333">
        <f>HYPERLINK("https://klasma.github.io/Logging_BODEN/tillsynsmail/A 43643-2020.docx", "A 43643-2020")</f>
        <v/>
      </c>
    </row>
    <row r="334" ht="15" customHeight="1">
      <c r="A334" t="inlineStr">
        <is>
          <t>A 43663-2020</t>
        </is>
      </c>
      <c r="B334" s="1" t="n">
        <v>44082</v>
      </c>
      <c r="C334" s="1" t="n">
        <v>45206</v>
      </c>
      <c r="D334" t="inlineStr">
        <is>
          <t>NORRBOTTENS LÄN</t>
        </is>
      </c>
      <c r="E334" t="inlineStr">
        <is>
          <t>LULEÅ</t>
        </is>
      </c>
      <c r="F334" t="inlineStr">
        <is>
          <t>Sveaskog</t>
        </is>
      </c>
      <c r="G334" t="n">
        <v>2.3</v>
      </c>
      <c r="H334" t="n">
        <v>0</v>
      </c>
      <c r="I334" t="n">
        <v>0</v>
      </c>
      <c r="J334" t="n">
        <v>1</v>
      </c>
      <c r="K334" t="n">
        <v>0</v>
      </c>
      <c r="L334" t="n">
        <v>0</v>
      </c>
      <c r="M334" t="n">
        <v>0</v>
      </c>
      <c r="N334" t="n">
        <v>0</v>
      </c>
      <c r="O334" t="n">
        <v>1</v>
      </c>
      <c r="P334" t="n">
        <v>0</v>
      </c>
      <c r="Q334" t="n">
        <v>1</v>
      </c>
      <c r="R334" s="2" t="inlineStr">
        <is>
          <t>Garnlav</t>
        </is>
      </c>
      <c r="S334">
        <f>HYPERLINK("https://klasma.github.io/Logging_LULEA/artfynd/A 43663-2020.xlsx", "A 43663-2020")</f>
        <v/>
      </c>
      <c r="T334">
        <f>HYPERLINK("https://klasma.github.io/Logging_LULEA/kartor/A 43663-2020.png", "A 43663-2020")</f>
        <v/>
      </c>
      <c r="V334">
        <f>HYPERLINK("https://klasma.github.io/Logging_LULEA/klagomål/A 43663-2020.docx", "A 43663-2020")</f>
        <v/>
      </c>
      <c r="W334">
        <f>HYPERLINK("https://klasma.github.io/Logging_LULEA/klagomålsmail/A 43663-2020.docx", "A 43663-2020")</f>
        <v/>
      </c>
      <c r="X334">
        <f>HYPERLINK("https://klasma.github.io/Logging_LULEA/tillsyn/A 43663-2020.docx", "A 43663-2020")</f>
        <v/>
      </c>
      <c r="Y334">
        <f>HYPERLINK("https://klasma.github.io/Logging_LULEA/tillsynsmail/A 43663-2020.docx", "A 43663-2020")</f>
        <v/>
      </c>
    </row>
    <row r="335" ht="15" customHeight="1">
      <c r="A335" t="inlineStr">
        <is>
          <t>A 45184-2020</t>
        </is>
      </c>
      <c r="B335" s="1" t="n">
        <v>44088</v>
      </c>
      <c r="C335" s="1" t="n">
        <v>45206</v>
      </c>
      <c r="D335" t="inlineStr">
        <is>
          <t>NORRBOTTENS LÄN</t>
        </is>
      </c>
      <c r="E335" t="inlineStr">
        <is>
          <t>BODEN</t>
        </is>
      </c>
      <c r="F335" t="inlineStr">
        <is>
          <t>Sveaskog</t>
        </is>
      </c>
      <c r="G335" t="n">
        <v>4.6</v>
      </c>
      <c r="H335" t="n">
        <v>0</v>
      </c>
      <c r="I335" t="n">
        <v>0</v>
      </c>
      <c r="J335" t="n">
        <v>1</v>
      </c>
      <c r="K335" t="n">
        <v>0</v>
      </c>
      <c r="L335" t="n">
        <v>0</v>
      </c>
      <c r="M335" t="n">
        <v>0</v>
      </c>
      <c r="N335" t="n">
        <v>0</v>
      </c>
      <c r="O335" t="n">
        <v>1</v>
      </c>
      <c r="P335" t="n">
        <v>0</v>
      </c>
      <c r="Q335" t="n">
        <v>1</v>
      </c>
      <c r="R335" s="2" t="inlineStr">
        <is>
          <t>Gammelgransskål</t>
        </is>
      </c>
      <c r="S335">
        <f>HYPERLINK("https://klasma.github.io/Logging_BODEN/artfynd/A 45184-2020.xlsx", "A 45184-2020")</f>
        <v/>
      </c>
      <c r="T335">
        <f>HYPERLINK("https://klasma.github.io/Logging_BODEN/kartor/A 45184-2020.png", "A 45184-2020")</f>
        <v/>
      </c>
      <c r="V335">
        <f>HYPERLINK("https://klasma.github.io/Logging_BODEN/klagomål/A 45184-2020.docx", "A 45184-2020")</f>
        <v/>
      </c>
      <c r="W335">
        <f>HYPERLINK("https://klasma.github.io/Logging_BODEN/klagomålsmail/A 45184-2020.docx", "A 45184-2020")</f>
        <v/>
      </c>
      <c r="X335">
        <f>HYPERLINK("https://klasma.github.io/Logging_BODEN/tillsyn/A 45184-2020.docx", "A 45184-2020")</f>
        <v/>
      </c>
      <c r="Y335">
        <f>HYPERLINK("https://klasma.github.io/Logging_BODEN/tillsynsmail/A 45184-2020.docx", "A 45184-2020")</f>
        <v/>
      </c>
    </row>
    <row r="336" ht="15" customHeight="1">
      <c r="A336" t="inlineStr">
        <is>
          <t>A 51168-2020</t>
        </is>
      </c>
      <c r="B336" s="1" t="n">
        <v>44106</v>
      </c>
      <c r="C336" s="1" t="n">
        <v>45206</v>
      </c>
      <c r="D336" t="inlineStr">
        <is>
          <t>NORRBOTTENS LÄN</t>
        </is>
      </c>
      <c r="E336" t="inlineStr">
        <is>
          <t>PITEÅ</t>
        </is>
      </c>
      <c r="G336" t="n">
        <v>1.1</v>
      </c>
      <c r="H336" t="n">
        <v>0</v>
      </c>
      <c r="I336" t="n">
        <v>0</v>
      </c>
      <c r="J336" t="n">
        <v>1</v>
      </c>
      <c r="K336" t="n">
        <v>0</v>
      </c>
      <c r="L336" t="n">
        <v>0</v>
      </c>
      <c r="M336" t="n">
        <v>0</v>
      </c>
      <c r="N336" t="n">
        <v>0</v>
      </c>
      <c r="O336" t="n">
        <v>1</v>
      </c>
      <c r="P336" t="n">
        <v>0</v>
      </c>
      <c r="Q336" t="n">
        <v>1</v>
      </c>
      <c r="R336" s="2" t="inlineStr">
        <is>
          <t>Tallticka</t>
        </is>
      </c>
      <c r="S336">
        <f>HYPERLINK("https://klasma.github.io/Logging_PITEA/artfynd/A 51168-2020.xlsx", "A 51168-2020")</f>
        <v/>
      </c>
      <c r="T336">
        <f>HYPERLINK("https://klasma.github.io/Logging_PITEA/kartor/A 51168-2020.png", "A 51168-2020")</f>
        <v/>
      </c>
      <c r="V336">
        <f>HYPERLINK("https://klasma.github.io/Logging_PITEA/klagomål/A 51168-2020.docx", "A 51168-2020")</f>
        <v/>
      </c>
      <c r="W336">
        <f>HYPERLINK("https://klasma.github.io/Logging_PITEA/klagomålsmail/A 51168-2020.docx", "A 51168-2020")</f>
        <v/>
      </c>
      <c r="X336">
        <f>HYPERLINK("https://klasma.github.io/Logging_PITEA/tillsyn/A 51168-2020.docx", "A 51168-2020")</f>
        <v/>
      </c>
      <c r="Y336">
        <f>HYPERLINK("https://klasma.github.io/Logging_PITEA/tillsynsmail/A 51168-2020.docx", "A 51168-2020")</f>
        <v/>
      </c>
    </row>
    <row r="337" ht="15" customHeight="1">
      <c r="A337" t="inlineStr">
        <is>
          <t>A 51875-2020</t>
        </is>
      </c>
      <c r="B337" s="1" t="n">
        <v>44109</v>
      </c>
      <c r="C337" s="1" t="n">
        <v>45206</v>
      </c>
      <c r="D337" t="inlineStr">
        <is>
          <t>NORRBOTTENS LÄN</t>
        </is>
      </c>
      <c r="E337" t="inlineStr">
        <is>
          <t>JOKKMOKK</t>
        </is>
      </c>
      <c r="F337" t="inlineStr">
        <is>
          <t>Allmännings- och besparingsskogar</t>
        </is>
      </c>
      <c r="G337" t="n">
        <v>28</v>
      </c>
      <c r="H337" t="n">
        <v>0</v>
      </c>
      <c r="I337" t="n">
        <v>0</v>
      </c>
      <c r="J337" t="n">
        <v>1</v>
      </c>
      <c r="K337" t="n">
        <v>0</v>
      </c>
      <c r="L337" t="n">
        <v>0</v>
      </c>
      <c r="M337" t="n">
        <v>0</v>
      </c>
      <c r="N337" t="n">
        <v>0</v>
      </c>
      <c r="O337" t="n">
        <v>1</v>
      </c>
      <c r="P337" t="n">
        <v>0</v>
      </c>
      <c r="Q337" t="n">
        <v>1</v>
      </c>
      <c r="R337" s="2" t="inlineStr">
        <is>
          <t>Vitplätt</t>
        </is>
      </c>
      <c r="S337">
        <f>HYPERLINK("https://klasma.github.io/Logging_JOKKMOKK/artfynd/A 51875-2020.xlsx", "A 51875-2020")</f>
        <v/>
      </c>
      <c r="T337">
        <f>HYPERLINK("https://klasma.github.io/Logging_JOKKMOKK/kartor/A 51875-2020.png", "A 51875-2020")</f>
        <v/>
      </c>
      <c r="V337">
        <f>HYPERLINK("https://klasma.github.io/Logging_JOKKMOKK/klagomål/A 51875-2020.docx", "A 51875-2020")</f>
        <v/>
      </c>
      <c r="W337">
        <f>HYPERLINK("https://klasma.github.io/Logging_JOKKMOKK/klagomålsmail/A 51875-2020.docx", "A 51875-2020")</f>
        <v/>
      </c>
      <c r="X337">
        <f>HYPERLINK("https://klasma.github.io/Logging_JOKKMOKK/tillsyn/A 51875-2020.docx", "A 51875-2020")</f>
        <v/>
      </c>
      <c r="Y337">
        <f>HYPERLINK("https://klasma.github.io/Logging_JOKKMOKK/tillsynsmail/A 51875-2020.docx", "A 51875-2020")</f>
        <v/>
      </c>
    </row>
    <row r="338" ht="15" customHeight="1">
      <c r="A338" t="inlineStr">
        <is>
          <t>A 52060-2020</t>
        </is>
      </c>
      <c r="B338" s="1" t="n">
        <v>44116</v>
      </c>
      <c r="C338" s="1" t="n">
        <v>45206</v>
      </c>
      <c r="D338" t="inlineStr">
        <is>
          <t>NORRBOTTENS LÄN</t>
        </is>
      </c>
      <c r="E338" t="inlineStr">
        <is>
          <t>GÄLLIVARE</t>
        </is>
      </c>
      <c r="F338" t="inlineStr">
        <is>
          <t>SCA</t>
        </is>
      </c>
      <c r="G338" t="n">
        <v>8.5</v>
      </c>
      <c r="H338" t="n">
        <v>0</v>
      </c>
      <c r="I338" t="n">
        <v>0</v>
      </c>
      <c r="J338" t="n">
        <v>0</v>
      </c>
      <c r="K338" t="n">
        <v>1</v>
      </c>
      <c r="L338" t="n">
        <v>0</v>
      </c>
      <c r="M338" t="n">
        <v>0</v>
      </c>
      <c r="N338" t="n">
        <v>0</v>
      </c>
      <c r="O338" t="n">
        <v>1</v>
      </c>
      <c r="P338" t="n">
        <v>1</v>
      </c>
      <c r="Q338" t="n">
        <v>1</v>
      </c>
      <c r="R338" s="2" t="inlineStr">
        <is>
          <t>Gräddporing</t>
        </is>
      </c>
      <c r="S338">
        <f>HYPERLINK("https://klasma.github.io/Logging_GALLIVARE/artfynd/A 52060-2020.xlsx", "A 52060-2020")</f>
        <v/>
      </c>
      <c r="T338">
        <f>HYPERLINK("https://klasma.github.io/Logging_GALLIVARE/kartor/A 52060-2020.png", "A 52060-2020")</f>
        <v/>
      </c>
      <c r="V338">
        <f>HYPERLINK("https://klasma.github.io/Logging_GALLIVARE/klagomål/A 52060-2020.docx", "A 52060-2020")</f>
        <v/>
      </c>
      <c r="W338">
        <f>HYPERLINK("https://klasma.github.io/Logging_GALLIVARE/klagomålsmail/A 52060-2020.docx", "A 52060-2020")</f>
        <v/>
      </c>
      <c r="X338">
        <f>HYPERLINK("https://klasma.github.io/Logging_GALLIVARE/tillsyn/A 52060-2020.docx", "A 52060-2020")</f>
        <v/>
      </c>
      <c r="Y338">
        <f>HYPERLINK("https://klasma.github.io/Logging_GALLIVARE/tillsynsmail/A 52060-2020.docx", "A 52060-2020")</f>
        <v/>
      </c>
    </row>
    <row r="339" ht="15" customHeight="1">
      <c r="A339" t="inlineStr">
        <is>
          <t>A 67324-2020</t>
        </is>
      </c>
      <c r="B339" s="1" t="n">
        <v>44181</v>
      </c>
      <c r="C339" s="1" t="n">
        <v>45206</v>
      </c>
      <c r="D339" t="inlineStr">
        <is>
          <t>NORRBOTTENS LÄN</t>
        </is>
      </c>
      <c r="E339" t="inlineStr">
        <is>
          <t>KALIX</t>
        </is>
      </c>
      <c r="F339" t="inlineStr">
        <is>
          <t>Sveaskog</t>
        </is>
      </c>
      <c r="G339" t="n">
        <v>3.4</v>
      </c>
      <c r="H339" t="n">
        <v>0</v>
      </c>
      <c r="I339" t="n">
        <v>0</v>
      </c>
      <c r="J339" t="n">
        <v>1</v>
      </c>
      <c r="K339" t="n">
        <v>0</v>
      </c>
      <c r="L339" t="n">
        <v>0</v>
      </c>
      <c r="M339" t="n">
        <v>0</v>
      </c>
      <c r="N339" t="n">
        <v>0</v>
      </c>
      <c r="O339" t="n">
        <v>1</v>
      </c>
      <c r="P339" t="n">
        <v>0</v>
      </c>
      <c r="Q339" t="n">
        <v>1</v>
      </c>
      <c r="R339" s="2" t="inlineStr">
        <is>
          <t>Gammelgransskål</t>
        </is>
      </c>
      <c r="S339">
        <f>HYPERLINK("https://klasma.github.io/Logging_KALIX/artfynd/A 67324-2020.xlsx", "A 67324-2020")</f>
        <v/>
      </c>
      <c r="T339">
        <f>HYPERLINK("https://klasma.github.io/Logging_KALIX/kartor/A 67324-2020.png", "A 67324-2020")</f>
        <v/>
      </c>
      <c r="V339">
        <f>HYPERLINK("https://klasma.github.io/Logging_KALIX/klagomål/A 67324-2020.docx", "A 67324-2020")</f>
        <v/>
      </c>
      <c r="W339">
        <f>HYPERLINK("https://klasma.github.io/Logging_KALIX/klagomålsmail/A 67324-2020.docx", "A 67324-2020")</f>
        <v/>
      </c>
      <c r="X339">
        <f>HYPERLINK("https://klasma.github.io/Logging_KALIX/tillsyn/A 67324-2020.docx", "A 67324-2020")</f>
        <v/>
      </c>
      <c r="Y339">
        <f>HYPERLINK("https://klasma.github.io/Logging_KALIX/tillsynsmail/A 67324-2020.docx", "A 67324-2020")</f>
        <v/>
      </c>
    </row>
    <row r="340" ht="15" customHeight="1">
      <c r="A340" t="inlineStr">
        <is>
          <t>A 8351-2021</t>
        </is>
      </c>
      <c r="B340" s="1" t="n">
        <v>44244</v>
      </c>
      <c r="C340" s="1" t="n">
        <v>45206</v>
      </c>
      <c r="D340" t="inlineStr">
        <is>
          <t>NORRBOTTENS LÄN</t>
        </is>
      </c>
      <c r="E340" t="inlineStr">
        <is>
          <t>GÄLLIVARE</t>
        </is>
      </c>
      <c r="F340" t="inlineStr">
        <is>
          <t>SCA</t>
        </is>
      </c>
      <c r="G340" t="n">
        <v>57.3</v>
      </c>
      <c r="H340" t="n">
        <v>0</v>
      </c>
      <c r="I340" t="n">
        <v>0</v>
      </c>
      <c r="J340" t="n">
        <v>0</v>
      </c>
      <c r="K340" t="n">
        <v>1</v>
      </c>
      <c r="L340" t="n">
        <v>0</v>
      </c>
      <c r="M340" t="n">
        <v>0</v>
      </c>
      <c r="N340" t="n">
        <v>0</v>
      </c>
      <c r="O340" t="n">
        <v>1</v>
      </c>
      <c r="P340" t="n">
        <v>1</v>
      </c>
      <c r="Q340" t="n">
        <v>1</v>
      </c>
      <c r="R340" s="2" t="inlineStr">
        <is>
          <t>Tallstocksticka</t>
        </is>
      </c>
      <c r="S340">
        <f>HYPERLINK("https://klasma.github.io/Logging_GALLIVARE/artfynd/A 8351-2021.xlsx", "A 8351-2021")</f>
        <v/>
      </c>
      <c r="T340">
        <f>HYPERLINK("https://klasma.github.io/Logging_GALLIVARE/kartor/A 8351-2021.png", "A 8351-2021")</f>
        <v/>
      </c>
      <c r="V340">
        <f>HYPERLINK("https://klasma.github.io/Logging_GALLIVARE/klagomål/A 8351-2021.docx", "A 8351-2021")</f>
        <v/>
      </c>
      <c r="W340">
        <f>HYPERLINK("https://klasma.github.io/Logging_GALLIVARE/klagomålsmail/A 8351-2021.docx", "A 8351-2021")</f>
        <v/>
      </c>
      <c r="X340">
        <f>HYPERLINK("https://klasma.github.io/Logging_GALLIVARE/tillsyn/A 8351-2021.docx", "A 8351-2021")</f>
        <v/>
      </c>
      <c r="Y340">
        <f>HYPERLINK("https://klasma.github.io/Logging_GALLIVARE/tillsynsmail/A 8351-2021.docx", "A 8351-2021")</f>
        <v/>
      </c>
    </row>
    <row r="341" ht="15" customHeight="1">
      <c r="A341" t="inlineStr">
        <is>
          <t>A 13716-2021</t>
        </is>
      </c>
      <c r="B341" s="1" t="n">
        <v>44274</v>
      </c>
      <c r="C341" s="1" t="n">
        <v>45206</v>
      </c>
      <c r="D341" t="inlineStr">
        <is>
          <t>NORRBOTTENS LÄN</t>
        </is>
      </c>
      <c r="E341" t="inlineStr">
        <is>
          <t>KALIX</t>
        </is>
      </c>
      <c r="G341" t="n">
        <v>5</v>
      </c>
      <c r="H341" t="n">
        <v>0</v>
      </c>
      <c r="I341" t="n">
        <v>0</v>
      </c>
      <c r="J341" t="n">
        <v>1</v>
      </c>
      <c r="K341" t="n">
        <v>0</v>
      </c>
      <c r="L341" t="n">
        <v>0</v>
      </c>
      <c r="M341" t="n">
        <v>0</v>
      </c>
      <c r="N341" t="n">
        <v>0</v>
      </c>
      <c r="O341" t="n">
        <v>1</v>
      </c>
      <c r="P341" t="n">
        <v>0</v>
      </c>
      <c r="Q341" t="n">
        <v>1</v>
      </c>
      <c r="R341" s="2" t="inlineStr">
        <is>
          <t>Lunglav</t>
        </is>
      </c>
      <c r="S341">
        <f>HYPERLINK("https://klasma.github.io/Logging_KALIX/artfynd/A 13716-2021.xlsx", "A 13716-2021")</f>
        <v/>
      </c>
      <c r="T341">
        <f>HYPERLINK("https://klasma.github.io/Logging_KALIX/kartor/A 13716-2021.png", "A 13716-2021")</f>
        <v/>
      </c>
      <c r="V341">
        <f>HYPERLINK("https://klasma.github.io/Logging_KALIX/klagomål/A 13716-2021.docx", "A 13716-2021")</f>
        <v/>
      </c>
      <c r="W341">
        <f>HYPERLINK("https://klasma.github.io/Logging_KALIX/klagomålsmail/A 13716-2021.docx", "A 13716-2021")</f>
        <v/>
      </c>
      <c r="X341">
        <f>HYPERLINK("https://klasma.github.io/Logging_KALIX/tillsyn/A 13716-2021.docx", "A 13716-2021")</f>
        <v/>
      </c>
      <c r="Y341">
        <f>HYPERLINK("https://klasma.github.io/Logging_KALIX/tillsynsmail/A 13716-2021.docx", "A 13716-2021")</f>
        <v/>
      </c>
    </row>
    <row r="342" ht="15" customHeight="1">
      <c r="A342" t="inlineStr">
        <is>
          <t>A 19368-2021</t>
        </is>
      </c>
      <c r="B342" s="1" t="n">
        <v>44309</v>
      </c>
      <c r="C342" s="1" t="n">
        <v>45206</v>
      </c>
      <c r="D342" t="inlineStr">
        <is>
          <t>NORRBOTTENS LÄN</t>
        </is>
      </c>
      <c r="E342" t="inlineStr">
        <is>
          <t>PITEÅ</t>
        </is>
      </c>
      <c r="G342" t="n">
        <v>5.8</v>
      </c>
      <c r="H342" t="n">
        <v>1</v>
      </c>
      <c r="I342" t="n">
        <v>0</v>
      </c>
      <c r="J342" t="n">
        <v>0</v>
      </c>
      <c r="K342" t="n">
        <v>0</v>
      </c>
      <c r="L342" t="n">
        <v>0</v>
      </c>
      <c r="M342" t="n">
        <v>0</v>
      </c>
      <c r="N342" t="n">
        <v>0</v>
      </c>
      <c r="O342" t="n">
        <v>0</v>
      </c>
      <c r="P342" t="n">
        <v>0</v>
      </c>
      <c r="Q342" t="n">
        <v>1</v>
      </c>
      <c r="R342" s="2" t="inlineStr">
        <is>
          <t>Citronfläckad kärrtrollslända</t>
        </is>
      </c>
      <c r="S342">
        <f>HYPERLINK("https://klasma.github.io/Logging_PITEA/artfynd/A 19368-2021.xlsx", "A 19368-2021")</f>
        <v/>
      </c>
      <c r="T342">
        <f>HYPERLINK("https://klasma.github.io/Logging_PITEA/kartor/A 19368-2021.png", "A 19368-2021")</f>
        <v/>
      </c>
      <c r="V342">
        <f>HYPERLINK("https://klasma.github.io/Logging_PITEA/klagomål/A 19368-2021.docx", "A 19368-2021")</f>
        <v/>
      </c>
      <c r="W342">
        <f>HYPERLINK("https://klasma.github.io/Logging_PITEA/klagomålsmail/A 19368-2021.docx", "A 19368-2021")</f>
        <v/>
      </c>
      <c r="X342">
        <f>HYPERLINK("https://klasma.github.io/Logging_PITEA/tillsyn/A 19368-2021.docx", "A 19368-2021")</f>
        <v/>
      </c>
      <c r="Y342">
        <f>HYPERLINK("https://klasma.github.io/Logging_PITEA/tillsynsmail/A 19368-2021.docx", "A 19368-2021")</f>
        <v/>
      </c>
    </row>
    <row r="343" ht="15" customHeight="1">
      <c r="A343" t="inlineStr">
        <is>
          <t>A 25517-2021</t>
        </is>
      </c>
      <c r="B343" s="1" t="n">
        <v>44342</v>
      </c>
      <c r="C343" s="1" t="n">
        <v>45206</v>
      </c>
      <c r="D343" t="inlineStr">
        <is>
          <t>NORRBOTTENS LÄN</t>
        </is>
      </c>
      <c r="E343" t="inlineStr">
        <is>
          <t>PITEÅ</t>
        </is>
      </c>
      <c r="F343" t="inlineStr">
        <is>
          <t>SCA</t>
        </is>
      </c>
      <c r="G343" t="n">
        <v>2.3</v>
      </c>
      <c r="H343" t="n">
        <v>0</v>
      </c>
      <c r="I343" t="n">
        <v>1</v>
      </c>
      <c r="J343" t="n">
        <v>0</v>
      </c>
      <c r="K343" t="n">
        <v>0</v>
      </c>
      <c r="L343" t="n">
        <v>0</v>
      </c>
      <c r="M343" t="n">
        <v>0</v>
      </c>
      <c r="N343" t="n">
        <v>0</v>
      </c>
      <c r="O343" t="n">
        <v>0</v>
      </c>
      <c r="P343" t="n">
        <v>0</v>
      </c>
      <c r="Q343" t="n">
        <v>1</v>
      </c>
      <c r="R343" s="2" t="inlineStr">
        <is>
          <t>Skinnlav</t>
        </is>
      </c>
      <c r="S343">
        <f>HYPERLINK("https://klasma.github.io/Logging_PITEA/artfynd/A 25517-2021.xlsx", "A 25517-2021")</f>
        <v/>
      </c>
      <c r="T343">
        <f>HYPERLINK("https://klasma.github.io/Logging_PITEA/kartor/A 25517-2021.png", "A 25517-2021")</f>
        <v/>
      </c>
      <c r="V343">
        <f>HYPERLINK("https://klasma.github.io/Logging_PITEA/klagomål/A 25517-2021.docx", "A 25517-2021")</f>
        <v/>
      </c>
      <c r="W343">
        <f>HYPERLINK("https://klasma.github.io/Logging_PITEA/klagomålsmail/A 25517-2021.docx", "A 25517-2021")</f>
        <v/>
      </c>
      <c r="X343">
        <f>HYPERLINK("https://klasma.github.io/Logging_PITEA/tillsyn/A 25517-2021.docx", "A 25517-2021")</f>
        <v/>
      </c>
      <c r="Y343">
        <f>HYPERLINK("https://klasma.github.io/Logging_PITEA/tillsynsmail/A 25517-2021.docx", "A 25517-2021")</f>
        <v/>
      </c>
    </row>
    <row r="344" ht="15" customHeight="1">
      <c r="A344" t="inlineStr">
        <is>
          <t>A 30881-2021</t>
        </is>
      </c>
      <c r="B344" s="1" t="n">
        <v>44365</v>
      </c>
      <c r="C344" s="1" t="n">
        <v>45206</v>
      </c>
      <c r="D344" t="inlineStr">
        <is>
          <t>NORRBOTTENS LÄN</t>
        </is>
      </c>
      <c r="E344" t="inlineStr">
        <is>
          <t>BODEN</t>
        </is>
      </c>
      <c r="F344" t="inlineStr">
        <is>
          <t>Sveaskog</t>
        </is>
      </c>
      <c r="G344" t="n">
        <v>1</v>
      </c>
      <c r="H344" t="n">
        <v>0</v>
      </c>
      <c r="I344" t="n">
        <v>0</v>
      </c>
      <c r="J344" t="n">
        <v>0</v>
      </c>
      <c r="K344" t="n">
        <v>1</v>
      </c>
      <c r="L344" t="n">
        <v>0</v>
      </c>
      <c r="M344" t="n">
        <v>0</v>
      </c>
      <c r="N344" t="n">
        <v>0</v>
      </c>
      <c r="O344" t="n">
        <v>1</v>
      </c>
      <c r="P344" t="n">
        <v>1</v>
      </c>
      <c r="Q344" t="n">
        <v>1</v>
      </c>
      <c r="R344" s="2" t="inlineStr">
        <is>
          <t>Tallgråticka</t>
        </is>
      </c>
      <c r="S344">
        <f>HYPERLINK("https://klasma.github.io/Logging_BODEN/artfynd/A 30881-2021.xlsx", "A 30881-2021")</f>
        <v/>
      </c>
      <c r="T344">
        <f>HYPERLINK("https://klasma.github.io/Logging_BODEN/kartor/A 30881-2021.png", "A 30881-2021")</f>
        <v/>
      </c>
      <c r="V344">
        <f>HYPERLINK("https://klasma.github.io/Logging_BODEN/klagomål/A 30881-2021.docx", "A 30881-2021")</f>
        <v/>
      </c>
      <c r="W344">
        <f>HYPERLINK("https://klasma.github.io/Logging_BODEN/klagomålsmail/A 30881-2021.docx", "A 30881-2021")</f>
        <v/>
      </c>
      <c r="X344">
        <f>HYPERLINK("https://klasma.github.io/Logging_BODEN/tillsyn/A 30881-2021.docx", "A 30881-2021")</f>
        <v/>
      </c>
      <c r="Y344">
        <f>HYPERLINK("https://klasma.github.io/Logging_BODEN/tillsynsmail/A 30881-2021.docx", "A 30881-2021")</f>
        <v/>
      </c>
    </row>
    <row r="345" ht="15" customHeight="1">
      <c r="A345" t="inlineStr">
        <is>
          <t>A 31232-2021</t>
        </is>
      </c>
      <c r="B345" s="1" t="n">
        <v>44368</v>
      </c>
      <c r="C345" s="1" t="n">
        <v>45206</v>
      </c>
      <c r="D345" t="inlineStr">
        <is>
          <t>NORRBOTTENS LÄN</t>
        </is>
      </c>
      <c r="E345" t="inlineStr">
        <is>
          <t>KALIX</t>
        </is>
      </c>
      <c r="G345" t="n">
        <v>7.6</v>
      </c>
      <c r="H345" t="n">
        <v>0</v>
      </c>
      <c r="I345" t="n">
        <v>0</v>
      </c>
      <c r="J345" t="n">
        <v>1</v>
      </c>
      <c r="K345" t="n">
        <v>0</v>
      </c>
      <c r="L345" t="n">
        <v>0</v>
      </c>
      <c r="M345" t="n">
        <v>0</v>
      </c>
      <c r="N345" t="n">
        <v>0</v>
      </c>
      <c r="O345" t="n">
        <v>1</v>
      </c>
      <c r="P345" t="n">
        <v>0</v>
      </c>
      <c r="Q345" t="n">
        <v>1</v>
      </c>
      <c r="R345" s="2" t="inlineStr">
        <is>
          <t>Skrovlig taggsvamp</t>
        </is>
      </c>
      <c r="S345">
        <f>HYPERLINK("https://klasma.github.io/Logging_KALIX/artfynd/A 31232-2021.xlsx", "A 31232-2021")</f>
        <v/>
      </c>
      <c r="T345">
        <f>HYPERLINK("https://klasma.github.io/Logging_KALIX/kartor/A 31232-2021.png", "A 31232-2021")</f>
        <v/>
      </c>
      <c r="V345">
        <f>HYPERLINK("https://klasma.github.io/Logging_KALIX/klagomål/A 31232-2021.docx", "A 31232-2021")</f>
        <v/>
      </c>
      <c r="W345">
        <f>HYPERLINK("https://klasma.github.io/Logging_KALIX/klagomålsmail/A 31232-2021.docx", "A 31232-2021")</f>
        <v/>
      </c>
      <c r="X345">
        <f>HYPERLINK("https://klasma.github.io/Logging_KALIX/tillsyn/A 31232-2021.docx", "A 31232-2021")</f>
        <v/>
      </c>
      <c r="Y345">
        <f>HYPERLINK("https://klasma.github.io/Logging_KALIX/tillsynsmail/A 31232-2021.docx", "A 31232-2021")</f>
        <v/>
      </c>
    </row>
    <row r="346" ht="15" customHeight="1">
      <c r="A346" t="inlineStr">
        <is>
          <t>A 33405-2021</t>
        </is>
      </c>
      <c r="B346" s="1" t="n">
        <v>44377</v>
      </c>
      <c r="C346" s="1" t="n">
        <v>45206</v>
      </c>
      <c r="D346" t="inlineStr">
        <is>
          <t>NORRBOTTENS LÄN</t>
        </is>
      </c>
      <c r="E346" t="inlineStr">
        <is>
          <t>ARVIDSJAUR</t>
        </is>
      </c>
      <c r="F346" t="inlineStr">
        <is>
          <t>Sveaskog</t>
        </is>
      </c>
      <c r="G346" t="n">
        <v>3.3</v>
      </c>
      <c r="H346" t="n">
        <v>1</v>
      </c>
      <c r="I346" t="n">
        <v>1</v>
      </c>
      <c r="J346" t="n">
        <v>0</v>
      </c>
      <c r="K346" t="n">
        <v>0</v>
      </c>
      <c r="L346" t="n">
        <v>0</v>
      </c>
      <c r="M346" t="n">
        <v>0</v>
      </c>
      <c r="N346" t="n">
        <v>0</v>
      </c>
      <c r="O346" t="n">
        <v>0</v>
      </c>
      <c r="P346" t="n">
        <v>0</v>
      </c>
      <c r="Q346" t="n">
        <v>1</v>
      </c>
      <c r="R346" s="2" t="inlineStr">
        <is>
          <t>Korallrot</t>
        </is>
      </c>
      <c r="S346">
        <f>HYPERLINK("https://klasma.github.io/Logging_ARVIDSJAUR/artfynd/A 33405-2021.xlsx", "A 33405-2021")</f>
        <v/>
      </c>
      <c r="T346">
        <f>HYPERLINK("https://klasma.github.io/Logging_ARVIDSJAUR/kartor/A 33405-2021.png", "A 33405-2021")</f>
        <v/>
      </c>
      <c r="V346">
        <f>HYPERLINK("https://klasma.github.io/Logging_ARVIDSJAUR/klagomål/A 33405-2021.docx", "A 33405-2021")</f>
        <v/>
      </c>
      <c r="W346">
        <f>HYPERLINK("https://klasma.github.io/Logging_ARVIDSJAUR/klagomålsmail/A 33405-2021.docx", "A 33405-2021")</f>
        <v/>
      </c>
      <c r="X346">
        <f>HYPERLINK("https://klasma.github.io/Logging_ARVIDSJAUR/tillsyn/A 33405-2021.docx", "A 33405-2021")</f>
        <v/>
      </c>
      <c r="Y346">
        <f>HYPERLINK("https://klasma.github.io/Logging_ARVIDSJAUR/tillsynsmail/A 33405-2021.docx", "A 33405-2021")</f>
        <v/>
      </c>
    </row>
    <row r="347" ht="15" customHeight="1">
      <c r="A347" t="inlineStr">
        <is>
          <t>A 36594-2021</t>
        </is>
      </c>
      <c r="B347" s="1" t="n">
        <v>44391</v>
      </c>
      <c r="C347" s="1" t="n">
        <v>45206</v>
      </c>
      <c r="D347" t="inlineStr">
        <is>
          <t>NORRBOTTENS LÄN</t>
        </is>
      </c>
      <c r="E347" t="inlineStr">
        <is>
          <t>JOKKMOKK</t>
        </is>
      </c>
      <c r="F347" t="inlineStr">
        <is>
          <t>Sveaskog</t>
        </is>
      </c>
      <c r="G347" t="n">
        <v>5.8</v>
      </c>
      <c r="H347" t="n">
        <v>1</v>
      </c>
      <c r="I347" t="n">
        <v>0</v>
      </c>
      <c r="J347" t="n">
        <v>0</v>
      </c>
      <c r="K347" t="n">
        <v>1</v>
      </c>
      <c r="L347" t="n">
        <v>0</v>
      </c>
      <c r="M347" t="n">
        <v>0</v>
      </c>
      <c r="N347" t="n">
        <v>0</v>
      </c>
      <c r="O347" t="n">
        <v>1</v>
      </c>
      <c r="P347" t="n">
        <v>1</v>
      </c>
      <c r="Q347" t="n">
        <v>1</v>
      </c>
      <c r="R347" s="2" t="inlineStr">
        <is>
          <t>Doftticka</t>
        </is>
      </c>
      <c r="S347">
        <f>HYPERLINK("https://klasma.github.io/Logging_JOKKMOKK/artfynd/A 36594-2021.xlsx", "A 36594-2021")</f>
        <v/>
      </c>
      <c r="T347">
        <f>HYPERLINK("https://klasma.github.io/Logging_JOKKMOKK/kartor/A 36594-2021.png", "A 36594-2021")</f>
        <v/>
      </c>
      <c r="V347">
        <f>HYPERLINK("https://klasma.github.io/Logging_JOKKMOKK/klagomål/A 36594-2021.docx", "A 36594-2021")</f>
        <v/>
      </c>
      <c r="W347">
        <f>HYPERLINK("https://klasma.github.io/Logging_JOKKMOKK/klagomålsmail/A 36594-2021.docx", "A 36594-2021")</f>
        <v/>
      </c>
      <c r="X347">
        <f>HYPERLINK("https://klasma.github.io/Logging_JOKKMOKK/tillsyn/A 36594-2021.docx", "A 36594-2021")</f>
        <v/>
      </c>
      <c r="Y347">
        <f>HYPERLINK("https://klasma.github.io/Logging_JOKKMOKK/tillsynsmail/A 36594-2021.docx", "A 36594-2021")</f>
        <v/>
      </c>
    </row>
    <row r="348" ht="15" customHeight="1">
      <c r="A348" t="inlineStr">
        <is>
          <t>A 39289-2021</t>
        </is>
      </c>
      <c r="B348" s="1" t="n">
        <v>44413</v>
      </c>
      <c r="C348" s="1" t="n">
        <v>45206</v>
      </c>
      <c r="D348" t="inlineStr">
        <is>
          <t>NORRBOTTENS LÄN</t>
        </is>
      </c>
      <c r="E348" t="inlineStr">
        <is>
          <t>PAJALA</t>
        </is>
      </c>
      <c r="F348" t="inlineStr">
        <is>
          <t>Sveaskog</t>
        </is>
      </c>
      <c r="G348" t="n">
        <v>10.7</v>
      </c>
      <c r="H348" t="n">
        <v>1</v>
      </c>
      <c r="I348" t="n">
        <v>0</v>
      </c>
      <c r="J348" t="n">
        <v>0</v>
      </c>
      <c r="K348" t="n">
        <v>0</v>
      </c>
      <c r="L348" t="n">
        <v>0</v>
      </c>
      <c r="M348" t="n">
        <v>0</v>
      </c>
      <c r="N348" t="n">
        <v>0</v>
      </c>
      <c r="O348" t="n">
        <v>0</v>
      </c>
      <c r="P348" t="n">
        <v>0</v>
      </c>
      <c r="Q348" t="n">
        <v>1</v>
      </c>
      <c r="R348" s="2" t="inlineStr">
        <is>
          <t>Revlummer</t>
        </is>
      </c>
      <c r="S348">
        <f>HYPERLINK("https://klasma.github.io/Logging_PAJALA/artfynd/A 39289-2021.xlsx", "A 39289-2021")</f>
        <v/>
      </c>
      <c r="T348">
        <f>HYPERLINK("https://klasma.github.io/Logging_PAJALA/kartor/A 39289-2021.png", "A 39289-2021")</f>
        <v/>
      </c>
      <c r="V348">
        <f>HYPERLINK("https://klasma.github.io/Logging_PAJALA/klagomål/A 39289-2021.docx", "A 39289-2021")</f>
        <v/>
      </c>
      <c r="W348">
        <f>HYPERLINK("https://klasma.github.io/Logging_PAJALA/klagomålsmail/A 39289-2021.docx", "A 39289-2021")</f>
        <v/>
      </c>
      <c r="X348">
        <f>HYPERLINK("https://klasma.github.io/Logging_PAJALA/tillsyn/A 39289-2021.docx", "A 39289-2021")</f>
        <v/>
      </c>
      <c r="Y348">
        <f>HYPERLINK("https://klasma.github.io/Logging_PAJALA/tillsynsmail/A 39289-2021.docx", "A 39289-2021")</f>
        <v/>
      </c>
    </row>
    <row r="349" ht="15" customHeight="1">
      <c r="A349" t="inlineStr">
        <is>
          <t>A 40779-2021</t>
        </is>
      </c>
      <c r="B349" s="1" t="n">
        <v>44421</v>
      </c>
      <c r="C349" s="1" t="n">
        <v>45206</v>
      </c>
      <c r="D349" t="inlineStr">
        <is>
          <t>NORRBOTTENS LÄN</t>
        </is>
      </c>
      <c r="E349" t="inlineStr">
        <is>
          <t>BODEN</t>
        </is>
      </c>
      <c r="F349" t="inlineStr">
        <is>
          <t>Sveaskog</t>
        </is>
      </c>
      <c r="G349" t="n">
        <v>4.8</v>
      </c>
      <c r="H349" t="n">
        <v>0</v>
      </c>
      <c r="I349" t="n">
        <v>0</v>
      </c>
      <c r="J349" t="n">
        <v>1</v>
      </c>
      <c r="K349" t="n">
        <v>0</v>
      </c>
      <c r="L349" t="n">
        <v>0</v>
      </c>
      <c r="M349" t="n">
        <v>0</v>
      </c>
      <c r="N349" t="n">
        <v>0</v>
      </c>
      <c r="O349" t="n">
        <v>1</v>
      </c>
      <c r="P349" t="n">
        <v>0</v>
      </c>
      <c r="Q349" t="n">
        <v>1</v>
      </c>
      <c r="R349" s="2" t="inlineStr">
        <is>
          <t>Garnlav</t>
        </is>
      </c>
      <c r="S349">
        <f>HYPERLINK("https://klasma.github.io/Logging_BODEN/artfynd/A 40779-2021.xlsx", "A 40779-2021")</f>
        <v/>
      </c>
      <c r="T349">
        <f>HYPERLINK("https://klasma.github.io/Logging_BODEN/kartor/A 40779-2021.png", "A 40779-2021")</f>
        <v/>
      </c>
      <c r="V349">
        <f>HYPERLINK("https://klasma.github.io/Logging_BODEN/klagomål/A 40779-2021.docx", "A 40779-2021")</f>
        <v/>
      </c>
      <c r="W349">
        <f>HYPERLINK("https://klasma.github.io/Logging_BODEN/klagomålsmail/A 40779-2021.docx", "A 40779-2021")</f>
        <v/>
      </c>
      <c r="X349">
        <f>HYPERLINK("https://klasma.github.io/Logging_BODEN/tillsyn/A 40779-2021.docx", "A 40779-2021")</f>
        <v/>
      </c>
      <c r="Y349">
        <f>HYPERLINK("https://klasma.github.io/Logging_BODEN/tillsynsmail/A 40779-2021.docx", "A 40779-2021")</f>
        <v/>
      </c>
    </row>
    <row r="350" ht="15" customHeight="1">
      <c r="A350" t="inlineStr">
        <is>
          <t>A 40800-2021</t>
        </is>
      </c>
      <c r="B350" s="1" t="n">
        <v>44421</v>
      </c>
      <c r="C350" s="1" t="n">
        <v>45206</v>
      </c>
      <c r="D350" t="inlineStr">
        <is>
          <t>NORRBOTTENS LÄN</t>
        </is>
      </c>
      <c r="E350" t="inlineStr">
        <is>
          <t>ARVIDSJAUR</t>
        </is>
      </c>
      <c r="F350" t="inlineStr">
        <is>
          <t>Sveaskog</t>
        </is>
      </c>
      <c r="G350" t="n">
        <v>2.9</v>
      </c>
      <c r="H350" t="n">
        <v>0</v>
      </c>
      <c r="I350" t="n">
        <v>0</v>
      </c>
      <c r="J350" t="n">
        <v>1</v>
      </c>
      <c r="K350" t="n">
        <v>0</v>
      </c>
      <c r="L350" t="n">
        <v>0</v>
      </c>
      <c r="M350" t="n">
        <v>0</v>
      </c>
      <c r="N350" t="n">
        <v>0</v>
      </c>
      <c r="O350" t="n">
        <v>1</v>
      </c>
      <c r="P350" t="n">
        <v>0</v>
      </c>
      <c r="Q350" t="n">
        <v>1</v>
      </c>
      <c r="R350" s="2" t="inlineStr">
        <is>
          <t>Garnlav</t>
        </is>
      </c>
      <c r="S350">
        <f>HYPERLINK("https://klasma.github.io/Logging_ARVIDSJAUR/artfynd/A 40800-2021.xlsx", "A 40800-2021")</f>
        <v/>
      </c>
      <c r="T350">
        <f>HYPERLINK("https://klasma.github.io/Logging_ARVIDSJAUR/kartor/A 40800-2021.png", "A 40800-2021")</f>
        <v/>
      </c>
      <c r="V350">
        <f>HYPERLINK("https://klasma.github.io/Logging_ARVIDSJAUR/klagomål/A 40800-2021.docx", "A 40800-2021")</f>
        <v/>
      </c>
      <c r="W350">
        <f>HYPERLINK("https://klasma.github.io/Logging_ARVIDSJAUR/klagomålsmail/A 40800-2021.docx", "A 40800-2021")</f>
        <v/>
      </c>
      <c r="X350">
        <f>HYPERLINK("https://klasma.github.io/Logging_ARVIDSJAUR/tillsyn/A 40800-2021.docx", "A 40800-2021")</f>
        <v/>
      </c>
      <c r="Y350">
        <f>HYPERLINK("https://klasma.github.io/Logging_ARVIDSJAUR/tillsynsmail/A 40800-2021.docx", "A 40800-2021")</f>
        <v/>
      </c>
    </row>
    <row r="351" ht="15" customHeight="1">
      <c r="A351" t="inlineStr">
        <is>
          <t>A 43680-2021</t>
        </is>
      </c>
      <c r="B351" s="1" t="n">
        <v>44433</v>
      </c>
      <c r="C351" s="1" t="n">
        <v>45206</v>
      </c>
      <c r="D351" t="inlineStr">
        <is>
          <t>NORRBOTTENS LÄN</t>
        </is>
      </c>
      <c r="E351" t="inlineStr">
        <is>
          <t>ÖVERKALIX</t>
        </is>
      </c>
      <c r="F351" t="inlineStr">
        <is>
          <t>Sveaskog</t>
        </is>
      </c>
      <c r="G351" t="n">
        <v>5.4</v>
      </c>
      <c r="H351" t="n">
        <v>0</v>
      </c>
      <c r="I351" t="n">
        <v>0</v>
      </c>
      <c r="J351" t="n">
        <v>1</v>
      </c>
      <c r="K351" t="n">
        <v>0</v>
      </c>
      <c r="L351" t="n">
        <v>0</v>
      </c>
      <c r="M351" t="n">
        <v>0</v>
      </c>
      <c r="N351" t="n">
        <v>0</v>
      </c>
      <c r="O351" t="n">
        <v>1</v>
      </c>
      <c r="P351" t="n">
        <v>0</v>
      </c>
      <c r="Q351" t="n">
        <v>1</v>
      </c>
      <c r="R351" s="2" t="inlineStr">
        <is>
          <t>Gammelgransskål</t>
        </is>
      </c>
      <c r="S351">
        <f>HYPERLINK("https://klasma.github.io/Logging_OVERKALIX/artfynd/A 43680-2021.xlsx", "A 43680-2021")</f>
        <v/>
      </c>
      <c r="T351">
        <f>HYPERLINK("https://klasma.github.io/Logging_OVERKALIX/kartor/A 43680-2021.png", "A 43680-2021")</f>
        <v/>
      </c>
      <c r="V351">
        <f>HYPERLINK("https://klasma.github.io/Logging_OVERKALIX/klagomål/A 43680-2021.docx", "A 43680-2021")</f>
        <v/>
      </c>
      <c r="W351">
        <f>HYPERLINK("https://klasma.github.io/Logging_OVERKALIX/klagomålsmail/A 43680-2021.docx", "A 43680-2021")</f>
        <v/>
      </c>
      <c r="X351">
        <f>HYPERLINK("https://klasma.github.io/Logging_OVERKALIX/tillsyn/A 43680-2021.docx", "A 43680-2021")</f>
        <v/>
      </c>
      <c r="Y351">
        <f>HYPERLINK("https://klasma.github.io/Logging_OVERKALIX/tillsynsmail/A 43680-2021.docx", "A 43680-2021")</f>
        <v/>
      </c>
    </row>
    <row r="352" ht="15" customHeight="1">
      <c r="A352" t="inlineStr">
        <is>
          <t>A 45017-2021</t>
        </is>
      </c>
      <c r="B352" s="1" t="n">
        <v>44438</v>
      </c>
      <c r="C352" s="1" t="n">
        <v>45206</v>
      </c>
      <c r="D352" t="inlineStr">
        <is>
          <t>NORRBOTTENS LÄN</t>
        </is>
      </c>
      <c r="E352" t="inlineStr">
        <is>
          <t>GÄLLIVARE</t>
        </is>
      </c>
      <c r="F352" t="inlineStr">
        <is>
          <t>SCA</t>
        </is>
      </c>
      <c r="G352" t="n">
        <v>4.8</v>
      </c>
      <c r="H352" t="n">
        <v>0</v>
      </c>
      <c r="I352" t="n">
        <v>0</v>
      </c>
      <c r="J352" t="n">
        <v>1</v>
      </c>
      <c r="K352" t="n">
        <v>0</v>
      </c>
      <c r="L352" t="n">
        <v>0</v>
      </c>
      <c r="M352" t="n">
        <v>0</v>
      </c>
      <c r="N352" t="n">
        <v>0</v>
      </c>
      <c r="O352" t="n">
        <v>1</v>
      </c>
      <c r="P352" t="n">
        <v>0</v>
      </c>
      <c r="Q352" t="n">
        <v>1</v>
      </c>
      <c r="R352" s="2" t="inlineStr">
        <is>
          <t>Garnlav</t>
        </is>
      </c>
      <c r="S352">
        <f>HYPERLINK("https://klasma.github.io/Logging_GALLIVARE/artfynd/A 45017-2021.xlsx", "A 45017-2021")</f>
        <v/>
      </c>
      <c r="T352">
        <f>HYPERLINK("https://klasma.github.io/Logging_GALLIVARE/kartor/A 45017-2021.png", "A 45017-2021")</f>
        <v/>
      </c>
      <c r="V352">
        <f>HYPERLINK("https://klasma.github.io/Logging_GALLIVARE/klagomål/A 45017-2021.docx", "A 45017-2021")</f>
        <v/>
      </c>
      <c r="W352">
        <f>HYPERLINK("https://klasma.github.io/Logging_GALLIVARE/klagomålsmail/A 45017-2021.docx", "A 45017-2021")</f>
        <v/>
      </c>
      <c r="X352">
        <f>HYPERLINK("https://klasma.github.io/Logging_GALLIVARE/tillsyn/A 45017-2021.docx", "A 45017-2021")</f>
        <v/>
      </c>
      <c r="Y352">
        <f>HYPERLINK("https://klasma.github.io/Logging_GALLIVARE/tillsynsmail/A 45017-2021.docx", "A 45017-2021")</f>
        <v/>
      </c>
    </row>
    <row r="353" ht="15" customHeight="1">
      <c r="A353" t="inlineStr">
        <is>
          <t>A 49754-2021</t>
        </is>
      </c>
      <c r="B353" s="1" t="n">
        <v>44455</v>
      </c>
      <c r="C353" s="1" t="n">
        <v>45206</v>
      </c>
      <c r="D353" t="inlineStr">
        <is>
          <t>NORRBOTTENS LÄN</t>
        </is>
      </c>
      <c r="E353" t="inlineStr">
        <is>
          <t>BODEN</t>
        </is>
      </c>
      <c r="F353" t="inlineStr">
        <is>
          <t>Sveaskog</t>
        </is>
      </c>
      <c r="G353" t="n">
        <v>1.5</v>
      </c>
      <c r="H353" t="n">
        <v>0</v>
      </c>
      <c r="I353" t="n">
        <v>0</v>
      </c>
      <c r="J353" t="n">
        <v>1</v>
      </c>
      <c r="K353" t="n">
        <v>0</v>
      </c>
      <c r="L353" t="n">
        <v>0</v>
      </c>
      <c r="M353" t="n">
        <v>0</v>
      </c>
      <c r="N353" t="n">
        <v>0</v>
      </c>
      <c r="O353" t="n">
        <v>1</v>
      </c>
      <c r="P353" t="n">
        <v>0</v>
      </c>
      <c r="Q353" t="n">
        <v>1</v>
      </c>
      <c r="R353" s="2" t="inlineStr">
        <is>
          <t>Lunglav</t>
        </is>
      </c>
      <c r="S353">
        <f>HYPERLINK("https://klasma.github.io/Logging_BODEN/artfynd/A 49754-2021.xlsx", "A 49754-2021")</f>
        <v/>
      </c>
      <c r="T353">
        <f>HYPERLINK("https://klasma.github.io/Logging_BODEN/kartor/A 49754-2021.png", "A 49754-2021")</f>
        <v/>
      </c>
      <c r="V353">
        <f>HYPERLINK("https://klasma.github.io/Logging_BODEN/klagomål/A 49754-2021.docx", "A 49754-2021")</f>
        <v/>
      </c>
      <c r="W353">
        <f>HYPERLINK("https://klasma.github.io/Logging_BODEN/klagomålsmail/A 49754-2021.docx", "A 49754-2021")</f>
        <v/>
      </c>
      <c r="X353">
        <f>HYPERLINK("https://klasma.github.io/Logging_BODEN/tillsyn/A 49754-2021.docx", "A 49754-2021")</f>
        <v/>
      </c>
      <c r="Y353">
        <f>HYPERLINK("https://klasma.github.io/Logging_BODEN/tillsynsmail/A 49754-2021.docx", "A 49754-2021")</f>
        <v/>
      </c>
    </row>
    <row r="354" ht="15" customHeight="1">
      <c r="A354" t="inlineStr">
        <is>
          <t>A 50085-2021</t>
        </is>
      </c>
      <c r="B354" s="1" t="n">
        <v>44456</v>
      </c>
      <c r="C354" s="1" t="n">
        <v>45206</v>
      </c>
      <c r="D354" t="inlineStr">
        <is>
          <t>NORRBOTTENS LÄN</t>
        </is>
      </c>
      <c r="E354" t="inlineStr">
        <is>
          <t>LULEÅ</t>
        </is>
      </c>
      <c r="F354" t="inlineStr">
        <is>
          <t>Sveaskog</t>
        </is>
      </c>
      <c r="G354" t="n">
        <v>5.1</v>
      </c>
      <c r="H354" t="n">
        <v>0</v>
      </c>
      <c r="I354" t="n">
        <v>0</v>
      </c>
      <c r="J354" t="n">
        <v>1</v>
      </c>
      <c r="K354" t="n">
        <v>0</v>
      </c>
      <c r="L354" t="n">
        <v>0</v>
      </c>
      <c r="M354" t="n">
        <v>0</v>
      </c>
      <c r="N354" t="n">
        <v>0</v>
      </c>
      <c r="O354" t="n">
        <v>1</v>
      </c>
      <c r="P354" t="n">
        <v>0</v>
      </c>
      <c r="Q354" t="n">
        <v>1</v>
      </c>
      <c r="R354" s="2" t="inlineStr">
        <is>
          <t>Granticka</t>
        </is>
      </c>
      <c r="S354">
        <f>HYPERLINK("https://klasma.github.io/Logging_LULEA/artfynd/A 50085-2021.xlsx", "A 50085-2021")</f>
        <v/>
      </c>
      <c r="T354">
        <f>HYPERLINK("https://klasma.github.io/Logging_LULEA/kartor/A 50085-2021.png", "A 50085-2021")</f>
        <v/>
      </c>
      <c r="V354">
        <f>HYPERLINK("https://klasma.github.io/Logging_LULEA/klagomål/A 50085-2021.docx", "A 50085-2021")</f>
        <v/>
      </c>
      <c r="W354">
        <f>HYPERLINK("https://klasma.github.io/Logging_LULEA/klagomålsmail/A 50085-2021.docx", "A 50085-2021")</f>
        <v/>
      </c>
      <c r="X354">
        <f>HYPERLINK("https://klasma.github.io/Logging_LULEA/tillsyn/A 50085-2021.docx", "A 50085-2021")</f>
        <v/>
      </c>
      <c r="Y354">
        <f>HYPERLINK("https://klasma.github.io/Logging_LULEA/tillsynsmail/A 50085-2021.docx", "A 50085-2021")</f>
        <v/>
      </c>
    </row>
    <row r="355" ht="15" customHeight="1">
      <c r="A355" t="inlineStr">
        <is>
          <t>A 52902-2021</t>
        </is>
      </c>
      <c r="B355" s="1" t="n">
        <v>44467</v>
      </c>
      <c r="C355" s="1" t="n">
        <v>45206</v>
      </c>
      <c r="D355" t="inlineStr">
        <is>
          <t>NORRBOTTENS LÄN</t>
        </is>
      </c>
      <c r="E355" t="inlineStr">
        <is>
          <t>KALIX</t>
        </is>
      </c>
      <c r="F355" t="inlineStr">
        <is>
          <t>Sveaskog</t>
        </is>
      </c>
      <c r="G355" t="n">
        <v>4.9</v>
      </c>
      <c r="H355" t="n">
        <v>1</v>
      </c>
      <c r="I355" t="n">
        <v>0</v>
      </c>
      <c r="J355" t="n">
        <v>0</v>
      </c>
      <c r="K355" t="n">
        <v>1</v>
      </c>
      <c r="L355" t="n">
        <v>0</v>
      </c>
      <c r="M355" t="n">
        <v>0</v>
      </c>
      <c r="N355" t="n">
        <v>0</v>
      </c>
      <c r="O355" t="n">
        <v>1</v>
      </c>
      <c r="P355" t="n">
        <v>1</v>
      </c>
      <c r="Q355" t="n">
        <v>1</v>
      </c>
      <c r="R355" s="2" t="inlineStr">
        <is>
          <t>Doftticka</t>
        </is>
      </c>
      <c r="S355">
        <f>HYPERLINK("https://klasma.github.io/Logging_KALIX/artfynd/A 52902-2021.xlsx", "A 52902-2021")</f>
        <v/>
      </c>
      <c r="T355">
        <f>HYPERLINK("https://klasma.github.io/Logging_KALIX/kartor/A 52902-2021.png", "A 52902-2021")</f>
        <v/>
      </c>
      <c r="V355">
        <f>HYPERLINK("https://klasma.github.io/Logging_KALIX/klagomål/A 52902-2021.docx", "A 52902-2021")</f>
        <v/>
      </c>
      <c r="W355">
        <f>HYPERLINK("https://klasma.github.io/Logging_KALIX/klagomålsmail/A 52902-2021.docx", "A 52902-2021")</f>
        <v/>
      </c>
      <c r="X355">
        <f>HYPERLINK("https://klasma.github.io/Logging_KALIX/tillsyn/A 52902-2021.docx", "A 52902-2021")</f>
        <v/>
      </c>
      <c r="Y355">
        <f>HYPERLINK("https://klasma.github.io/Logging_KALIX/tillsynsmail/A 52902-2021.docx", "A 52902-2021")</f>
        <v/>
      </c>
    </row>
    <row r="356" ht="15" customHeight="1">
      <c r="A356" t="inlineStr">
        <is>
          <t>A 56067-2021</t>
        </is>
      </c>
      <c r="B356" s="1" t="n">
        <v>44477</v>
      </c>
      <c r="C356" s="1" t="n">
        <v>45206</v>
      </c>
      <c r="D356" t="inlineStr">
        <is>
          <t>NORRBOTTENS LÄN</t>
        </is>
      </c>
      <c r="E356" t="inlineStr">
        <is>
          <t>LULEÅ</t>
        </is>
      </c>
      <c r="F356" t="inlineStr">
        <is>
          <t>Sveaskog</t>
        </is>
      </c>
      <c r="G356" t="n">
        <v>1.3</v>
      </c>
      <c r="H356" t="n">
        <v>0</v>
      </c>
      <c r="I356" t="n">
        <v>1</v>
      </c>
      <c r="J356" t="n">
        <v>0</v>
      </c>
      <c r="K356" t="n">
        <v>0</v>
      </c>
      <c r="L356" t="n">
        <v>0</v>
      </c>
      <c r="M356" t="n">
        <v>0</v>
      </c>
      <c r="N356" t="n">
        <v>0</v>
      </c>
      <c r="O356" t="n">
        <v>0</v>
      </c>
      <c r="P356" t="n">
        <v>0</v>
      </c>
      <c r="Q356" t="n">
        <v>1</v>
      </c>
      <c r="R356" s="2" t="inlineStr">
        <is>
          <t>Zontaggsvamp</t>
        </is>
      </c>
      <c r="S356">
        <f>HYPERLINK("https://klasma.github.io/Logging_LULEA/artfynd/A 56067-2021.xlsx", "A 56067-2021")</f>
        <v/>
      </c>
      <c r="T356">
        <f>HYPERLINK("https://klasma.github.io/Logging_LULEA/kartor/A 56067-2021.png", "A 56067-2021")</f>
        <v/>
      </c>
      <c r="V356">
        <f>HYPERLINK("https://klasma.github.io/Logging_LULEA/klagomål/A 56067-2021.docx", "A 56067-2021")</f>
        <v/>
      </c>
      <c r="W356">
        <f>HYPERLINK("https://klasma.github.io/Logging_LULEA/klagomålsmail/A 56067-2021.docx", "A 56067-2021")</f>
        <v/>
      </c>
      <c r="X356">
        <f>HYPERLINK("https://klasma.github.io/Logging_LULEA/tillsyn/A 56067-2021.docx", "A 56067-2021")</f>
        <v/>
      </c>
      <c r="Y356">
        <f>HYPERLINK("https://klasma.github.io/Logging_LULEA/tillsynsmail/A 56067-2021.docx", "A 56067-2021")</f>
        <v/>
      </c>
    </row>
    <row r="357" ht="15" customHeight="1">
      <c r="A357" t="inlineStr">
        <is>
          <t>A 57535-2021</t>
        </is>
      </c>
      <c r="B357" s="1" t="n">
        <v>44483</v>
      </c>
      <c r="C357" s="1" t="n">
        <v>45206</v>
      </c>
      <c r="D357" t="inlineStr">
        <is>
          <t>NORRBOTTENS LÄN</t>
        </is>
      </c>
      <c r="E357" t="inlineStr">
        <is>
          <t>GÄLLIVARE</t>
        </is>
      </c>
      <c r="G357" t="n">
        <v>20.6</v>
      </c>
      <c r="H357" t="n">
        <v>1</v>
      </c>
      <c r="I357" t="n">
        <v>0</v>
      </c>
      <c r="J357" t="n">
        <v>0</v>
      </c>
      <c r="K357" t="n">
        <v>0</v>
      </c>
      <c r="L357" t="n">
        <v>0</v>
      </c>
      <c r="M357" t="n">
        <v>0</v>
      </c>
      <c r="N357" t="n">
        <v>0</v>
      </c>
      <c r="O357" t="n">
        <v>0</v>
      </c>
      <c r="P357" t="n">
        <v>0</v>
      </c>
      <c r="Q357" t="n">
        <v>1</v>
      </c>
      <c r="R357" s="2" t="inlineStr">
        <is>
          <t>Revlummer</t>
        </is>
      </c>
      <c r="S357">
        <f>HYPERLINK("https://klasma.github.io/Logging_GALLIVARE/artfynd/A 57535-2021.xlsx", "A 57535-2021")</f>
        <v/>
      </c>
      <c r="T357">
        <f>HYPERLINK("https://klasma.github.io/Logging_GALLIVARE/kartor/A 57535-2021.png", "A 57535-2021")</f>
        <v/>
      </c>
      <c r="V357">
        <f>HYPERLINK("https://klasma.github.io/Logging_GALLIVARE/klagomål/A 57535-2021.docx", "A 57535-2021")</f>
        <v/>
      </c>
      <c r="W357">
        <f>HYPERLINK("https://klasma.github.io/Logging_GALLIVARE/klagomålsmail/A 57535-2021.docx", "A 57535-2021")</f>
        <v/>
      </c>
      <c r="X357">
        <f>HYPERLINK("https://klasma.github.io/Logging_GALLIVARE/tillsyn/A 57535-2021.docx", "A 57535-2021")</f>
        <v/>
      </c>
      <c r="Y357">
        <f>HYPERLINK("https://klasma.github.io/Logging_GALLIVARE/tillsynsmail/A 57535-2021.docx", "A 57535-2021")</f>
        <v/>
      </c>
    </row>
    <row r="358" ht="15" customHeight="1">
      <c r="A358" t="inlineStr">
        <is>
          <t>A 57994-2021</t>
        </is>
      </c>
      <c r="B358" s="1" t="n">
        <v>44487</v>
      </c>
      <c r="C358" s="1" t="n">
        <v>45206</v>
      </c>
      <c r="D358" t="inlineStr">
        <is>
          <t>NORRBOTTENS LÄN</t>
        </is>
      </c>
      <c r="E358" t="inlineStr">
        <is>
          <t>ARVIDSJAUR</t>
        </is>
      </c>
      <c r="F358" t="inlineStr">
        <is>
          <t>Sveaskog</t>
        </is>
      </c>
      <c r="G358" t="n">
        <v>12.9</v>
      </c>
      <c r="H358" t="n">
        <v>1</v>
      </c>
      <c r="I358" t="n">
        <v>0</v>
      </c>
      <c r="J358" t="n">
        <v>1</v>
      </c>
      <c r="K358" t="n">
        <v>0</v>
      </c>
      <c r="L358" t="n">
        <v>0</v>
      </c>
      <c r="M358" t="n">
        <v>0</v>
      </c>
      <c r="N358" t="n">
        <v>0</v>
      </c>
      <c r="O358" t="n">
        <v>1</v>
      </c>
      <c r="P358" t="n">
        <v>0</v>
      </c>
      <c r="Q358" t="n">
        <v>1</v>
      </c>
      <c r="R358" s="2" t="inlineStr">
        <is>
          <t>Kungsörn</t>
        </is>
      </c>
      <c r="S358">
        <f>HYPERLINK("https://klasma.github.io/Logging_ARVIDSJAUR/artfynd/A 57994-2021.xlsx", "A 57994-2021")</f>
        <v/>
      </c>
      <c r="T358">
        <f>HYPERLINK("https://klasma.github.io/Logging_ARVIDSJAUR/kartor/A 57994-2021.png", "A 57994-2021")</f>
        <v/>
      </c>
      <c r="V358">
        <f>HYPERLINK("https://klasma.github.io/Logging_ARVIDSJAUR/klagomål/A 57994-2021.docx", "A 57994-2021")</f>
        <v/>
      </c>
      <c r="W358">
        <f>HYPERLINK("https://klasma.github.io/Logging_ARVIDSJAUR/klagomålsmail/A 57994-2021.docx", "A 57994-2021")</f>
        <v/>
      </c>
      <c r="X358">
        <f>HYPERLINK("https://klasma.github.io/Logging_ARVIDSJAUR/tillsyn/A 57994-2021.docx", "A 57994-2021")</f>
        <v/>
      </c>
      <c r="Y358">
        <f>HYPERLINK("https://klasma.github.io/Logging_ARVIDSJAUR/tillsynsmail/A 57994-2021.docx", "A 57994-2021")</f>
        <v/>
      </c>
    </row>
    <row r="359" ht="15" customHeight="1">
      <c r="A359" t="inlineStr">
        <is>
          <t>A 58201-2021</t>
        </is>
      </c>
      <c r="B359" s="1" t="n">
        <v>44487</v>
      </c>
      <c r="C359" s="1" t="n">
        <v>45206</v>
      </c>
      <c r="D359" t="inlineStr">
        <is>
          <t>NORRBOTTENS LÄN</t>
        </is>
      </c>
      <c r="E359" t="inlineStr">
        <is>
          <t>ÄLVSBYN</t>
        </is>
      </c>
      <c r="F359" t="inlineStr">
        <is>
          <t>Sveaskog</t>
        </is>
      </c>
      <c r="G359" t="n">
        <v>13.4</v>
      </c>
      <c r="H359" t="n">
        <v>1</v>
      </c>
      <c r="I359" t="n">
        <v>0</v>
      </c>
      <c r="J359" t="n">
        <v>0</v>
      </c>
      <c r="K359" t="n">
        <v>1</v>
      </c>
      <c r="L359" t="n">
        <v>0</v>
      </c>
      <c r="M359" t="n">
        <v>0</v>
      </c>
      <c r="N359" t="n">
        <v>0</v>
      </c>
      <c r="O359" t="n">
        <v>1</v>
      </c>
      <c r="P359" t="n">
        <v>1</v>
      </c>
      <c r="Q359" t="n">
        <v>1</v>
      </c>
      <c r="R359" s="2" t="inlineStr">
        <is>
          <t>Lappuggla</t>
        </is>
      </c>
      <c r="S359">
        <f>HYPERLINK("https://klasma.github.io/Logging_ALVSBYN/artfynd/A 58201-2021.xlsx", "A 58201-2021")</f>
        <v/>
      </c>
      <c r="T359">
        <f>HYPERLINK("https://klasma.github.io/Logging_ALVSBYN/kartor/A 58201-2021.png", "A 58201-2021")</f>
        <v/>
      </c>
      <c r="V359">
        <f>HYPERLINK("https://klasma.github.io/Logging_ALVSBYN/klagomål/A 58201-2021.docx", "A 58201-2021")</f>
        <v/>
      </c>
      <c r="W359">
        <f>HYPERLINK("https://klasma.github.io/Logging_ALVSBYN/klagomålsmail/A 58201-2021.docx", "A 58201-2021")</f>
        <v/>
      </c>
      <c r="X359">
        <f>HYPERLINK("https://klasma.github.io/Logging_ALVSBYN/tillsyn/A 58201-2021.docx", "A 58201-2021")</f>
        <v/>
      </c>
      <c r="Y359">
        <f>HYPERLINK("https://klasma.github.io/Logging_ALVSBYN/tillsynsmail/A 58201-2021.docx", "A 58201-2021")</f>
        <v/>
      </c>
    </row>
    <row r="360" ht="15" customHeight="1">
      <c r="A360" t="inlineStr">
        <is>
          <t>A 57926-2021</t>
        </is>
      </c>
      <c r="B360" s="1" t="n">
        <v>44487</v>
      </c>
      <c r="C360" s="1" t="n">
        <v>45206</v>
      </c>
      <c r="D360" t="inlineStr">
        <is>
          <t>NORRBOTTENS LÄN</t>
        </is>
      </c>
      <c r="E360" t="inlineStr">
        <is>
          <t>ARVIDSJAUR</t>
        </is>
      </c>
      <c r="F360" t="inlineStr">
        <is>
          <t>Sveaskog</t>
        </is>
      </c>
      <c r="G360" t="n">
        <v>28.6</v>
      </c>
      <c r="H360" t="n">
        <v>0</v>
      </c>
      <c r="I360" t="n">
        <v>0</v>
      </c>
      <c r="J360" t="n">
        <v>1</v>
      </c>
      <c r="K360" t="n">
        <v>0</v>
      </c>
      <c r="L360" t="n">
        <v>0</v>
      </c>
      <c r="M360" t="n">
        <v>0</v>
      </c>
      <c r="N360" t="n">
        <v>0</v>
      </c>
      <c r="O360" t="n">
        <v>1</v>
      </c>
      <c r="P360" t="n">
        <v>0</v>
      </c>
      <c r="Q360" t="n">
        <v>1</v>
      </c>
      <c r="R360" s="2" t="inlineStr">
        <is>
          <t>Tallticka</t>
        </is>
      </c>
      <c r="S360">
        <f>HYPERLINK("https://klasma.github.io/Logging_ARVIDSJAUR/artfynd/A 57926-2021.xlsx", "A 57926-2021")</f>
        <v/>
      </c>
      <c r="T360">
        <f>HYPERLINK("https://klasma.github.io/Logging_ARVIDSJAUR/kartor/A 57926-2021.png", "A 57926-2021")</f>
        <v/>
      </c>
      <c r="V360">
        <f>HYPERLINK("https://klasma.github.io/Logging_ARVIDSJAUR/klagomål/A 57926-2021.docx", "A 57926-2021")</f>
        <v/>
      </c>
      <c r="W360">
        <f>HYPERLINK("https://klasma.github.io/Logging_ARVIDSJAUR/klagomålsmail/A 57926-2021.docx", "A 57926-2021")</f>
        <v/>
      </c>
      <c r="X360">
        <f>HYPERLINK("https://klasma.github.io/Logging_ARVIDSJAUR/tillsyn/A 57926-2021.docx", "A 57926-2021")</f>
        <v/>
      </c>
      <c r="Y360">
        <f>HYPERLINK("https://klasma.github.io/Logging_ARVIDSJAUR/tillsynsmail/A 57926-2021.docx", "A 57926-2021")</f>
        <v/>
      </c>
    </row>
    <row r="361" ht="15" customHeight="1">
      <c r="A361" t="inlineStr">
        <is>
          <t>A 59526-2021</t>
        </is>
      </c>
      <c r="B361" s="1" t="n">
        <v>44491</v>
      </c>
      <c r="C361" s="1" t="n">
        <v>45206</v>
      </c>
      <c r="D361" t="inlineStr">
        <is>
          <t>NORRBOTTENS LÄN</t>
        </is>
      </c>
      <c r="E361" t="inlineStr">
        <is>
          <t>JOKKMOKK</t>
        </is>
      </c>
      <c r="F361" t="inlineStr">
        <is>
          <t>Sveaskog</t>
        </is>
      </c>
      <c r="G361" t="n">
        <v>3.4</v>
      </c>
      <c r="H361" t="n">
        <v>0</v>
      </c>
      <c r="I361" t="n">
        <v>0</v>
      </c>
      <c r="J361" t="n">
        <v>1</v>
      </c>
      <c r="K361" t="n">
        <v>0</v>
      </c>
      <c r="L361" t="n">
        <v>0</v>
      </c>
      <c r="M361" t="n">
        <v>0</v>
      </c>
      <c r="N361" t="n">
        <v>0</v>
      </c>
      <c r="O361" t="n">
        <v>1</v>
      </c>
      <c r="P361" t="n">
        <v>0</v>
      </c>
      <c r="Q361" t="n">
        <v>1</v>
      </c>
      <c r="R361" s="2" t="inlineStr">
        <is>
          <t>Blå taggsvamp</t>
        </is>
      </c>
      <c r="S361">
        <f>HYPERLINK("https://klasma.github.io/Logging_JOKKMOKK/artfynd/A 59526-2021.xlsx", "A 59526-2021")</f>
        <v/>
      </c>
      <c r="T361">
        <f>HYPERLINK("https://klasma.github.io/Logging_JOKKMOKK/kartor/A 59526-2021.png", "A 59526-2021")</f>
        <v/>
      </c>
      <c r="V361">
        <f>HYPERLINK("https://klasma.github.io/Logging_JOKKMOKK/klagomål/A 59526-2021.docx", "A 59526-2021")</f>
        <v/>
      </c>
      <c r="W361">
        <f>HYPERLINK("https://klasma.github.io/Logging_JOKKMOKK/klagomålsmail/A 59526-2021.docx", "A 59526-2021")</f>
        <v/>
      </c>
      <c r="X361">
        <f>HYPERLINK("https://klasma.github.io/Logging_JOKKMOKK/tillsyn/A 59526-2021.docx", "A 59526-2021")</f>
        <v/>
      </c>
      <c r="Y361">
        <f>HYPERLINK("https://klasma.github.io/Logging_JOKKMOKK/tillsynsmail/A 59526-2021.docx", "A 59526-2021")</f>
        <v/>
      </c>
    </row>
    <row r="362" ht="15" customHeight="1">
      <c r="A362" t="inlineStr">
        <is>
          <t>A 60797-2021</t>
        </is>
      </c>
      <c r="B362" s="1" t="n">
        <v>44495</v>
      </c>
      <c r="C362" s="1" t="n">
        <v>45206</v>
      </c>
      <c r="D362" t="inlineStr">
        <is>
          <t>NORRBOTTENS LÄN</t>
        </is>
      </c>
      <c r="E362" t="inlineStr">
        <is>
          <t>PITEÅ</t>
        </is>
      </c>
      <c r="F362" t="inlineStr">
        <is>
          <t>Sveaskog</t>
        </is>
      </c>
      <c r="G362" t="n">
        <v>4.9</v>
      </c>
      <c r="H362" t="n">
        <v>0</v>
      </c>
      <c r="I362" t="n">
        <v>0</v>
      </c>
      <c r="J362" t="n">
        <v>1</v>
      </c>
      <c r="K362" t="n">
        <v>0</v>
      </c>
      <c r="L362" t="n">
        <v>0</v>
      </c>
      <c r="M362" t="n">
        <v>0</v>
      </c>
      <c r="N362" t="n">
        <v>0</v>
      </c>
      <c r="O362" t="n">
        <v>1</v>
      </c>
      <c r="P362" t="n">
        <v>0</v>
      </c>
      <c r="Q362" t="n">
        <v>1</v>
      </c>
      <c r="R362" s="2" t="inlineStr">
        <is>
          <t>Granticka</t>
        </is>
      </c>
      <c r="S362">
        <f>HYPERLINK("https://klasma.github.io/Logging_PITEA/artfynd/A 60797-2021.xlsx", "A 60797-2021")</f>
        <v/>
      </c>
      <c r="T362">
        <f>HYPERLINK("https://klasma.github.io/Logging_PITEA/kartor/A 60797-2021.png", "A 60797-2021")</f>
        <v/>
      </c>
      <c r="V362">
        <f>HYPERLINK("https://klasma.github.io/Logging_PITEA/klagomål/A 60797-2021.docx", "A 60797-2021")</f>
        <v/>
      </c>
      <c r="W362">
        <f>HYPERLINK("https://klasma.github.io/Logging_PITEA/klagomålsmail/A 60797-2021.docx", "A 60797-2021")</f>
        <v/>
      </c>
      <c r="X362">
        <f>HYPERLINK("https://klasma.github.io/Logging_PITEA/tillsyn/A 60797-2021.docx", "A 60797-2021")</f>
        <v/>
      </c>
      <c r="Y362">
        <f>HYPERLINK("https://klasma.github.io/Logging_PITEA/tillsynsmail/A 60797-2021.docx", "A 60797-2021")</f>
        <v/>
      </c>
    </row>
    <row r="363" ht="15" customHeight="1">
      <c r="A363" t="inlineStr">
        <is>
          <t>A 60509-2021</t>
        </is>
      </c>
      <c r="B363" s="1" t="n">
        <v>44496</v>
      </c>
      <c r="C363" s="1" t="n">
        <v>45206</v>
      </c>
      <c r="D363" t="inlineStr">
        <is>
          <t>NORRBOTTENS LÄN</t>
        </is>
      </c>
      <c r="E363" t="inlineStr">
        <is>
          <t>ÖVERKALIX</t>
        </is>
      </c>
      <c r="F363" t="inlineStr">
        <is>
          <t>Sveaskog</t>
        </is>
      </c>
      <c r="G363" t="n">
        <v>13.5</v>
      </c>
      <c r="H363" t="n">
        <v>0</v>
      </c>
      <c r="I363" t="n">
        <v>1</v>
      </c>
      <c r="J363" t="n">
        <v>0</v>
      </c>
      <c r="K363" t="n">
        <v>0</v>
      </c>
      <c r="L363" t="n">
        <v>0</v>
      </c>
      <c r="M363" t="n">
        <v>0</v>
      </c>
      <c r="N363" t="n">
        <v>0</v>
      </c>
      <c r="O363" t="n">
        <v>0</v>
      </c>
      <c r="P363" t="n">
        <v>0</v>
      </c>
      <c r="Q363" t="n">
        <v>1</v>
      </c>
      <c r="R363" s="2" t="inlineStr">
        <is>
          <t>Stor aspticka</t>
        </is>
      </c>
      <c r="S363">
        <f>HYPERLINK("https://klasma.github.io/Logging_OVERKALIX/artfynd/A 60509-2021.xlsx", "A 60509-2021")</f>
        <v/>
      </c>
      <c r="T363">
        <f>HYPERLINK("https://klasma.github.io/Logging_OVERKALIX/kartor/A 60509-2021.png", "A 60509-2021")</f>
        <v/>
      </c>
      <c r="V363">
        <f>HYPERLINK("https://klasma.github.io/Logging_OVERKALIX/klagomål/A 60509-2021.docx", "A 60509-2021")</f>
        <v/>
      </c>
      <c r="W363">
        <f>HYPERLINK("https://klasma.github.io/Logging_OVERKALIX/klagomålsmail/A 60509-2021.docx", "A 60509-2021")</f>
        <v/>
      </c>
      <c r="X363">
        <f>HYPERLINK("https://klasma.github.io/Logging_OVERKALIX/tillsyn/A 60509-2021.docx", "A 60509-2021")</f>
        <v/>
      </c>
      <c r="Y363">
        <f>HYPERLINK("https://klasma.github.io/Logging_OVERKALIX/tillsynsmail/A 60509-2021.docx", "A 60509-2021")</f>
        <v/>
      </c>
    </row>
    <row r="364" ht="15" customHeight="1">
      <c r="A364" t="inlineStr">
        <is>
          <t>A 60546-2021</t>
        </is>
      </c>
      <c r="B364" s="1" t="n">
        <v>44496</v>
      </c>
      <c r="C364" s="1" t="n">
        <v>45206</v>
      </c>
      <c r="D364" t="inlineStr">
        <is>
          <t>NORRBOTTENS LÄN</t>
        </is>
      </c>
      <c r="E364" t="inlineStr">
        <is>
          <t>ÖVERKALIX</t>
        </is>
      </c>
      <c r="F364" t="inlineStr">
        <is>
          <t>Sveaskog</t>
        </is>
      </c>
      <c r="G364" t="n">
        <v>3</v>
      </c>
      <c r="H364" t="n">
        <v>0</v>
      </c>
      <c r="I364" t="n">
        <v>0</v>
      </c>
      <c r="J364" t="n">
        <v>1</v>
      </c>
      <c r="K364" t="n">
        <v>0</v>
      </c>
      <c r="L364" t="n">
        <v>0</v>
      </c>
      <c r="M364" t="n">
        <v>0</v>
      </c>
      <c r="N364" t="n">
        <v>0</v>
      </c>
      <c r="O364" t="n">
        <v>1</v>
      </c>
      <c r="P364" t="n">
        <v>0</v>
      </c>
      <c r="Q364" t="n">
        <v>1</v>
      </c>
      <c r="R364" s="2" t="inlineStr">
        <is>
          <t>Koralltaggsvamp</t>
        </is>
      </c>
      <c r="S364">
        <f>HYPERLINK("https://klasma.github.io/Logging_OVERKALIX/artfynd/A 60546-2021.xlsx", "A 60546-2021")</f>
        <v/>
      </c>
      <c r="T364">
        <f>HYPERLINK("https://klasma.github.io/Logging_OVERKALIX/kartor/A 60546-2021.png", "A 60546-2021")</f>
        <v/>
      </c>
      <c r="V364">
        <f>HYPERLINK("https://klasma.github.io/Logging_OVERKALIX/klagomål/A 60546-2021.docx", "A 60546-2021")</f>
        <v/>
      </c>
      <c r="W364">
        <f>HYPERLINK("https://klasma.github.io/Logging_OVERKALIX/klagomålsmail/A 60546-2021.docx", "A 60546-2021")</f>
        <v/>
      </c>
      <c r="X364">
        <f>HYPERLINK("https://klasma.github.io/Logging_OVERKALIX/tillsyn/A 60546-2021.docx", "A 60546-2021")</f>
        <v/>
      </c>
      <c r="Y364">
        <f>HYPERLINK("https://klasma.github.io/Logging_OVERKALIX/tillsynsmail/A 60546-2021.docx", "A 60546-2021")</f>
        <v/>
      </c>
    </row>
    <row r="365" ht="15" customHeight="1">
      <c r="A365" t="inlineStr">
        <is>
          <t>A 60597-2021</t>
        </is>
      </c>
      <c r="B365" s="1" t="n">
        <v>44496</v>
      </c>
      <c r="C365" s="1" t="n">
        <v>45206</v>
      </c>
      <c r="D365" t="inlineStr">
        <is>
          <t>NORRBOTTENS LÄN</t>
        </is>
      </c>
      <c r="E365" t="inlineStr">
        <is>
          <t>PAJALA</t>
        </is>
      </c>
      <c r="F365" t="inlineStr">
        <is>
          <t>Sveaskog</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HYPERLINK("https://klasma.github.io/Logging_PAJALA/artfynd/A 60597-2021.xlsx", "A 60597-2021")</f>
        <v/>
      </c>
      <c r="T365">
        <f>HYPERLINK("https://klasma.github.io/Logging_PAJALA/kartor/A 60597-2021.png", "A 60597-2021")</f>
        <v/>
      </c>
      <c r="V365">
        <f>HYPERLINK("https://klasma.github.io/Logging_PAJALA/klagomål/A 60597-2021.docx", "A 60597-2021")</f>
        <v/>
      </c>
      <c r="W365">
        <f>HYPERLINK("https://klasma.github.io/Logging_PAJALA/klagomålsmail/A 60597-2021.docx", "A 60597-2021")</f>
        <v/>
      </c>
      <c r="X365">
        <f>HYPERLINK("https://klasma.github.io/Logging_PAJALA/tillsyn/A 60597-2021.docx", "A 60597-2021")</f>
        <v/>
      </c>
      <c r="Y365">
        <f>HYPERLINK("https://klasma.github.io/Logging_PAJALA/tillsynsmail/A 60597-2021.docx", "A 60597-2021")</f>
        <v/>
      </c>
    </row>
    <row r="366" ht="15" customHeight="1">
      <c r="A366" t="inlineStr">
        <is>
          <t>A 65518-2021</t>
        </is>
      </c>
      <c r="B366" s="1" t="n">
        <v>44516</v>
      </c>
      <c r="C366" s="1" t="n">
        <v>45206</v>
      </c>
      <c r="D366" t="inlineStr">
        <is>
          <t>NORRBOTTENS LÄN</t>
        </is>
      </c>
      <c r="E366" t="inlineStr">
        <is>
          <t>PAJALA</t>
        </is>
      </c>
      <c r="F366" t="inlineStr">
        <is>
          <t>Sveaskog</t>
        </is>
      </c>
      <c r="G366" t="n">
        <v>1.5</v>
      </c>
      <c r="H366" t="n">
        <v>0</v>
      </c>
      <c r="I366" t="n">
        <v>1</v>
      </c>
      <c r="J366" t="n">
        <v>0</v>
      </c>
      <c r="K366" t="n">
        <v>0</v>
      </c>
      <c r="L366" t="n">
        <v>0</v>
      </c>
      <c r="M366" t="n">
        <v>0</v>
      </c>
      <c r="N366" t="n">
        <v>0</v>
      </c>
      <c r="O366" t="n">
        <v>0</v>
      </c>
      <c r="P366" t="n">
        <v>0</v>
      </c>
      <c r="Q366" t="n">
        <v>1</v>
      </c>
      <c r="R366" s="2" t="inlineStr">
        <is>
          <t>Stuplav</t>
        </is>
      </c>
      <c r="S366">
        <f>HYPERLINK("https://klasma.github.io/Logging_PAJALA/artfynd/A 65518-2021.xlsx", "A 65518-2021")</f>
        <v/>
      </c>
      <c r="T366">
        <f>HYPERLINK("https://klasma.github.io/Logging_PAJALA/kartor/A 65518-2021.png", "A 65518-2021")</f>
        <v/>
      </c>
      <c r="V366">
        <f>HYPERLINK("https://klasma.github.io/Logging_PAJALA/klagomål/A 65518-2021.docx", "A 65518-2021")</f>
        <v/>
      </c>
      <c r="W366">
        <f>HYPERLINK("https://klasma.github.io/Logging_PAJALA/klagomålsmail/A 65518-2021.docx", "A 65518-2021")</f>
        <v/>
      </c>
      <c r="X366">
        <f>HYPERLINK("https://klasma.github.io/Logging_PAJALA/tillsyn/A 65518-2021.docx", "A 65518-2021")</f>
        <v/>
      </c>
      <c r="Y366">
        <f>HYPERLINK("https://klasma.github.io/Logging_PAJALA/tillsynsmail/A 65518-2021.docx", "A 65518-2021")</f>
        <v/>
      </c>
    </row>
    <row r="367" ht="15" customHeight="1">
      <c r="A367" t="inlineStr">
        <is>
          <t>A 67917-2021</t>
        </is>
      </c>
      <c r="B367" s="1" t="n">
        <v>44525</v>
      </c>
      <c r="C367" s="1" t="n">
        <v>45206</v>
      </c>
      <c r="D367" t="inlineStr">
        <is>
          <t>NORRBOTTENS LÄN</t>
        </is>
      </c>
      <c r="E367" t="inlineStr">
        <is>
          <t>PITEÅ</t>
        </is>
      </c>
      <c r="F367" t="inlineStr">
        <is>
          <t>Sveaskog</t>
        </is>
      </c>
      <c r="G367" t="n">
        <v>4.2</v>
      </c>
      <c r="H367" t="n">
        <v>0</v>
      </c>
      <c r="I367" t="n">
        <v>0</v>
      </c>
      <c r="J367" t="n">
        <v>1</v>
      </c>
      <c r="K367" t="n">
        <v>0</v>
      </c>
      <c r="L367" t="n">
        <v>0</v>
      </c>
      <c r="M367" t="n">
        <v>0</v>
      </c>
      <c r="N367" t="n">
        <v>0</v>
      </c>
      <c r="O367" t="n">
        <v>1</v>
      </c>
      <c r="P367" t="n">
        <v>0</v>
      </c>
      <c r="Q367" t="n">
        <v>1</v>
      </c>
      <c r="R367" s="2" t="inlineStr">
        <is>
          <t>Lunglav</t>
        </is>
      </c>
      <c r="S367">
        <f>HYPERLINK("https://klasma.github.io/Logging_PITEA/artfynd/A 67917-2021.xlsx", "A 67917-2021")</f>
        <v/>
      </c>
      <c r="T367">
        <f>HYPERLINK("https://klasma.github.io/Logging_PITEA/kartor/A 67917-2021.png", "A 67917-2021")</f>
        <v/>
      </c>
      <c r="V367">
        <f>HYPERLINK("https://klasma.github.io/Logging_PITEA/klagomål/A 67917-2021.docx", "A 67917-2021")</f>
        <v/>
      </c>
      <c r="W367">
        <f>HYPERLINK("https://klasma.github.io/Logging_PITEA/klagomålsmail/A 67917-2021.docx", "A 67917-2021")</f>
        <v/>
      </c>
      <c r="X367">
        <f>HYPERLINK("https://klasma.github.io/Logging_PITEA/tillsyn/A 67917-2021.docx", "A 67917-2021")</f>
        <v/>
      </c>
      <c r="Y367">
        <f>HYPERLINK("https://klasma.github.io/Logging_PITEA/tillsynsmail/A 67917-2021.docx", "A 67917-2021")</f>
        <v/>
      </c>
    </row>
    <row r="368" ht="15" customHeight="1">
      <c r="A368" t="inlineStr">
        <is>
          <t>A 67902-2021</t>
        </is>
      </c>
      <c r="B368" s="1" t="n">
        <v>44525</v>
      </c>
      <c r="C368" s="1" t="n">
        <v>45206</v>
      </c>
      <c r="D368" t="inlineStr">
        <is>
          <t>NORRBOTTENS LÄN</t>
        </is>
      </c>
      <c r="E368" t="inlineStr">
        <is>
          <t>PITEÅ</t>
        </is>
      </c>
      <c r="F368" t="inlineStr">
        <is>
          <t>Sveaskog</t>
        </is>
      </c>
      <c r="G368" t="n">
        <v>1.6</v>
      </c>
      <c r="H368" t="n">
        <v>0</v>
      </c>
      <c r="I368" t="n">
        <v>0</v>
      </c>
      <c r="J368" t="n">
        <v>1</v>
      </c>
      <c r="K368" t="n">
        <v>0</v>
      </c>
      <c r="L368" t="n">
        <v>0</v>
      </c>
      <c r="M368" t="n">
        <v>0</v>
      </c>
      <c r="N368" t="n">
        <v>0</v>
      </c>
      <c r="O368" t="n">
        <v>1</v>
      </c>
      <c r="P368" t="n">
        <v>0</v>
      </c>
      <c r="Q368" t="n">
        <v>1</v>
      </c>
      <c r="R368" s="2" t="inlineStr">
        <is>
          <t>Rosenticka</t>
        </is>
      </c>
      <c r="S368">
        <f>HYPERLINK("https://klasma.github.io/Logging_PITEA/artfynd/A 67902-2021.xlsx", "A 67902-2021")</f>
        <v/>
      </c>
      <c r="T368">
        <f>HYPERLINK("https://klasma.github.io/Logging_PITEA/kartor/A 67902-2021.png", "A 67902-2021")</f>
        <v/>
      </c>
      <c r="V368">
        <f>HYPERLINK("https://klasma.github.io/Logging_PITEA/klagomål/A 67902-2021.docx", "A 67902-2021")</f>
        <v/>
      </c>
      <c r="W368">
        <f>HYPERLINK("https://klasma.github.io/Logging_PITEA/klagomålsmail/A 67902-2021.docx", "A 67902-2021")</f>
        <v/>
      </c>
      <c r="X368">
        <f>HYPERLINK("https://klasma.github.io/Logging_PITEA/tillsyn/A 67902-2021.docx", "A 67902-2021")</f>
        <v/>
      </c>
      <c r="Y368">
        <f>HYPERLINK("https://klasma.github.io/Logging_PITEA/tillsynsmail/A 67902-2021.docx", "A 67902-2021")</f>
        <v/>
      </c>
    </row>
    <row r="369" ht="15" customHeight="1">
      <c r="A369" t="inlineStr">
        <is>
          <t>A 71289-2021</t>
        </is>
      </c>
      <c r="B369" s="1" t="n">
        <v>44538</v>
      </c>
      <c r="C369" s="1" t="n">
        <v>45206</v>
      </c>
      <c r="D369" t="inlineStr">
        <is>
          <t>NORRBOTTENS LÄN</t>
        </is>
      </c>
      <c r="E369" t="inlineStr">
        <is>
          <t>PITEÅ</t>
        </is>
      </c>
      <c r="G369" t="n">
        <v>3.8</v>
      </c>
      <c r="H369" t="n">
        <v>0</v>
      </c>
      <c r="I369" t="n">
        <v>0</v>
      </c>
      <c r="J369" t="n">
        <v>1</v>
      </c>
      <c r="K369" t="n">
        <v>0</v>
      </c>
      <c r="L369" t="n">
        <v>0</v>
      </c>
      <c r="M369" t="n">
        <v>0</v>
      </c>
      <c r="N369" t="n">
        <v>0</v>
      </c>
      <c r="O369" t="n">
        <v>1</v>
      </c>
      <c r="P369" t="n">
        <v>0</v>
      </c>
      <c r="Q369" t="n">
        <v>1</v>
      </c>
      <c r="R369" s="2" t="inlineStr">
        <is>
          <t>Tallticka</t>
        </is>
      </c>
      <c r="S369">
        <f>HYPERLINK("https://klasma.github.io/Logging_PITEA/artfynd/A 71289-2021.xlsx", "A 71289-2021")</f>
        <v/>
      </c>
      <c r="T369">
        <f>HYPERLINK("https://klasma.github.io/Logging_PITEA/kartor/A 71289-2021.png", "A 71289-2021")</f>
        <v/>
      </c>
      <c r="V369">
        <f>HYPERLINK("https://klasma.github.io/Logging_PITEA/klagomål/A 71289-2021.docx", "A 71289-2021")</f>
        <v/>
      </c>
      <c r="W369">
        <f>HYPERLINK("https://klasma.github.io/Logging_PITEA/klagomålsmail/A 71289-2021.docx", "A 71289-2021")</f>
        <v/>
      </c>
      <c r="X369">
        <f>HYPERLINK("https://klasma.github.io/Logging_PITEA/tillsyn/A 71289-2021.docx", "A 71289-2021")</f>
        <v/>
      </c>
      <c r="Y369">
        <f>HYPERLINK("https://klasma.github.io/Logging_PITEA/tillsynsmail/A 71289-2021.docx", "A 71289-2021")</f>
        <v/>
      </c>
    </row>
    <row r="370" ht="15" customHeight="1">
      <c r="A370" t="inlineStr">
        <is>
          <t>A 72480-2021</t>
        </is>
      </c>
      <c r="B370" s="1" t="n">
        <v>44545</v>
      </c>
      <c r="C370" s="1" t="n">
        <v>45206</v>
      </c>
      <c r="D370" t="inlineStr">
        <is>
          <t>NORRBOTTENS LÄN</t>
        </is>
      </c>
      <c r="E370" t="inlineStr">
        <is>
          <t>JOKKMOKK</t>
        </is>
      </c>
      <c r="G370" t="n">
        <v>8.800000000000001</v>
      </c>
      <c r="H370" t="n">
        <v>0</v>
      </c>
      <c r="I370" t="n">
        <v>0</v>
      </c>
      <c r="J370" t="n">
        <v>1</v>
      </c>
      <c r="K370" t="n">
        <v>0</v>
      </c>
      <c r="L370" t="n">
        <v>0</v>
      </c>
      <c r="M370" t="n">
        <v>0</v>
      </c>
      <c r="N370" t="n">
        <v>0</v>
      </c>
      <c r="O370" t="n">
        <v>1</v>
      </c>
      <c r="P370" t="n">
        <v>0</v>
      </c>
      <c r="Q370" t="n">
        <v>1</v>
      </c>
      <c r="R370" s="2" t="inlineStr">
        <is>
          <t>Dvärgbägarlav</t>
        </is>
      </c>
      <c r="S370">
        <f>HYPERLINK("https://klasma.github.io/Logging_JOKKMOKK/artfynd/A 72480-2021.xlsx", "A 72480-2021")</f>
        <v/>
      </c>
      <c r="T370">
        <f>HYPERLINK("https://klasma.github.io/Logging_JOKKMOKK/kartor/A 72480-2021.png", "A 72480-2021")</f>
        <v/>
      </c>
      <c r="V370">
        <f>HYPERLINK("https://klasma.github.io/Logging_JOKKMOKK/klagomål/A 72480-2021.docx", "A 72480-2021")</f>
        <v/>
      </c>
      <c r="W370">
        <f>HYPERLINK("https://klasma.github.io/Logging_JOKKMOKK/klagomålsmail/A 72480-2021.docx", "A 72480-2021")</f>
        <v/>
      </c>
      <c r="X370">
        <f>HYPERLINK("https://klasma.github.io/Logging_JOKKMOKK/tillsyn/A 72480-2021.docx", "A 72480-2021")</f>
        <v/>
      </c>
      <c r="Y370">
        <f>HYPERLINK("https://klasma.github.io/Logging_JOKKMOKK/tillsynsmail/A 72480-2021.docx", "A 72480-2021")</f>
        <v/>
      </c>
    </row>
    <row r="371" ht="15" customHeight="1">
      <c r="A371" t="inlineStr">
        <is>
          <t>A 13647-2022</t>
        </is>
      </c>
      <c r="B371" s="1" t="n">
        <v>44648</v>
      </c>
      <c r="C371" s="1" t="n">
        <v>45206</v>
      </c>
      <c r="D371" t="inlineStr">
        <is>
          <t>NORRBOTTENS LÄN</t>
        </is>
      </c>
      <c r="E371" t="inlineStr">
        <is>
          <t>BODEN</t>
        </is>
      </c>
      <c r="F371" t="inlineStr">
        <is>
          <t>Sveaskog</t>
        </is>
      </c>
      <c r="G371" t="n">
        <v>3.8</v>
      </c>
      <c r="H371" t="n">
        <v>0</v>
      </c>
      <c r="I371" t="n">
        <v>0</v>
      </c>
      <c r="J371" t="n">
        <v>1</v>
      </c>
      <c r="K371" t="n">
        <v>0</v>
      </c>
      <c r="L371" t="n">
        <v>0</v>
      </c>
      <c r="M371" t="n">
        <v>0</v>
      </c>
      <c r="N371" t="n">
        <v>0</v>
      </c>
      <c r="O371" t="n">
        <v>1</v>
      </c>
      <c r="P371" t="n">
        <v>0</v>
      </c>
      <c r="Q371" t="n">
        <v>1</v>
      </c>
      <c r="R371" s="2" t="inlineStr">
        <is>
          <t>Gammelgransskål</t>
        </is>
      </c>
      <c r="S371">
        <f>HYPERLINK("https://klasma.github.io/Logging_BODEN/artfynd/A 13647-2022.xlsx", "A 13647-2022")</f>
        <v/>
      </c>
      <c r="T371">
        <f>HYPERLINK("https://klasma.github.io/Logging_BODEN/kartor/A 13647-2022.png", "A 13647-2022")</f>
        <v/>
      </c>
      <c r="V371">
        <f>HYPERLINK("https://klasma.github.io/Logging_BODEN/klagomål/A 13647-2022.docx", "A 13647-2022")</f>
        <v/>
      </c>
      <c r="W371">
        <f>HYPERLINK("https://klasma.github.io/Logging_BODEN/klagomålsmail/A 13647-2022.docx", "A 13647-2022")</f>
        <v/>
      </c>
      <c r="X371">
        <f>HYPERLINK("https://klasma.github.io/Logging_BODEN/tillsyn/A 13647-2022.docx", "A 13647-2022")</f>
        <v/>
      </c>
      <c r="Y371">
        <f>HYPERLINK("https://klasma.github.io/Logging_BODEN/tillsynsmail/A 13647-2022.docx", "A 13647-2022")</f>
        <v/>
      </c>
    </row>
    <row r="372" ht="15" customHeight="1">
      <c r="A372" t="inlineStr">
        <is>
          <t>A 14904-2022</t>
        </is>
      </c>
      <c r="B372" s="1" t="n">
        <v>44656</v>
      </c>
      <c r="C372" s="1" t="n">
        <v>45206</v>
      </c>
      <c r="D372" t="inlineStr">
        <is>
          <t>NORRBOTTENS LÄN</t>
        </is>
      </c>
      <c r="E372" t="inlineStr">
        <is>
          <t>ÖVERKALIX</t>
        </is>
      </c>
      <c r="F372" t="inlineStr">
        <is>
          <t>SCA</t>
        </is>
      </c>
      <c r="G372" t="n">
        <v>72.2</v>
      </c>
      <c r="H372" t="n">
        <v>1</v>
      </c>
      <c r="I372" t="n">
        <v>0</v>
      </c>
      <c r="J372" t="n">
        <v>0</v>
      </c>
      <c r="K372" t="n">
        <v>0</v>
      </c>
      <c r="L372" t="n">
        <v>0</v>
      </c>
      <c r="M372" t="n">
        <v>0</v>
      </c>
      <c r="N372" t="n">
        <v>0</v>
      </c>
      <c r="O372" t="n">
        <v>0</v>
      </c>
      <c r="P372" t="n">
        <v>0</v>
      </c>
      <c r="Q372" t="n">
        <v>1</v>
      </c>
      <c r="R372" s="2" t="inlineStr">
        <is>
          <t>Fläcknycklar</t>
        </is>
      </c>
      <c r="S372">
        <f>HYPERLINK("https://klasma.github.io/Logging_OVERKALIX/artfynd/A 14904-2022.xlsx", "A 14904-2022")</f>
        <v/>
      </c>
      <c r="T372">
        <f>HYPERLINK("https://klasma.github.io/Logging_OVERKALIX/kartor/A 14904-2022.png", "A 14904-2022")</f>
        <v/>
      </c>
      <c r="V372">
        <f>HYPERLINK("https://klasma.github.io/Logging_OVERKALIX/klagomål/A 14904-2022.docx", "A 14904-2022")</f>
        <v/>
      </c>
      <c r="W372">
        <f>HYPERLINK("https://klasma.github.io/Logging_OVERKALIX/klagomålsmail/A 14904-2022.docx", "A 14904-2022")</f>
        <v/>
      </c>
      <c r="X372">
        <f>HYPERLINK("https://klasma.github.io/Logging_OVERKALIX/tillsyn/A 14904-2022.docx", "A 14904-2022")</f>
        <v/>
      </c>
      <c r="Y372">
        <f>HYPERLINK("https://klasma.github.io/Logging_OVERKALIX/tillsynsmail/A 14904-2022.docx", "A 14904-2022")</f>
        <v/>
      </c>
    </row>
    <row r="373" ht="15" customHeight="1">
      <c r="A373" t="inlineStr">
        <is>
          <t>A 15137-2022</t>
        </is>
      </c>
      <c r="B373" s="1" t="n">
        <v>44658</v>
      </c>
      <c r="C373" s="1" t="n">
        <v>45206</v>
      </c>
      <c r="D373" t="inlineStr">
        <is>
          <t>NORRBOTTENS LÄN</t>
        </is>
      </c>
      <c r="E373" t="inlineStr">
        <is>
          <t>ÖVERKALIX</t>
        </is>
      </c>
      <c r="G373" t="n">
        <v>5.7</v>
      </c>
      <c r="H373" t="n">
        <v>0</v>
      </c>
      <c r="I373" t="n">
        <v>0</v>
      </c>
      <c r="J373" t="n">
        <v>1</v>
      </c>
      <c r="K373" t="n">
        <v>0</v>
      </c>
      <c r="L373" t="n">
        <v>0</v>
      </c>
      <c r="M373" t="n">
        <v>0</v>
      </c>
      <c r="N373" t="n">
        <v>0</v>
      </c>
      <c r="O373" t="n">
        <v>1</v>
      </c>
      <c r="P373" t="n">
        <v>0</v>
      </c>
      <c r="Q373" t="n">
        <v>1</v>
      </c>
      <c r="R373" s="2" t="inlineStr">
        <is>
          <t>Kortskaftad ärgspik</t>
        </is>
      </c>
      <c r="S373">
        <f>HYPERLINK("https://klasma.github.io/Logging_OVERKALIX/artfynd/A 15137-2022.xlsx", "A 15137-2022")</f>
        <v/>
      </c>
      <c r="T373">
        <f>HYPERLINK("https://klasma.github.io/Logging_OVERKALIX/kartor/A 15137-2022.png", "A 15137-2022")</f>
        <v/>
      </c>
      <c r="V373">
        <f>HYPERLINK("https://klasma.github.io/Logging_OVERKALIX/klagomål/A 15137-2022.docx", "A 15137-2022")</f>
        <v/>
      </c>
      <c r="W373">
        <f>HYPERLINK("https://klasma.github.io/Logging_OVERKALIX/klagomålsmail/A 15137-2022.docx", "A 15137-2022")</f>
        <v/>
      </c>
      <c r="X373">
        <f>HYPERLINK("https://klasma.github.io/Logging_OVERKALIX/tillsyn/A 15137-2022.docx", "A 15137-2022")</f>
        <v/>
      </c>
      <c r="Y373">
        <f>HYPERLINK("https://klasma.github.io/Logging_OVERKALIX/tillsynsmail/A 15137-2022.docx", "A 15137-2022")</f>
        <v/>
      </c>
    </row>
    <row r="374" ht="15" customHeight="1">
      <c r="A374" t="inlineStr">
        <is>
          <t>A 16470-2022</t>
        </is>
      </c>
      <c r="B374" s="1" t="n">
        <v>44671</v>
      </c>
      <c r="C374" s="1" t="n">
        <v>45206</v>
      </c>
      <c r="D374" t="inlineStr">
        <is>
          <t>NORRBOTTENS LÄN</t>
        </is>
      </c>
      <c r="E374" t="inlineStr">
        <is>
          <t>ÄLVSBYN</t>
        </is>
      </c>
      <c r="F374" t="inlineStr">
        <is>
          <t>Sveaskog</t>
        </is>
      </c>
      <c r="G374" t="n">
        <v>6.6</v>
      </c>
      <c r="H374" t="n">
        <v>0</v>
      </c>
      <c r="I374" t="n">
        <v>0</v>
      </c>
      <c r="J374" t="n">
        <v>1</v>
      </c>
      <c r="K374" t="n">
        <v>0</v>
      </c>
      <c r="L374" t="n">
        <v>0</v>
      </c>
      <c r="M374" t="n">
        <v>0</v>
      </c>
      <c r="N374" t="n">
        <v>0</v>
      </c>
      <c r="O374" t="n">
        <v>1</v>
      </c>
      <c r="P374" t="n">
        <v>0</v>
      </c>
      <c r="Q374" t="n">
        <v>1</v>
      </c>
      <c r="R374" s="2" t="inlineStr">
        <is>
          <t>Tallticka</t>
        </is>
      </c>
      <c r="S374">
        <f>HYPERLINK("https://klasma.github.io/Logging_ALVSBYN/artfynd/A 16470-2022.xlsx", "A 16470-2022")</f>
        <v/>
      </c>
      <c r="T374">
        <f>HYPERLINK("https://klasma.github.io/Logging_ALVSBYN/kartor/A 16470-2022.png", "A 16470-2022")</f>
        <v/>
      </c>
      <c r="V374">
        <f>HYPERLINK("https://klasma.github.io/Logging_ALVSBYN/klagomål/A 16470-2022.docx", "A 16470-2022")</f>
        <v/>
      </c>
      <c r="W374">
        <f>HYPERLINK("https://klasma.github.io/Logging_ALVSBYN/klagomålsmail/A 16470-2022.docx", "A 16470-2022")</f>
        <v/>
      </c>
      <c r="X374">
        <f>HYPERLINK("https://klasma.github.io/Logging_ALVSBYN/tillsyn/A 16470-2022.docx", "A 16470-2022")</f>
        <v/>
      </c>
      <c r="Y374">
        <f>HYPERLINK("https://klasma.github.io/Logging_ALVSBYN/tillsynsmail/A 16470-2022.docx", "A 16470-2022")</f>
        <v/>
      </c>
    </row>
    <row r="375" ht="15" customHeight="1">
      <c r="A375" t="inlineStr">
        <is>
          <t>A 19396-2022</t>
        </is>
      </c>
      <c r="B375" s="1" t="n">
        <v>44692</v>
      </c>
      <c r="C375" s="1" t="n">
        <v>45206</v>
      </c>
      <c r="D375" t="inlineStr">
        <is>
          <t>NORRBOTTENS LÄN</t>
        </is>
      </c>
      <c r="E375" t="inlineStr">
        <is>
          <t>BODEN</t>
        </is>
      </c>
      <c r="F375" t="inlineStr">
        <is>
          <t>SCA</t>
        </is>
      </c>
      <c r="G375" t="n">
        <v>13.1</v>
      </c>
      <c r="H375" t="n">
        <v>0</v>
      </c>
      <c r="I375" t="n">
        <v>0</v>
      </c>
      <c r="J375" t="n">
        <v>1</v>
      </c>
      <c r="K375" t="n">
        <v>0</v>
      </c>
      <c r="L375" t="n">
        <v>0</v>
      </c>
      <c r="M375" t="n">
        <v>0</v>
      </c>
      <c r="N375" t="n">
        <v>0</v>
      </c>
      <c r="O375" t="n">
        <v>1</v>
      </c>
      <c r="P375" t="n">
        <v>0</v>
      </c>
      <c r="Q375" t="n">
        <v>1</v>
      </c>
      <c r="R375" s="2" t="inlineStr">
        <is>
          <t>Tallticka</t>
        </is>
      </c>
      <c r="S375">
        <f>HYPERLINK("https://klasma.github.io/Logging_BODEN/artfynd/A 19396-2022.xlsx", "A 19396-2022")</f>
        <v/>
      </c>
      <c r="T375">
        <f>HYPERLINK("https://klasma.github.io/Logging_BODEN/kartor/A 19396-2022.png", "A 19396-2022")</f>
        <v/>
      </c>
      <c r="V375">
        <f>HYPERLINK("https://klasma.github.io/Logging_BODEN/klagomål/A 19396-2022.docx", "A 19396-2022")</f>
        <v/>
      </c>
      <c r="W375">
        <f>HYPERLINK("https://klasma.github.io/Logging_BODEN/klagomålsmail/A 19396-2022.docx", "A 19396-2022")</f>
        <v/>
      </c>
      <c r="X375">
        <f>HYPERLINK("https://klasma.github.io/Logging_BODEN/tillsyn/A 19396-2022.docx", "A 19396-2022")</f>
        <v/>
      </c>
      <c r="Y375">
        <f>HYPERLINK("https://klasma.github.io/Logging_BODEN/tillsynsmail/A 19396-2022.docx", "A 19396-2022")</f>
        <v/>
      </c>
    </row>
    <row r="376" ht="15" customHeight="1">
      <c r="A376" t="inlineStr">
        <is>
          <t>A 24589-2022</t>
        </is>
      </c>
      <c r="B376" s="1" t="n">
        <v>44727</v>
      </c>
      <c r="C376" s="1" t="n">
        <v>45206</v>
      </c>
      <c r="D376" t="inlineStr">
        <is>
          <t>NORRBOTTENS LÄN</t>
        </is>
      </c>
      <c r="E376" t="inlineStr">
        <is>
          <t>PITEÅ</t>
        </is>
      </c>
      <c r="G376" t="n">
        <v>1.7</v>
      </c>
      <c r="H376" t="n">
        <v>1</v>
      </c>
      <c r="I376" t="n">
        <v>0</v>
      </c>
      <c r="J376" t="n">
        <v>1</v>
      </c>
      <c r="K376" t="n">
        <v>0</v>
      </c>
      <c r="L376" t="n">
        <v>0</v>
      </c>
      <c r="M376" t="n">
        <v>0</v>
      </c>
      <c r="N376" t="n">
        <v>0</v>
      </c>
      <c r="O376" t="n">
        <v>1</v>
      </c>
      <c r="P376" t="n">
        <v>0</v>
      </c>
      <c r="Q376" t="n">
        <v>1</v>
      </c>
      <c r="R376" s="2" t="inlineStr">
        <is>
          <t>Rosenfink</t>
        </is>
      </c>
      <c r="S376">
        <f>HYPERLINK("https://klasma.github.io/Logging_PITEA/artfynd/A 24589-2022.xlsx", "A 24589-2022")</f>
        <v/>
      </c>
      <c r="T376">
        <f>HYPERLINK("https://klasma.github.io/Logging_PITEA/kartor/A 24589-2022.png", "A 24589-2022")</f>
        <v/>
      </c>
      <c r="V376">
        <f>HYPERLINK("https://klasma.github.io/Logging_PITEA/klagomål/A 24589-2022.docx", "A 24589-2022")</f>
        <v/>
      </c>
      <c r="W376">
        <f>HYPERLINK("https://klasma.github.io/Logging_PITEA/klagomålsmail/A 24589-2022.docx", "A 24589-2022")</f>
        <v/>
      </c>
      <c r="X376">
        <f>HYPERLINK("https://klasma.github.io/Logging_PITEA/tillsyn/A 24589-2022.docx", "A 24589-2022")</f>
        <v/>
      </c>
      <c r="Y376">
        <f>HYPERLINK("https://klasma.github.io/Logging_PITEA/tillsynsmail/A 24589-2022.docx", "A 24589-2022")</f>
        <v/>
      </c>
    </row>
    <row r="377" ht="15" customHeight="1">
      <c r="A377" t="inlineStr">
        <is>
          <t>A 25651-2022</t>
        </is>
      </c>
      <c r="B377" s="1" t="n">
        <v>44732</v>
      </c>
      <c r="C377" s="1" t="n">
        <v>45206</v>
      </c>
      <c r="D377" t="inlineStr">
        <is>
          <t>NORRBOTTENS LÄN</t>
        </is>
      </c>
      <c r="E377" t="inlineStr">
        <is>
          <t>ÖVERKALIX</t>
        </is>
      </c>
      <c r="F377" t="inlineStr">
        <is>
          <t>SCA</t>
        </is>
      </c>
      <c r="G377" t="n">
        <v>1.6</v>
      </c>
      <c r="H377" t="n">
        <v>0</v>
      </c>
      <c r="I377" t="n">
        <v>0</v>
      </c>
      <c r="J377" t="n">
        <v>1</v>
      </c>
      <c r="K377" t="n">
        <v>0</v>
      </c>
      <c r="L377" t="n">
        <v>0</v>
      </c>
      <c r="M377" t="n">
        <v>0</v>
      </c>
      <c r="N377" t="n">
        <v>0</v>
      </c>
      <c r="O377" t="n">
        <v>1</v>
      </c>
      <c r="P377" t="n">
        <v>0</v>
      </c>
      <c r="Q377" t="n">
        <v>1</v>
      </c>
      <c r="R377" s="2" t="inlineStr">
        <is>
          <t>Ullticka</t>
        </is>
      </c>
      <c r="S377">
        <f>HYPERLINK("https://klasma.github.io/Logging_OVERKALIX/artfynd/A 25651-2022.xlsx", "A 25651-2022")</f>
        <v/>
      </c>
      <c r="T377">
        <f>HYPERLINK("https://klasma.github.io/Logging_OVERKALIX/kartor/A 25651-2022.png", "A 25651-2022")</f>
        <v/>
      </c>
      <c r="V377">
        <f>HYPERLINK("https://klasma.github.io/Logging_OVERKALIX/klagomål/A 25651-2022.docx", "A 25651-2022")</f>
        <v/>
      </c>
      <c r="W377">
        <f>HYPERLINK("https://klasma.github.io/Logging_OVERKALIX/klagomålsmail/A 25651-2022.docx", "A 25651-2022")</f>
        <v/>
      </c>
      <c r="X377">
        <f>HYPERLINK("https://klasma.github.io/Logging_OVERKALIX/tillsyn/A 25651-2022.docx", "A 25651-2022")</f>
        <v/>
      </c>
      <c r="Y377">
        <f>HYPERLINK("https://klasma.github.io/Logging_OVERKALIX/tillsynsmail/A 25651-2022.docx", "A 25651-2022")</f>
        <v/>
      </c>
    </row>
    <row r="378" ht="15" customHeight="1">
      <c r="A378" t="inlineStr">
        <is>
          <t>A 25729-2022</t>
        </is>
      </c>
      <c r="B378" s="1" t="n">
        <v>44733</v>
      </c>
      <c r="C378" s="1" t="n">
        <v>45206</v>
      </c>
      <c r="D378" t="inlineStr">
        <is>
          <t>NORRBOTTENS LÄN</t>
        </is>
      </c>
      <c r="E378" t="inlineStr">
        <is>
          <t>LULEÅ</t>
        </is>
      </c>
      <c r="G378" t="n">
        <v>3.5</v>
      </c>
      <c r="H378" t="n">
        <v>0</v>
      </c>
      <c r="I378" t="n">
        <v>0</v>
      </c>
      <c r="J378" t="n">
        <v>0</v>
      </c>
      <c r="K378" t="n">
        <v>1</v>
      </c>
      <c r="L378" t="n">
        <v>0</v>
      </c>
      <c r="M378" t="n">
        <v>0</v>
      </c>
      <c r="N378" t="n">
        <v>0</v>
      </c>
      <c r="O378" t="n">
        <v>1</v>
      </c>
      <c r="P378" t="n">
        <v>1</v>
      </c>
      <c r="Q378" t="n">
        <v>1</v>
      </c>
      <c r="R378" s="2" t="inlineStr">
        <is>
          <t>Ostticka</t>
        </is>
      </c>
      <c r="S378">
        <f>HYPERLINK("https://klasma.github.io/Logging_LULEA/artfynd/A 25729-2022.xlsx", "A 25729-2022")</f>
        <v/>
      </c>
      <c r="T378">
        <f>HYPERLINK("https://klasma.github.io/Logging_LULEA/kartor/A 25729-2022.png", "A 25729-2022")</f>
        <v/>
      </c>
      <c r="V378">
        <f>HYPERLINK("https://klasma.github.io/Logging_LULEA/klagomål/A 25729-2022.docx", "A 25729-2022")</f>
        <v/>
      </c>
      <c r="W378">
        <f>HYPERLINK("https://klasma.github.io/Logging_LULEA/klagomålsmail/A 25729-2022.docx", "A 25729-2022")</f>
        <v/>
      </c>
      <c r="X378">
        <f>HYPERLINK("https://klasma.github.io/Logging_LULEA/tillsyn/A 25729-2022.docx", "A 25729-2022")</f>
        <v/>
      </c>
      <c r="Y378">
        <f>HYPERLINK("https://klasma.github.io/Logging_LULEA/tillsynsmail/A 25729-2022.docx", "A 25729-2022")</f>
        <v/>
      </c>
    </row>
    <row r="379" ht="15" customHeight="1">
      <c r="A379" t="inlineStr">
        <is>
          <t>A 28916-2022</t>
        </is>
      </c>
      <c r="B379" s="1" t="n">
        <v>44749</v>
      </c>
      <c r="C379" s="1" t="n">
        <v>45206</v>
      </c>
      <c r="D379" t="inlineStr">
        <is>
          <t>NORRBOTTENS LÄN</t>
        </is>
      </c>
      <c r="E379" t="inlineStr">
        <is>
          <t>ÄLVSBYN</t>
        </is>
      </c>
      <c r="F379" t="inlineStr">
        <is>
          <t>Sveaskog</t>
        </is>
      </c>
      <c r="G379" t="n">
        <v>2.2</v>
      </c>
      <c r="H379" t="n">
        <v>0</v>
      </c>
      <c r="I379" t="n">
        <v>0</v>
      </c>
      <c r="J379" t="n">
        <v>1</v>
      </c>
      <c r="K379" t="n">
        <v>0</v>
      </c>
      <c r="L379" t="n">
        <v>0</v>
      </c>
      <c r="M379" t="n">
        <v>0</v>
      </c>
      <c r="N379" t="n">
        <v>0</v>
      </c>
      <c r="O379" t="n">
        <v>1</v>
      </c>
      <c r="P379" t="n">
        <v>0</v>
      </c>
      <c r="Q379" t="n">
        <v>1</v>
      </c>
      <c r="R379" s="2" t="inlineStr">
        <is>
          <t>Lunglav</t>
        </is>
      </c>
      <c r="S379">
        <f>HYPERLINK("https://klasma.github.io/Logging_ALVSBYN/artfynd/A 28916-2022.xlsx", "A 28916-2022")</f>
        <v/>
      </c>
      <c r="T379">
        <f>HYPERLINK("https://klasma.github.io/Logging_ALVSBYN/kartor/A 28916-2022.png", "A 28916-2022")</f>
        <v/>
      </c>
      <c r="V379">
        <f>HYPERLINK("https://klasma.github.io/Logging_ALVSBYN/klagomål/A 28916-2022.docx", "A 28916-2022")</f>
        <v/>
      </c>
      <c r="W379">
        <f>HYPERLINK("https://klasma.github.io/Logging_ALVSBYN/klagomålsmail/A 28916-2022.docx", "A 28916-2022")</f>
        <v/>
      </c>
      <c r="X379">
        <f>HYPERLINK("https://klasma.github.io/Logging_ALVSBYN/tillsyn/A 28916-2022.docx", "A 28916-2022")</f>
        <v/>
      </c>
      <c r="Y379">
        <f>HYPERLINK("https://klasma.github.io/Logging_ALVSBYN/tillsynsmail/A 28916-2022.docx", "A 28916-2022")</f>
        <v/>
      </c>
    </row>
    <row r="380" ht="15" customHeight="1">
      <c r="A380" t="inlineStr">
        <is>
          <t>A 33029-2022</t>
        </is>
      </c>
      <c r="B380" s="1" t="n">
        <v>44785</v>
      </c>
      <c r="C380" s="1" t="n">
        <v>45206</v>
      </c>
      <c r="D380" t="inlineStr">
        <is>
          <t>NORRBOTTENS LÄN</t>
        </is>
      </c>
      <c r="E380" t="inlineStr">
        <is>
          <t>ÖVERTORNEÅ</t>
        </is>
      </c>
      <c r="G380" t="n">
        <v>10.3</v>
      </c>
      <c r="H380" t="n">
        <v>1</v>
      </c>
      <c r="I380" t="n">
        <v>0</v>
      </c>
      <c r="J380" t="n">
        <v>0</v>
      </c>
      <c r="K380" t="n">
        <v>0</v>
      </c>
      <c r="L380" t="n">
        <v>0</v>
      </c>
      <c r="M380" t="n">
        <v>0</v>
      </c>
      <c r="N380" t="n">
        <v>0</v>
      </c>
      <c r="O380" t="n">
        <v>0</v>
      </c>
      <c r="P380" t="n">
        <v>0</v>
      </c>
      <c r="Q380" t="n">
        <v>1</v>
      </c>
      <c r="R380" s="2" t="inlineStr">
        <is>
          <t>Fläcknycklar</t>
        </is>
      </c>
      <c r="S380">
        <f>HYPERLINK("https://klasma.github.io/Logging_OVERTORNEA/artfynd/A 33029-2022.xlsx", "A 33029-2022")</f>
        <v/>
      </c>
      <c r="T380">
        <f>HYPERLINK("https://klasma.github.io/Logging_OVERTORNEA/kartor/A 33029-2022.png", "A 33029-2022")</f>
        <v/>
      </c>
      <c r="V380">
        <f>HYPERLINK("https://klasma.github.io/Logging_OVERTORNEA/klagomål/A 33029-2022.docx", "A 33029-2022")</f>
        <v/>
      </c>
      <c r="W380">
        <f>HYPERLINK("https://klasma.github.io/Logging_OVERTORNEA/klagomålsmail/A 33029-2022.docx", "A 33029-2022")</f>
        <v/>
      </c>
      <c r="X380">
        <f>HYPERLINK("https://klasma.github.io/Logging_OVERTORNEA/tillsyn/A 33029-2022.docx", "A 33029-2022")</f>
        <v/>
      </c>
      <c r="Y380">
        <f>HYPERLINK("https://klasma.github.io/Logging_OVERTORNEA/tillsynsmail/A 33029-2022.docx", "A 33029-2022")</f>
        <v/>
      </c>
    </row>
    <row r="381" ht="15" customHeight="1">
      <c r="A381" t="inlineStr">
        <is>
          <t>A 34022-2022</t>
        </is>
      </c>
      <c r="B381" s="1" t="n">
        <v>44791</v>
      </c>
      <c r="C381" s="1" t="n">
        <v>45206</v>
      </c>
      <c r="D381" t="inlineStr">
        <is>
          <t>NORRBOTTENS LÄN</t>
        </is>
      </c>
      <c r="E381" t="inlineStr">
        <is>
          <t>ÄLVSBYN</t>
        </is>
      </c>
      <c r="F381" t="inlineStr">
        <is>
          <t>Sveaskog</t>
        </is>
      </c>
      <c r="G381" t="n">
        <v>1.6</v>
      </c>
      <c r="H381" t="n">
        <v>0</v>
      </c>
      <c r="I381" t="n">
        <v>0</v>
      </c>
      <c r="J381" t="n">
        <v>1</v>
      </c>
      <c r="K381" t="n">
        <v>0</v>
      </c>
      <c r="L381" t="n">
        <v>0</v>
      </c>
      <c r="M381" t="n">
        <v>0</v>
      </c>
      <c r="N381" t="n">
        <v>0</v>
      </c>
      <c r="O381" t="n">
        <v>1</v>
      </c>
      <c r="P381" t="n">
        <v>0</v>
      </c>
      <c r="Q381" t="n">
        <v>1</v>
      </c>
      <c r="R381" s="2" t="inlineStr">
        <is>
          <t>Lunglav</t>
        </is>
      </c>
      <c r="S381">
        <f>HYPERLINK("https://klasma.github.io/Logging_ALVSBYN/artfynd/A 34022-2022.xlsx", "A 34022-2022")</f>
        <v/>
      </c>
      <c r="T381">
        <f>HYPERLINK("https://klasma.github.io/Logging_ALVSBYN/kartor/A 34022-2022.png", "A 34022-2022")</f>
        <v/>
      </c>
      <c r="V381">
        <f>HYPERLINK("https://klasma.github.io/Logging_ALVSBYN/klagomål/A 34022-2022.docx", "A 34022-2022")</f>
        <v/>
      </c>
      <c r="W381">
        <f>HYPERLINK("https://klasma.github.io/Logging_ALVSBYN/klagomålsmail/A 34022-2022.docx", "A 34022-2022")</f>
        <v/>
      </c>
      <c r="X381">
        <f>HYPERLINK("https://klasma.github.io/Logging_ALVSBYN/tillsyn/A 34022-2022.docx", "A 34022-2022")</f>
        <v/>
      </c>
      <c r="Y381">
        <f>HYPERLINK("https://klasma.github.io/Logging_ALVSBYN/tillsynsmail/A 34022-2022.docx", "A 34022-2022")</f>
        <v/>
      </c>
    </row>
    <row r="382" ht="15" customHeight="1">
      <c r="A382" t="inlineStr">
        <is>
          <t>A 35547-2022</t>
        </is>
      </c>
      <c r="B382" s="1" t="n">
        <v>44799</v>
      </c>
      <c r="C382" s="1" t="n">
        <v>45206</v>
      </c>
      <c r="D382" t="inlineStr">
        <is>
          <t>NORRBOTTENS LÄN</t>
        </is>
      </c>
      <c r="E382" t="inlineStr">
        <is>
          <t>KALIX</t>
        </is>
      </c>
      <c r="F382" t="inlineStr">
        <is>
          <t>Sveaskog</t>
        </is>
      </c>
      <c r="G382" t="n">
        <v>1.7</v>
      </c>
      <c r="H382" t="n">
        <v>0</v>
      </c>
      <c r="I382" t="n">
        <v>0</v>
      </c>
      <c r="J382" t="n">
        <v>1</v>
      </c>
      <c r="K382" t="n">
        <v>0</v>
      </c>
      <c r="L382" t="n">
        <v>0</v>
      </c>
      <c r="M382" t="n">
        <v>0</v>
      </c>
      <c r="N382" t="n">
        <v>0</v>
      </c>
      <c r="O382" t="n">
        <v>1</v>
      </c>
      <c r="P382" t="n">
        <v>0</v>
      </c>
      <c r="Q382" t="n">
        <v>1</v>
      </c>
      <c r="R382" s="2" t="inlineStr">
        <is>
          <t>Tallticka</t>
        </is>
      </c>
      <c r="S382">
        <f>HYPERLINK("https://klasma.github.io/Logging_KALIX/artfynd/A 35547-2022.xlsx", "A 35547-2022")</f>
        <v/>
      </c>
      <c r="T382">
        <f>HYPERLINK("https://klasma.github.io/Logging_KALIX/kartor/A 35547-2022.png", "A 35547-2022")</f>
        <v/>
      </c>
      <c r="V382">
        <f>HYPERLINK("https://klasma.github.io/Logging_KALIX/klagomål/A 35547-2022.docx", "A 35547-2022")</f>
        <v/>
      </c>
      <c r="W382">
        <f>HYPERLINK("https://klasma.github.io/Logging_KALIX/klagomålsmail/A 35547-2022.docx", "A 35547-2022")</f>
        <v/>
      </c>
      <c r="X382">
        <f>HYPERLINK("https://klasma.github.io/Logging_KALIX/tillsyn/A 35547-2022.docx", "A 35547-2022")</f>
        <v/>
      </c>
      <c r="Y382">
        <f>HYPERLINK("https://klasma.github.io/Logging_KALIX/tillsynsmail/A 35547-2022.docx", "A 35547-2022")</f>
        <v/>
      </c>
    </row>
    <row r="383" ht="15" customHeight="1">
      <c r="A383" t="inlineStr">
        <is>
          <t>A 40121-2022</t>
        </is>
      </c>
      <c r="B383" s="1" t="n">
        <v>44820</v>
      </c>
      <c r="C383" s="1" t="n">
        <v>45206</v>
      </c>
      <c r="D383" t="inlineStr">
        <is>
          <t>NORRBOTTENS LÄN</t>
        </is>
      </c>
      <c r="E383" t="inlineStr">
        <is>
          <t>JOKKMOKK</t>
        </is>
      </c>
      <c r="F383" t="inlineStr">
        <is>
          <t>Sveaskog</t>
        </is>
      </c>
      <c r="G383" t="n">
        <v>20.1</v>
      </c>
      <c r="H383" t="n">
        <v>0</v>
      </c>
      <c r="I383" t="n">
        <v>0</v>
      </c>
      <c r="J383" t="n">
        <v>1</v>
      </c>
      <c r="K383" t="n">
        <v>0</v>
      </c>
      <c r="L383" t="n">
        <v>0</v>
      </c>
      <c r="M383" t="n">
        <v>0</v>
      </c>
      <c r="N383" t="n">
        <v>0</v>
      </c>
      <c r="O383" t="n">
        <v>1</v>
      </c>
      <c r="P383" t="n">
        <v>0</v>
      </c>
      <c r="Q383" t="n">
        <v>1</v>
      </c>
      <c r="R383" s="2" t="inlineStr">
        <is>
          <t>Kolflarnlav</t>
        </is>
      </c>
      <c r="S383">
        <f>HYPERLINK("https://klasma.github.io/Logging_JOKKMOKK/artfynd/A 40121-2022.xlsx", "A 40121-2022")</f>
        <v/>
      </c>
      <c r="T383">
        <f>HYPERLINK("https://klasma.github.io/Logging_JOKKMOKK/kartor/A 40121-2022.png", "A 40121-2022")</f>
        <v/>
      </c>
      <c r="V383">
        <f>HYPERLINK("https://klasma.github.io/Logging_JOKKMOKK/klagomål/A 40121-2022.docx", "A 40121-2022")</f>
        <v/>
      </c>
      <c r="W383">
        <f>HYPERLINK("https://klasma.github.io/Logging_JOKKMOKK/klagomålsmail/A 40121-2022.docx", "A 40121-2022")</f>
        <v/>
      </c>
      <c r="X383">
        <f>HYPERLINK("https://klasma.github.io/Logging_JOKKMOKK/tillsyn/A 40121-2022.docx", "A 40121-2022")</f>
        <v/>
      </c>
      <c r="Y383">
        <f>HYPERLINK("https://klasma.github.io/Logging_JOKKMOKK/tillsynsmail/A 40121-2022.docx", "A 40121-2022")</f>
        <v/>
      </c>
    </row>
    <row r="384" ht="15" customHeight="1">
      <c r="A384" t="inlineStr">
        <is>
          <t>A 42556-2022</t>
        </is>
      </c>
      <c r="B384" s="1" t="n">
        <v>44831</v>
      </c>
      <c r="C384" s="1" t="n">
        <v>45206</v>
      </c>
      <c r="D384" t="inlineStr">
        <is>
          <t>NORRBOTTENS LÄN</t>
        </is>
      </c>
      <c r="E384" t="inlineStr">
        <is>
          <t>ARVIDSJAUR</t>
        </is>
      </c>
      <c r="F384" t="inlineStr">
        <is>
          <t>Sveaskog</t>
        </is>
      </c>
      <c r="G384" t="n">
        <v>14.6</v>
      </c>
      <c r="H384" t="n">
        <v>0</v>
      </c>
      <c r="I384" t="n">
        <v>0</v>
      </c>
      <c r="J384" t="n">
        <v>1</v>
      </c>
      <c r="K384" t="n">
        <v>0</v>
      </c>
      <c r="L384" t="n">
        <v>0</v>
      </c>
      <c r="M384" t="n">
        <v>0</v>
      </c>
      <c r="N384" t="n">
        <v>0</v>
      </c>
      <c r="O384" t="n">
        <v>1</v>
      </c>
      <c r="P384" t="n">
        <v>0</v>
      </c>
      <c r="Q384" t="n">
        <v>1</v>
      </c>
      <c r="R384" s="2" t="inlineStr">
        <is>
          <t>Motaggsvamp</t>
        </is>
      </c>
      <c r="S384">
        <f>HYPERLINK("https://klasma.github.io/Logging_ARVIDSJAUR/artfynd/A 42556-2022.xlsx", "A 42556-2022")</f>
        <v/>
      </c>
      <c r="T384">
        <f>HYPERLINK("https://klasma.github.io/Logging_ARVIDSJAUR/kartor/A 42556-2022.png", "A 42556-2022")</f>
        <v/>
      </c>
      <c r="V384">
        <f>HYPERLINK("https://klasma.github.io/Logging_ARVIDSJAUR/klagomål/A 42556-2022.docx", "A 42556-2022")</f>
        <v/>
      </c>
      <c r="W384">
        <f>HYPERLINK("https://klasma.github.io/Logging_ARVIDSJAUR/klagomålsmail/A 42556-2022.docx", "A 42556-2022")</f>
        <v/>
      </c>
      <c r="X384">
        <f>HYPERLINK("https://klasma.github.io/Logging_ARVIDSJAUR/tillsyn/A 42556-2022.docx", "A 42556-2022")</f>
        <v/>
      </c>
      <c r="Y384">
        <f>HYPERLINK("https://klasma.github.io/Logging_ARVIDSJAUR/tillsynsmail/A 42556-2022.docx", "A 42556-2022")</f>
        <v/>
      </c>
    </row>
    <row r="385" ht="15" customHeight="1">
      <c r="A385" t="inlineStr">
        <is>
          <t>A 44649-2022</t>
        </is>
      </c>
      <c r="B385" s="1" t="n">
        <v>44840</v>
      </c>
      <c r="C385" s="1" t="n">
        <v>45206</v>
      </c>
      <c r="D385" t="inlineStr">
        <is>
          <t>NORRBOTTENS LÄN</t>
        </is>
      </c>
      <c r="E385" t="inlineStr">
        <is>
          <t>PITEÅ</t>
        </is>
      </c>
      <c r="F385" t="inlineStr">
        <is>
          <t>Sveaskog</t>
        </is>
      </c>
      <c r="G385" t="n">
        <v>8.800000000000001</v>
      </c>
      <c r="H385" t="n">
        <v>0</v>
      </c>
      <c r="I385" t="n">
        <v>1</v>
      </c>
      <c r="J385" t="n">
        <v>0</v>
      </c>
      <c r="K385" t="n">
        <v>0</v>
      </c>
      <c r="L385" t="n">
        <v>0</v>
      </c>
      <c r="M385" t="n">
        <v>0</v>
      </c>
      <c r="N385" t="n">
        <v>0</v>
      </c>
      <c r="O385" t="n">
        <v>0</v>
      </c>
      <c r="P385" t="n">
        <v>0</v>
      </c>
      <c r="Q385" t="n">
        <v>1</v>
      </c>
      <c r="R385" s="2" t="inlineStr">
        <is>
          <t>Skarp dropptaggsvamp</t>
        </is>
      </c>
      <c r="S385">
        <f>HYPERLINK("https://klasma.github.io/Logging_PITEA/artfynd/A 44649-2022.xlsx", "A 44649-2022")</f>
        <v/>
      </c>
      <c r="T385">
        <f>HYPERLINK("https://klasma.github.io/Logging_PITEA/kartor/A 44649-2022.png", "A 44649-2022")</f>
        <v/>
      </c>
      <c r="V385">
        <f>HYPERLINK("https://klasma.github.io/Logging_PITEA/klagomål/A 44649-2022.docx", "A 44649-2022")</f>
        <v/>
      </c>
      <c r="W385">
        <f>HYPERLINK("https://klasma.github.io/Logging_PITEA/klagomålsmail/A 44649-2022.docx", "A 44649-2022")</f>
        <v/>
      </c>
      <c r="X385">
        <f>HYPERLINK("https://klasma.github.io/Logging_PITEA/tillsyn/A 44649-2022.docx", "A 44649-2022")</f>
        <v/>
      </c>
      <c r="Y385">
        <f>HYPERLINK("https://klasma.github.io/Logging_PITEA/tillsynsmail/A 44649-2022.docx", "A 44649-2022")</f>
        <v/>
      </c>
    </row>
    <row r="386" ht="15" customHeight="1">
      <c r="A386" t="inlineStr">
        <is>
          <t>A 44768-2022</t>
        </is>
      </c>
      <c r="B386" s="1" t="n">
        <v>44840</v>
      </c>
      <c r="C386" s="1" t="n">
        <v>45206</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HYPERLINK("https://klasma.github.io/Logging_BODEN/artfynd/A 44768-2022.xlsx", "A 44768-2022")</f>
        <v/>
      </c>
      <c r="T386">
        <f>HYPERLINK("https://klasma.github.io/Logging_BODEN/kartor/A 44768-2022.png", "A 44768-2022")</f>
        <v/>
      </c>
      <c r="V386">
        <f>HYPERLINK("https://klasma.github.io/Logging_BODEN/klagomål/A 44768-2022.docx", "A 44768-2022")</f>
        <v/>
      </c>
      <c r="W386">
        <f>HYPERLINK("https://klasma.github.io/Logging_BODEN/klagomålsmail/A 44768-2022.docx", "A 44768-2022")</f>
        <v/>
      </c>
      <c r="X386">
        <f>HYPERLINK("https://klasma.github.io/Logging_BODEN/tillsyn/A 44768-2022.docx", "A 44768-2022")</f>
        <v/>
      </c>
      <c r="Y386">
        <f>HYPERLINK("https://klasma.github.io/Logging_BODEN/tillsynsmail/A 44768-2022.docx", "A 44768-2022")</f>
        <v/>
      </c>
    </row>
    <row r="387" ht="15" customHeight="1">
      <c r="A387" t="inlineStr">
        <is>
          <t>A 45324-2022</t>
        </is>
      </c>
      <c r="B387" s="1" t="n">
        <v>44841</v>
      </c>
      <c r="C387" s="1" t="n">
        <v>45206</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HYPERLINK("https://klasma.github.io/Logging_ARJEPLOG/artfynd/A 45324-2022.xlsx", "A 45324-2022")</f>
        <v/>
      </c>
      <c r="T387">
        <f>HYPERLINK("https://klasma.github.io/Logging_ARJEPLOG/kartor/A 45324-2022.png", "A 45324-2022")</f>
        <v/>
      </c>
      <c r="V387">
        <f>HYPERLINK("https://klasma.github.io/Logging_ARJEPLOG/klagomål/A 45324-2022.docx", "A 45324-2022")</f>
        <v/>
      </c>
      <c r="W387">
        <f>HYPERLINK("https://klasma.github.io/Logging_ARJEPLOG/klagomålsmail/A 45324-2022.docx", "A 45324-2022")</f>
        <v/>
      </c>
      <c r="X387">
        <f>HYPERLINK("https://klasma.github.io/Logging_ARJEPLOG/tillsyn/A 45324-2022.docx", "A 45324-2022")</f>
        <v/>
      </c>
      <c r="Y387">
        <f>HYPERLINK("https://klasma.github.io/Logging_ARJEPLOG/tillsynsmail/A 45324-2022.docx", "A 45324-2022")</f>
        <v/>
      </c>
    </row>
    <row r="388" ht="15" customHeight="1">
      <c r="A388" t="inlineStr">
        <is>
          <t>A 45810-2022</t>
        </is>
      </c>
      <c r="B388" s="1" t="n">
        <v>44844</v>
      </c>
      <c r="C388" s="1" t="n">
        <v>45206</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HYPERLINK("https://klasma.github.io/Logging_KIRUNA/artfynd/A 45810-2022.xlsx", "A 45810-2022")</f>
        <v/>
      </c>
      <c r="T388">
        <f>HYPERLINK("https://klasma.github.io/Logging_KIRUNA/kartor/A 45810-2022.png", "A 45810-2022")</f>
        <v/>
      </c>
      <c r="V388">
        <f>HYPERLINK("https://klasma.github.io/Logging_KIRUNA/klagomål/A 45810-2022.docx", "A 45810-2022")</f>
        <v/>
      </c>
      <c r="W388">
        <f>HYPERLINK("https://klasma.github.io/Logging_KIRUNA/klagomålsmail/A 45810-2022.docx", "A 45810-2022")</f>
        <v/>
      </c>
      <c r="X388">
        <f>HYPERLINK("https://klasma.github.io/Logging_KIRUNA/tillsyn/A 45810-2022.docx", "A 45810-2022")</f>
        <v/>
      </c>
      <c r="Y388">
        <f>HYPERLINK("https://klasma.github.io/Logging_KIRUNA/tillsynsmail/A 45810-2022.docx", "A 45810-2022")</f>
        <v/>
      </c>
    </row>
    <row r="389" ht="15" customHeight="1">
      <c r="A389" t="inlineStr">
        <is>
          <t>A 47700-2022</t>
        </is>
      </c>
      <c r="B389" s="1" t="n">
        <v>44854</v>
      </c>
      <c r="C389" s="1" t="n">
        <v>45206</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HYPERLINK("https://klasma.github.io/Logging_PAJALA/artfynd/A 47700-2022.xlsx", "A 47700-2022")</f>
        <v/>
      </c>
      <c r="T389">
        <f>HYPERLINK("https://klasma.github.io/Logging_PAJALA/kartor/A 47700-2022.png", "A 47700-2022")</f>
        <v/>
      </c>
      <c r="V389">
        <f>HYPERLINK("https://klasma.github.io/Logging_PAJALA/klagomål/A 47700-2022.docx", "A 47700-2022")</f>
        <v/>
      </c>
      <c r="W389">
        <f>HYPERLINK("https://klasma.github.io/Logging_PAJALA/klagomålsmail/A 47700-2022.docx", "A 47700-2022")</f>
        <v/>
      </c>
      <c r="X389">
        <f>HYPERLINK("https://klasma.github.io/Logging_PAJALA/tillsyn/A 47700-2022.docx", "A 47700-2022")</f>
        <v/>
      </c>
      <c r="Y389">
        <f>HYPERLINK("https://klasma.github.io/Logging_PAJALA/tillsynsmail/A 47700-2022.docx", "A 47700-2022")</f>
        <v/>
      </c>
    </row>
    <row r="390" ht="15" customHeight="1">
      <c r="A390" t="inlineStr">
        <is>
          <t>A 48598-2022</t>
        </is>
      </c>
      <c r="B390" s="1" t="n">
        <v>44859</v>
      </c>
      <c r="C390" s="1" t="n">
        <v>45206</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HYPERLINK("https://klasma.github.io/Logging_PITEA/artfynd/A 48598-2022.xlsx", "A 48598-2022")</f>
        <v/>
      </c>
      <c r="T390">
        <f>HYPERLINK("https://klasma.github.io/Logging_PITEA/kartor/A 48598-2022.png", "A 48598-2022")</f>
        <v/>
      </c>
      <c r="V390">
        <f>HYPERLINK("https://klasma.github.io/Logging_PITEA/klagomål/A 48598-2022.docx", "A 48598-2022")</f>
        <v/>
      </c>
      <c r="W390">
        <f>HYPERLINK("https://klasma.github.io/Logging_PITEA/klagomålsmail/A 48598-2022.docx", "A 48598-2022")</f>
        <v/>
      </c>
      <c r="X390">
        <f>HYPERLINK("https://klasma.github.io/Logging_PITEA/tillsyn/A 48598-2022.docx", "A 48598-2022")</f>
        <v/>
      </c>
      <c r="Y390">
        <f>HYPERLINK("https://klasma.github.io/Logging_PITEA/tillsynsmail/A 48598-2022.docx", "A 48598-2022")</f>
        <v/>
      </c>
    </row>
    <row r="391" ht="15" customHeight="1">
      <c r="A391" t="inlineStr">
        <is>
          <t>A 49052-2022</t>
        </is>
      </c>
      <c r="B391" s="1" t="n">
        <v>44860</v>
      </c>
      <c r="C391" s="1" t="n">
        <v>45206</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HYPERLINK("https://klasma.github.io/Logging_PITEA/artfynd/A 49052-2022.xlsx", "A 49052-2022")</f>
        <v/>
      </c>
      <c r="T391">
        <f>HYPERLINK("https://klasma.github.io/Logging_PITEA/kartor/A 49052-2022.png", "A 49052-2022")</f>
        <v/>
      </c>
      <c r="V391">
        <f>HYPERLINK("https://klasma.github.io/Logging_PITEA/klagomål/A 49052-2022.docx", "A 49052-2022")</f>
        <v/>
      </c>
      <c r="W391">
        <f>HYPERLINK("https://klasma.github.io/Logging_PITEA/klagomålsmail/A 49052-2022.docx", "A 49052-2022")</f>
        <v/>
      </c>
      <c r="X391">
        <f>HYPERLINK("https://klasma.github.io/Logging_PITEA/tillsyn/A 49052-2022.docx", "A 49052-2022")</f>
        <v/>
      </c>
      <c r="Y391">
        <f>HYPERLINK("https://klasma.github.io/Logging_PITEA/tillsynsmail/A 49052-2022.docx", "A 49052-2022")</f>
        <v/>
      </c>
    </row>
    <row r="392" ht="15" customHeight="1">
      <c r="A392" t="inlineStr">
        <is>
          <t>A 49140-2022</t>
        </is>
      </c>
      <c r="B392" s="1" t="n">
        <v>44860</v>
      </c>
      <c r="C392" s="1" t="n">
        <v>45206</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HYPERLINK("https://klasma.github.io/Logging_ARVIDSJAUR/artfynd/A 49140-2022.xlsx", "A 49140-2022")</f>
        <v/>
      </c>
      <c r="T392">
        <f>HYPERLINK("https://klasma.github.io/Logging_ARVIDSJAUR/kartor/A 49140-2022.png", "A 49140-2022")</f>
        <v/>
      </c>
      <c r="V392">
        <f>HYPERLINK("https://klasma.github.io/Logging_ARVIDSJAUR/klagomål/A 49140-2022.docx", "A 49140-2022")</f>
        <v/>
      </c>
      <c r="W392">
        <f>HYPERLINK("https://klasma.github.io/Logging_ARVIDSJAUR/klagomålsmail/A 49140-2022.docx", "A 49140-2022")</f>
        <v/>
      </c>
      <c r="X392">
        <f>HYPERLINK("https://klasma.github.io/Logging_ARVIDSJAUR/tillsyn/A 49140-2022.docx", "A 49140-2022")</f>
        <v/>
      </c>
      <c r="Y392">
        <f>HYPERLINK("https://klasma.github.io/Logging_ARVIDSJAUR/tillsynsmail/A 49140-2022.docx", "A 49140-2022")</f>
        <v/>
      </c>
    </row>
    <row r="393" ht="15" customHeight="1">
      <c r="A393" t="inlineStr">
        <is>
          <t>A 49188-2022</t>
        </is>
      </c>
      <c r="B393" s="1" t="n">
        <v>44860</v>
      </c>
      <c r="C393" s="1" t="n">
        <v>45206</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HYPERLINK("https://klasma.github.io/Logging_GALLIVARE/artfynd/A 49188-2022.xlsx", "A 49188-2022")</f>
        <v/>
      </c>
      <c r="T393">
        <f>HYPERLINK("https://klasma.github.io/Logging_GALLIVARE/kartor/A 49188-2022.png", "A 49188-2022")</f>
        <v/>
      </c>
      <c r="V393">
        <f>HYPERLINK("https://klasma.github.io/Logging_GALLIVARE/klagomål/A 49188-2022.docx", "A 49188-2022")</f>
        <v/>
      </c>
      <c r="W393">
        <f>HYPERLINK("https://klasma.github.io/Logging_GALLIVARE/klagomålsmail/A 49188-2022.docx", "A 49188-2022")</f>
        <v/>
      </c>
      <c r="X393">
        <f>HYPERLINK("https://klasma.github.io/Logging_GALLIVARE/tillsyn/A 49188-2022.docx", "A 49188-2022")</f>
        <v/>
      </c>
      <c r="Y393">
        <f>HYPERLINK("https://klasma.github.io/Logging_GALLIVARE/tillsynsmail/A 49188-2022.docx", "A 49188-2022")</f>
        <v/>
      </c>
    </row>
    <row r="394" ht="15" customHeight="1">
      <c r="A394" t="inlineStr">
        <is>
          <t>A 49756-2022</t>
        </is>
      </c>
      <c r="B394" s="1" t="n">
        <v>44862</v>
      </c>
      <c r="C394" s="1" t="n">
        <v>45206</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HYPERLINK("https://klasma.github.io/Logging_PAJALA/artfynd/A 49756-2022.xlsx", "A 49756-2022")</f>
        <v/>
      </c>
      <c r="T394">
        <f>HYPERLINK("https://klasma.github.io/Logging_PAJALA/kartor/A 49756-2022.png", "A 49756-2022")</f>
        <v/>
      </c>
      <c r="V394">
        <f>HYPERLINK("https://klasma.github.io/Logging_PAJALA/klagomål/A 49756-2022.docx", "A 49756-2022")</f>
        <v/>
      </c>
      <c r="W394">
        <f>HYPERLINK("https://klasma.github.io/Logging_PAJALA/klagomålsmail/A 49756-2022.docx", "A 49756-2022")</f>
        <v/>
      </c>
      <c r="X394">
        <f>HYPERLINK("https://klasma.github.io/Logging_PAJALA/tillsyn/A 49756-2022.docx", "A 49756-2022")</f>
        <v/>
      </c>
      <c r="Y394">
        <f>HYPERLINK("https://klasma.github.io/Logging_PAJALA/tillsynsmail/A 49756-2022.docx", "A 49756-2022")</f>
        <v/>
      </c>
    </row>
    <row r="395" ht="15" customHeight="1">
      <c r="A395" t="inlineStr">
        <is>
          <t>A 50237-2022</t>
        </is>
      </c>
      <c r="B395" s="1" t="n">
        <v>44865</v>
      </c>
      <c r="C395" s="1" t="n">
        <v>45206</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HYPERLINK("https://klasma.github.io/Logging_JOKKMOKK/artfynd/A 50237-2022.xlsx", "A 50237-2022")</f>
        <v/>
      </c>
      <c r="T395">
        <f>HYPERLINK("https://klasma.github.io/Logging_JOKKMOKK/kartor/A 50237-2022.png", "A 50237-2022")</f>
        <v/>
      </c>
      <c r="V395">
        <f>HYPERLINK("https://klasma.github.io/Logging_JOKKMOKK/klagomål/A 50237-2022.docx", "A 50237-2022")</f>
        <v/>
      </c>
      <c r="W395">
        <f>HYPERLINK("https://klasma.github.io/Logging_JOKKMOKK/klagomålsmail/A 50237-2022.docx", "A 50237-2022")</f>
        <v/>
      </c>
      <c r="X395">
        <f>HYPERLINK("https://klasma.github.io/Logging_JOKKMOKK/tillsyn/A 50237-2022.docx", "A 50237-2022")</f>
        <v/>
      </c>
      <c r="Y395">
        <f>HYPERLINK("https://klasma.github.io/Logging_JOKKMOKK/tillsynsmail/A 50237-2022.docx", "A 50237-2022")</f>
        <v/>
      </c>
    </row>
    <row r="396" ht="15" customHeight="1">
      <c r="A396" t="inlineStr">
        <is>
          <t>A 50949-2022</t>
        </is>
      </c>
      <c r="B396" s="1" t="n">
        <v>44867</v>
      </c>
      <c r="C396" s="1" t="n">
        <v>45206</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HYPERLINK("https://klasma.github.io/Logging_ARVIDSJAUR/artfynd/A 50949-2022.xlsx", "A 50949-2022")</f>
        <v/>
      </c>
      <c r="T396">
        <f>HYPERLINK("https://klasma.github.io/Logging_ARVIDSJAUR/kartor/A 50949-2022.png", "A 50949-2022")</f>
        <v/>
      </c>
      <c r="V396">
        <f>HYPERLINK("https://klasma.github.io/Logging_ARVIDSJAUR/klagomål/A 50949-2022.docx", "A 50949-2022")</f>
        <v/>
      </c>
      <c r="W396">
        <f>HYPERLINK("https://klasma.github.io/Logging_ARVIDSJAUR/klagomålsmail/A 50949-2022.docx", "A 50949-2022")</f>
        <v/>
      </c>
      <c r="X396">
        <f>HYPERLINK("https://klasma.github.io/Logging_ARVIDSJAUR/tillsyn/A 50949-2022.docx", "A 50949-2022")</f>
        <v/>
      </c>
      <c r="Y396">
        <f>HYPERLINK("https://klasma.github.io/Logging_ARVIDSJAUR/tillsynsmail/A 50949-2022.docx", "A 50949-2022")</f>
        <v/>
      </c>
    </row>
    <row r="397" ht="15" customHeight="1">
      <c r="A397" t="inlineStr">
        <is>
          <t>A 51389-2022</t>
        </is>
      </c>
      <c r="B397" s="1" t="n">
        <v>44869</v>
      </c>
      <c r="C397" s="1" t="n">
        <v>45206</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HYPERLINK("https://klasma.github.io/Logging_BODEN/artfynd/A 51389-2022.xlsx", "A 51389-2022")</f>
        <v/>
      </c>
      <c r="T397">
        <f>HYPERLINK("https://klasma.github.io/Logging_BODEN/kartor/A 51389-2022.png", "A 51389-2022")</f>
        <v/>
      </c>
      <c r="V397">
        <f>HYPERLINK("https://klasma.github.io/Logging_BODEN/klagomål/A 51389-2022.docx", "A 51389-2022")</f>
        <v/>
      </c>
      <c r="W397">
        <f>HYPERLINK("https://klasma.github.io/Logging_BODEN/klagomålsmail/A 51389-2022.docx", "A 51389-2022")</f>
        <v/>
      </c>
      <c r="X397">
        <f>HYPERLINK("https://klasma.github.io/Logging_BODEN/tillsyn/A 51389-2022.docx", "A 51389-2022")</f>
        <v/>
      </c>
      <c r="Y397">
        <f>HYPERLINK("https://klasma.github.io/Logging_BODEN/tillsynsmail/A 51389-2022.docx", "A 51389-2022")</f>
        <v/>
      </c>
    </row>
    <row r="398" ht="15" customHeight="1">
      <c r="A398" t="inlineStr">
        <is>
          <t>A 58717-2022</t>
        </is>
      </c>
      <c r="B398" s="1" t="n">
        <v>44902</v>
      </c>
      <c r="C398" s="1" t="n">
        <v>45206</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HYPERLINK("https://klasma.github.io/Logging_LULEA/artfynd/A 58717-2022.xlsx", "A 58717-2022")</f>
        <v/>
      </c>
      <c r="T398">
        <f>HYPERLINK("https://klasma.github.io/Logging_LULEA/kartor/A 58717-2022.png", "A 58717-2022")</f>
        <v/>
      </c>
      <c r="V398">
        <f>HYPERLINK("https://klasma.github.io/Logging_LULEA/klagomål/A 58717-2022.docx", "A 58717-2022")</f>
        <v/>
      </c>
      <c r="W398">
        <f>HYPERLINK("https://klasma.github.io/Logging_LULEA/klagomålsmail/A 58717-2022.docx", "A 58717-2022")</f>
        <v/>
      </c>
      <c r="X398">
        <f>HYPERLINK("https://klasma.github.io/Logging_LULEA/tillsyn/A 58717-2022.docx", "A 58717-2022")</f>
        <v/>
      </c>
      <c r="Y398">
        <f>HYPERLINK("https://klasma.github.io/Logging_LULEA/tillsynsmail/A 58717-2022.docx", "A 58717-2022")</f>
        <v/>
      </c>
    </row>
    <row r="399" ht="15" customHeight="1">
      <c r="A399" t="inlineStr">
        <is>
          <t>A 59362-2022</t>
        </is>
      </c>
      <c r="B399" s="1" t="n">
        <v>44904</v>
      </c>
      <c r="C399" s="1" t="n">
        <v>45206</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HYPERLINK("https://klasma.github.io/Logging_LULEA/artfynd/A 59362-2022.xlsx", "A 59362-2022")</f>
        <v/>
      </c>
      <c r="T399">
        <f>HYPERLINK("https://klasma.github.io/Logging_LULEA/kartor/A 59362-2022.png", "A 59362-2022")</f>
        <v/>
      </c>
      <c r="V399">
        <f>HYPERLINK("https://klasma.github.io/Logging_LULEA/klagomål/A 59362-2022.docx", "A 59362-2022")</f>
        <v/>
      </c>
      <c r="W399">
        <f>HYPERLINK("https://klasma.github.io/Logging_LULEA/klagomålsmail/A 59362-2022.docx", "A 59362-2022")</f>
        <v/>
      </c>
      <c r="X399">
        <f>HYPERLINK("https://klasma.github.io/Logging_LULEA/tillsyn/A 59362-2022.docx", "A 59362-2022")</f>
        <v/>
      </c>
      <c r="Y399">
        <f>HYPERLINK("https://klasma.github.io/Logging_LULEA/tillsynsmail/A 59362-2022.docx", "A 59362-2022")</f>
        <v/>
      </c>
    </row>
    <row r="400" ht="15" customHeight="1">
      <c r="A400" t="inlineStr">
        <is>
          <t>A 59071-2022</t>
        </is>
      </c>
      <c r="B400" s="1" t="n">
        <v>44904</v>
      </c>
      <c r="C400" s="1" t="n">
        <v>45206</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HYPERLINK("https://klasma.github.io/Logging_PAJALA/artfynd/A 59071-2022.xlsx", "A 59071-2022")</f>
        <v/>
      </c>
      <c r="T400">
        <f>HYPERLINK("https://klasma.github.io/Logging_PAJALA/kartor/A 59071-2022.png", "A 59071-2022")</f>
        <v/>
      </c>
      <c r="V400">
        <f>HYPERLINK("https://klasma.github.io/Logging_PAJALA/klagomål/A 59071-2022.docx", "A 59071-2022")</f>
        <v/>
      </c>
      <c r="W400">
        <f>HYPERLINK("https://klasma.github.io/Logging_PAJALA/klagomålsmail/A 59071-2022.docx", "A 59071-2022")</f>
        <v/>
      </c>
      <c r="X400">
        <f>HYPERLINK("https://klasma.github.io/Logging_PAJALA/tillsyn/A 59071-2022.docx", "A 59071-2022")</f>
        <v/>
      </c>
      <c r="Y400">
        <f>HYPERLINK("https://klasma.github.io/Logging_PAJALA/tillsynsmail/A 59071-2022.docx", "A 59071-2022")</f>
        <v/>
      </c>
    </row>
    <row r="401" ht="15" customHeight="1">
      <c r="A401" t="inlineStr">
        <is>
          <t>A 61496-2022</t>
        </is>
      </c>
      <c r="B401" s="1" t="n">
        <v>44910</v>
      </c>
      <c r="C401" s="1" t="n">
        <v>45206</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HYPERLINK("https://klasma.github.io/Logging_BODEN/artfynd/A 61496-2022.xlsx", "A 61496-2022")</f>
        <v/>
      </c>
      <c r="T401">
        <f>HYPERLINK("https://klasma.github.io/Logging_BODEN/kartor/A 61496-2022.png", "A 61496-2022")</f>
        <v/>
      </c>
      <c r="V401">
        <f>HYPERLINK("https://klasma.github.io/Logging_BODEN/klagomål/A 61496-2022.docx", "A 61496-2022")</f>
        <v/>
      </c>
      <c r="W401">
        <f>HYPERLINK("https://klasma.github.io/Logging_BODEN/klagomålsmail/A 61496-2022.docx", "A 61496-2022")</f>
        <v/>
      </c>
      <c r="X401">
        <f>HYPERLINK("https://klasma.github.io/Logging_BODEN/tillsyn/A 61496-2022.docx", "A 61496-2022")</f>
        <v/>
      </c>
      <c r="Y401">
        <f>HYPERLINK("https://klasma.github.io/Logging_BODEN/tillsynsmail/A 61496-2022.docx", "A 61496-2022")</f>
        <v/>
      </c>
    </row>
    <row r="402" ht="15" customHeight="1">
      <c r="A402" t="inlineStr">
        <is>
          <t>A 60501-2022</t>
        </is>
      </c>
      <c r="B402" s="1" t="n">
        <v>44911</v>
      </c>
      <c r="C402" s="1" t="n">
        <v>45206</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HYPERLINK("https://klasma.github.io/Logging_ARVIDSJAUR/artfynd/A 60501-2022.xlsx", "A 60501-2022")</f>
        <v/>
      </c>
      <c r="T402">
        <f>HYPERLINK("https://klasma.github.io/Logging_ARVIDSJAUR/kartor/A 60501-2022.png", "A 60501-2022")</f>
        <v/>
      </c>
      <c r="V402">
        <f>HYPERLINK("https://klasma.github.io/Logging_ARVIDSJAUR/klagomål/A 60501-2022.docx", "A 60501-2022")</f>
        <v/>
      </c>
      <c r="W402">
        <f>HYPERLINK("https://klasma.github.io/Logging_ARVIDSJAUR/klagomålsmail/A 60501-2022.docx", "A 60501-2022")</f>
        <v/>
      </c>
      <c r="X402">
        <f>HYPERLINK("https://klasma.github.io/Logging_ARVIDSJAUR/tillsyn/A 60501-2022.docx", "A 60501-2022")</f>
        <v/>
      </c>
      <c r="Y402">
        <f>HYPERLINK("https://klasma.github.io/Logging_ARVIDSJAUR/tillsynsmail/A 60501-2022.docx", "A 60501-2022")</f>
        <v/>
      </c>
    </row>
    <row r="403" ht="15" customHeight="1">
      <c r="A403" t="inlineStr">
        <is>
          <t>A 61713-2022</t>
        </is>
      </c>
      <c r="B403" s="1" t="n">
        <v>44917</v>
      </c>
      <c r="C403" s="1" t="n">
        <v>45206</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HYPERLINK("https://klasma.github.io/Logging_PITEA/artfynd/A 61713-2022.xlsx", "A 61713-2022")</f>
        <v/>
      </c>
      <c r="T403">
        <f>HYPERLINK("https://klasma.github.io/Logging_PITEA/kartor/A 61713-2022.png", "A 61713-2022")</f>
        <v/>
      </c>
      <c r="V403">
        <f>HYPERLINK("https://klasma.github.io/Logging_PITEA/klagomål/A 61713-2022.docx", "A 61713-2022")</f>
        <v/>
      </c>
      <c r="W403">
        <f>HYPERLINK("https://klasma.github.io/Logging_PITEA/klagomålsmail/A 61713-2022.docx", "A 61713-2022")</f>
        <v/>
      </c>
      <c r="X403">
        <f>HYPERLINK("https://klasma.github.io/Logging_PITEA/tillsyn/A 61713-2022.docx", "A 61713-2022")</f>
        <v/>
      </c>
      <c r="Y403">
        <f>HYPERLINK("https://klasma.github.io/Logging_PITEA/tillsynsmail/A 61713-2022.docx", "A 61713-2022")</f>
        <v/>
      </c>
    </row>
    <row r="404" ht="15" customHeight="1">
      <c r="A404" t="inlineStr">
        <is>
          <t>A 883-2023</t>
        </is>
      </c>
      <c r="B404" s="1" t="n">
        <v>44931</v>
      </c>
      <c r="C404" s="1" t="n">
        <v>45206</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HYPERLINK("https://klasma.github.io/Logging_GALLIVARE/artfynd/A 883-2023.xlsx", "A 883-2023")</f>
        <v/>
      </c>
      <c r="T404">
        <f>HYPERLINK("https://klasma.github.io/Logging_GALLIVARE/kartor/A 883-2023.png", "A 883-2023")</f>
        <v/>
      </c>
      <c r="V404">
        <f>HYPERLINK("https://klasma.github.io/Logging_GALLIVARE/klagomål/A 883-2023.docx", "A 883-2023")</f>
        <v/>
      </c>
      <c r="W404">
        <f>HYPERLINK("https://klasma.github.io/Logging_GALLIVARE/klagomålsmail/A 883-2023.docx", "A 883-2023")</f>
        <v/>
      </c>
      <c r="X404">
        <f>HYPERLINK("https://klasma.github.io/Logging_GALLIVARE/tillsyn/A 883-2023.docx", "A 883-2023")</f>
        <v/>
      </c>
      <c r="Y404">
        <f>HYPERLINK("https://klasma.github.io/Logging_GALLIVARE/tillsynsmail/A 883-2023.docx", "A 883-2023")</f>
        <v/>
      </c>
    </row>
    <row r="405" ht="15" customHeight="1">
      <c r="A405" t="inlineStr">
        <is>
          <t>A 4561-2023</t>
        </is>
      </c>
      <c r="B405" s="1" t="n">
        <v>44951</v>
      </c>
      <c r="C405" s="1" t="n">
        <v>45206</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HYPERLINK("https://klasma.github.io/Logging_LULEA/artfynd/A 4561-2023.xlsx", "A 4561-2023")</f>
        <v/>
      </c>
      <c r="T405">
        <f>HYPERLINK("https://klasma.github.io/Logging_LULEA/kartor/A 4561-2023.png", "A 4561-2023")</f>
        <v/>
      </c>
      <c r="V405">
        <f>HYPERLINK("https://klasma.github.io/Logging_LULEA/klagomål/A 4561-2023.docx", "A 4561-2023")</f>
        <v/>
      </c>
      <c r="W405">
        <f>HYPERLINK("https://klasma.github.io/Logging_LULEA/klagomålsmail/A 4561-2023.docx", "A 4561-2023")</f>
        <v/>
      </c>
      <c r="X405">
        <f>HYPERLINK("https://klasma.github.io/Logging_LULEA/tillsyn/A 4561-2023.docx", "A 4561-2023")</f>
        <v/>
      </c>
      <c r="Y405">
        <f>HYPERLINK("https://klasma.github.io/Logging_LULEA/tillsynsmail/A 4561-2023.docx", "A 4561-2023")</f>
        <v/>
      </c>
    </row>
    <row r="406" ht="15" customHeight="1">
      <c r="A406" t="inlineStr">
        <is>
          <t>A 5824-2023</t>
        </is>
      </c>
      <c r="B406" s="1" t="n">
        <v>44958</v>
      </c>
      <c r="C406" s="1" t="n">
        <v>45206</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HYPERLINK("https://klasma.github.io/Logging_JOKKMOKK/artfynd/A 5824-2023.xlsx", "A 5824-2023")</f>
        <v/>
      </c>
      <c r="T406">
        <f>HYPERLINK("https://klasma.github.io/Logging_JOKKMOKK/kartor/A 5824-2023.png", "A 5824-2023")</f>
        <v/>
      </c>
      <c r="V406">
        <f>HYPERLINK("https://klasma.github.io/Logging_JOKKMOKK/klagomål/A 5824-2023.docx", "A 5824-2023")</f>
        <v/>
      </c>
      <c r="W406">
        <f>HYPERLINK("https://klasma.github.io/Logging_JOKKMOKK/klagomålsmail/A 5824-2023.docx", "A 5824-2023")</f>
        <v/>
      </c>
      <c r="X406">
        <f>HYPERLINK("https://klasma.github.io/Logging_JOKKMOKK/tillsyn/A 5824-2023.docx", "A 5824-2023")</f>
        <v/>
      </c>
      <c r="Y406">
        <f>HYPERLINK("https://klasma.github.io/Logging_JOKKMOKK/tillsynsmail/A 5824-2023.docx", "A 5824-2023")</f>
        <v/>
      </c>
    </row>
    <row r="407" ht="15" customHeight="1">
      <c r="A407" t="inlineStr">
        <is>
          <t>A 6239-2023</t>
        </is>
      </c>
      <c r="B407" s="1" t="n">
        <v>44964</v>
      </c>
      <c r="C407" s="1" t="n">
        <v>45206</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HYPERLINK("https://klasma.github.io/Logging_BODEN/artfynd/A 6239-2023.xlsx", "A 6239-2023")</f>
        <v/>
      </c>
      <c r="T407">
        <f>HYPERLINK("https://klasma.github.io/Logging_BODEN/kartor/A 6239-2023.png", "A 6239-2023")</f>
        <v/>
      </c>
      <c r="V407">
        <f>HYPERLINK("https://klasma.github.io/Logging_BODEN/klagomål/A 6239-2023.docx", "A 6239-2023")</f>
        <v/>
      </c>
      <c r="W407">
        <f>HYPERLINK("https://klasma.github.io/Logging_BODEN/klagomålsmail/A 6239-2023.docx", "A 6239-2023")</f>
        <v/>
      </c>
      <c r="X407">
        <f>HYPERLINK("https://klasma.github.io/Logging_BODEN/tillsyn/A 6239-2023.docx", "A 6239-2023")</f>
        <v/>
      </c>
      <c r="Y407">
        <f>HYPERLINK("https://klasma.github.io/Logging_BODEN/tillsynsmail/A 6239-2023.docx", "A 6239-2023")</f>
        <v/>
      </c>
    </row>
    <row r="408" ht="15" customHeight="1">
      <c r="A408" t="inlineStr">
        <is>
          <t>A 7068-2023</t>
        </is>
      </c>
      <c r="B408" s="1" t="n">
        <v>44969</v>
      </c>
      <c r="C408" s="1" t="n">
        <v>45206</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HYPERLINK("https://klasma.github.io/Logging_ALVSBYN/artfynd/A 7068-2023.xlsx", "A 7068-2023")</f>
        <v/>
      </c>
      <c r="T408">
        <f>HYPERLINK("https://klasma.github.io/Logging_ALVSBYN/kartor/A 7068-2023.png", "A 7068-2023")</f>
        <v/>
      </c>
      <c r="V408">
        <f>HYPERLINK("https://klasma.github.io/Logging_ALVSBYN/klagomål/A 7068-2023.docx", "A 7068-2023")</f>
        <v/>
      </c>
      <c r="W408">
        <f>HYPERLINK("https://klasma.github.io/Logging_ALVSBYN/klagomålsmail/A 7068-2023.docx", "A 7068-2023")</f>
        <v/>
      </c>
      <c r="X408">
        <f>HYPERLINK("https://klasma.github.io/Logging_ALVSBYN/tillsyn/A 7068-2023.docx", "A 7068-2023")</f>
        <v/>
      </c>
      <c r="Y408">
        <f>HYPERLINK("https://klasma.github.io/Logging_ALVSBYN/tillsynsmail/A 7068-2023.docx", "A 7068-2023")</f>
        <v/>
      </c>
    </row>
    <row r="409" ht="15" customHeight="1">
      <c r="A409" t="inlineStr">
        <is>
          <t>A 11208-2023</t>
        </is>
      </c>
      <c r="B409" s="1" t="n">
        <v>44992</v>
      </c>
      <c r="C409" s="1" t="n">
        <v>45206</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HYPERLINK("https://klasma.github.io/Logging_BODEN/artfynd/A 11208-2023.xlsx", "A 11208-2023")</f>
        <v/>
      </c>
      <c r="T409">
        <f>HYPERLINK("https://klasma.github.io/Logging_BODEN/kartor/A 11208-2023.png", "A 11208-2023")</f>
        <v/>
      </c>
      <c r="V409">
        <f>HYPERLINK("https://klasma.github.io/Logging_BODEN/klagomål/A 11208-2023.docx", "A 11208-2023")</f>
        <v/>
      </c>
      <c r="W409">
        <f>HYPERLINK("https://klasma.github.io/Logging_BODEN/klagomålsmail/A 11208-2023.docx", "A 11208-2023")</f>
        <v/>
      </c>
      <c r="X409">
        <f>HYPERLINK("https://klasma.github.io/Logging_BODEN/tillsyn/A 11208-2023.docx", "A 11208-2023")</f>
        <v/>
      </c>
      <c r="Y409">
        <f>HYPERLINK("https://klasma.github.io/Logging_BODEN/tillsynsmail/A 11208-2023.docx", "A 11208-2023")</f>
        <v/>
      </c>
    </row>
    <row r="410" ht="15" customHeight="1">
      <c r="A410" t="inlineStr">
        <is>
          <t>A 14979-2023</t>
        </is>
      </c>
      <c r="B410" s="1" t="n">
        <v>45014</v>
      </c>
      <c r="C410" s="1" t="n">
        <v>45206</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HYPERLINK("https://klasma.github.io/Logging_PAJALA/artfynd/A 14979-2023.xlsx", "A 14979-2023")</f>
        <v/>
      </c>
      <c r="T410">
        <f>HYPERLINK("https://klasma.github.io/Logging_PAJALA/kartor/A 14979-2023.png", "A 14979-2023")</f>
        <v/>
      </c>
      <c r="V410">
        <f>HYPERLINK("https://klasma.github.io/Logging_PAJALA/klagomål/A 14979-2023.docx", "A 14979-2023")</f>
        <v/>
      </c>
      <c r="W410">
        <f>HYPERLINK("https://klasma.github.io/Logging_PAJALA/klagomålsmail/A 14979-2023.docx", "A 14979-2023")</f>
        <v/>
      </c>
      <c r="X410">
        <f>HYPERLINK("https://klasma.github.io/Logging_PAJALA/tillsyn/A 14979-2023.docx", "A 14979-2023")</f>
        <v/>
      </c>
      <c r="Y410">
        <f>HYPERLINK("https://klasma.github.io/Logging_PAJALA/tillsynsmail/A 14979-2023.docx", "A 14979-2023")</f>
        <v/>
      </c>
    </row>
    <row r="411" ht="15" customHeight="1">
      <c r="A411" t="inlineStr">
        <is>
          <t>A 15999-2023</t>
        </is>
      </c>
      <c r="B411" s="1" t="n">
        <v>45024</v>
      </c>
      <c r="C411" s="1" t="n">
        <v>45206</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HYPERLINK("https://klasma.github.io/Logging_PAJALA/artfynd/A 15999-2023.xlsx", "A 15999-2023")</f>
        <v/>
      </c>
      <c r="T411">
        <f>HYPERLINK("https://klasma.github.io/Logging_PAJALA/kartor/A 15999-2023.png", "A 15999-2023")</f>
        <v/>
      </c>
      <c r="V411">
        <f>HYPERLINK("https://klasma.github.io/Logging_PAJALA/klagomål/A 15999-2023.docx", "A 15999-2023")</f>
        <v/>
      </c>
      <c r="W411">
        <f>HYPERLINK("https://klasma.github.io/Logging_PAJALA/klagomålsmail/A 15999-2023.docx", "A 15999-2023")</f>
        <v/>
      </c>
      <c r="X411">
        <f>HYPERLINK("https://klasma.github.io/Logging_PAJALA/tillsyn/A 15999-2023.docx", "A 15999-2023")</f>
        <v/>
      </c>
      <c r="Y411">
        <f>HYPERLINK("https://klasma.github.io/Logging_PAJALA/tillsynsmail/A 15999-2023.docx", "A 15999-2023")</f>
        <v/>
      </c>
    </row>
    <row r="412" ht="15" customHeight="1">
      <c r="A412" t="inlineStr">
        <is>
          <t>A 17740-2023</t>
        </is>
      </c>
      <c r="B412" s="1" t="n">
        <v>45035</v>
      </c>
      <c r="C412" s="1" t="n">
        <v>45206</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HYPERLINK("https://klasma.github.io/Logging_KIRUNA/artfynd/A 17740-2023.xlsx", "A 17740-2023")</f>
        <v/>
      </c>
      <c r="T412">
        <f>HYPERLINK("https://klasma.github.io/Logging_KIRUNA/kartor/A 17740-2023.png", "A 17740-2023")</f>
        <v/>
      </c>
      <c r="V412">
        <f>HYPERLINK("https://klasma.github.io/Logging_KIRUNA/klagomål/A 17740-2023.docx", "A 17740-2023")</f>
        <v/>
      </c>
      <c r="W412">
        <f>HYPERLINK("https://klasma.github.io/Logging_KIRUNA/klagomålsmail/A 17740-2023.docx", "A 17740-2023")</f>
        <v/>
      </c>
      <c r="X412">
        <f>HYPERLINK("https://klasma.github.io/Logging_KIRUNA/tillsyn/A 17740-2023.docx", "A 17740-2023")</f>
        <v/>
      </c>
      <c r="Y412">
        <f>HYPERLINK("https://klasma.github.io/Logging_KIRUNA/tillsynsmail/A 17740-2023.docx", "A 17740-2023")</f>
        <v/>
      </c>
    </row>
    <row r="413" ht="15" customHeight="1">
      <c r="A413" t="inlineStr">
        <is>
          <t>A 19375-2023</t>
        </is>
      </c>
      <c r="B413" s="1" t="n">
        <v>45049</v>
      </c>
      <c r="C413" s="1" t="n">
        <v>45206</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HYPERLINK("https://klasma.github.io/Logging_PITEA/artfynd/A 19375-2023.xlsx", "A 19375-2023")</f>
        <v/>
      </c>
      <c r="T413">
        <f>HYPERLINK("https://klasma.github.io/Logging_PITEA/kartor/A 19375-2023.png", "A 19375-2023")</f>
        <v/>
      </c>
      <c r="V413">
        <f>HYPERLINK("https://klasma.github.io/Logging_PITEA/klagomål/A 19375-2023.docx", "A 19375-2023")</f>
        <v/>
      </c>
      <c r="W413">
        <f>HYPERLINK("https://klasma.github.io/Logging_PITEA/klagomålsmail/A 19375-2023.docx", "A 19375-2023")</f>
        <v/>
      </c>
      <c r="X413">
        <f>HYPERLINK("https://klasma.github.io/Logging_PITEA/tillsyn/A 19375-2023.docx", "A 19375-2023")</f>
        <v/>
      </c>
      <c r="Y413">
        <f>HYPERLINK("https://klasma.github.io/Logging_PITEA/tillsynsmail/A 19375-2023.docx", "A 19375-2023")</f>
        <v/>
      </c>
    </row>
    <row r="414" ht="15" customHeight="1">
      <c r="A414" t="inlineStr">
        <is>
          <t>A 21552-2023</t>
        </is>
      </c>
      <c r="B414" s="1" t="n">
        <v>45063</v>
      </c>
      <c r="C414" s="1" t="n">
        <v>45206</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HYPERLINK("https://klasma.github.io/Logging_KALIX/artfynd/A 21552-2023.xlsx", "A 21552-2023")</f>
        <v/>
      </c>
      <c r="T414">
        <f>HYPERLINK("https://klasma.github.io/Logging_KALIX/kartor/A 21552-2023.png", "A 21552-2023")</f>
        <v/>
      </c>
      <c r="V414">
        <f>HYPERLINK("https://klasma.github.io/Logging_KALIX/klagomål/A 21552-2023.docx", "A 21552-2023")</f>
        <v/>
      </c>
      <c r="W414">
        <f>HYPERLINK("https://klasma.github.io/Logging_KALIX/klagomålsmail/A 21552-2023.docx", "A 21552-2023")</f>
        <v/>
      </c>
      <c r="X414">
        <f>HYPERLINK("https://klasma.github.io/Logging_KALIX/tillsyn/A 21552-2023.docx", "A 21552-2023")</f>
        <v/>
      </c>
      <c r="Y414">
        <f>HYPERLINK("https://klasma.github.io/Logging_KALIX/tillsynsmail/A 21552-2023.docx", "A 21552-2023")</f>
        <v/>
      </c>
    </row>
    <row r="415" ht="15" customHeight="1">
      <c r="A415" t="inlineStr">
        <is>
          <t>A 23026-2023</t>
        </is>
      </c>
      <c r="B415" s="1" t="n">
        <v>45073</v>
      </c>
      <c r="C415" s="1" t="n">
        <v>45206</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HYPERLINK("https://klasma.github.io/Logging_JOKKMOKK/artfynd/A 23026-2023.xlsx", "A 23026-2023")</f>
        <v/>
      </c>
      <c r="T415">
        <f>HYPERLINK("https://klasma.github.io/Logging_JOKKMOKK/kartor/A 23026-2023.png", "A 23026-2023")</f>
        <v/>
      </c>
      <c r="V415">
        <f>HYPERLINK("https://klasma.github.io/Logging_JOKKMOKK/klagomål/A 23026-2023.docx", "A 23026-2023")</f>
        <v/>
      </c>
      <c r="W415">
        <f>HYPERLINK("https://klasma.github.io/Logging_JOKKMOKK/klagomålsmail/A 23026-2023.docx", "A 23026-2023")</f>
        <v/>
      </c>
      <c r="X415">
        <f>HYPERLINK("https://klasma.github.io/Logging_JOKKMOKK/tillsyn/A 23026-2023.docx", "A 23026-2023")</f>
        <v/>
      </c>
      <c r="Y415">
        <f>HYPERLINK("https://klasma.github.io/Logging_JOKKMOKK/tillsynsmail/A 23026-2023.docx", "A 23026-2023")</f>
        <v/>
      </c>
    </row>
    <row r="416" ht="15" customHeight="1">
      <c r="A416" t="inlineStr">
        <is>
          <t>A 25279-2023</t>
        </is>
      </c>
      <c r="B416" s="1" t="n">
        <v>45079</v>
      </c>
      <c r="C416" s="1" t="n">
        <v>45206</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HYPERLINK("https://klasma.github.io/Logging_ARJEPLOG/artfynd/A 25279-2023.xlsx", "A 25279-2023")</f>
        <v/>
      </c>
      <c r="T416">
        <f>HYPERLINK("https://klasma.github.io/Logging_ARJEPLOG/kartor/A 25279-2023.png", "A 25279-2023")</f>
        <v/>
      </c>
      <c r="V416">
        <f>HYPERLINK("https://klasma.github.io/Logging_ARJEPLOG/klagomål/A 25279-2023.docx", "A 25279-2023")</f>
        <v/>
      </c>
      <c r="W416">
        <f>HYPERLINK("https://klasma.github.io/Logging_ARJEPLOG/klagomålsmail/A 25279-2023.docx", "A 25279-2023")</f>
        <v/>
      </c>
      <c r="X416">
        <f>HYPERLINK("https://klasma.github.io/Logging_ARJEPLOG/tillsyn/A 25279-2023.docx", "A 25279-2023")</f>
        <v/>
      </c>
      <c r="Y416">
        <f>HYPERLINK("https://klasma.github.io/Logging_ARJEPLOG/tillsynsmail/A 25279-2023.docx", "A 25279-2023")</f>
        <v/>
      </c>
    </row>
    <row r="417" ht="15" customHeight="1">
      <c r="A417" t="inlineStr">
        <is>
          <t>A 27336-2023</t>
        </is>
      </c>
      <c r="B417" s="1" t="n">
        <v>45096</v>
      </c>
      <c r="C417" s="1" t="n">
        <v>45206</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HYPERLINK("https://klasma.github.io/Logging_GALLIVARE/artfynd/A 27336-2023.xlsx", "A 27336-2023")</f>
        <v/>
      </c>
      <c r="T417">
        <f>HYPERLINK("https://klasma.github.io/Logging_GALLIVARE/kartor/A 27336-2023.png", "A 27336-2023")</f>
        <v/>
      </c>
      <c r="V417">
        <f>HYPERLINK("https://klasma.github.io/Logging_GALLIVARE/klagomål/A 27336-2023.docx", "A 27336-2023")</f>
        <v/>
      </c>
      <c r="W417">
        <f>HYPERLINK("https://klasma.github.io/Logging_GALLIVARE/klagomålsmail/A 27336-2023.docx", "A 27336-2023")</f>
        <v/>
      </c>
      <c r="X417">
        <f>HYPERLINK("https://klasma.github.io/Logging_GALLIVARE/tillsyn/A 27336-2023.docx", "A 27336-2023")</f>
        <v/>
      </c>
      <c r="Y417">
        <f>HYPERLINK("https://klasma.github.io/Logging_GALLIVARE/tillsynsmail/A 27336-2023.docx", "A 27336-2023")</f>
        <v/>
      </c>
    </row>
    <row r="418" ht="15" customHeight="1">
      <c r="A418" t="inlineStr">
        <is>
          <t>A 27804-2023</t>
        </is>
      </c>
      <c r="B418" s="1" t="n">
        <v>45098</v>
      </c>
      <c r="C418" s="1" t="n">
        <v>45206</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HYPERLINK("https://klasma.github.io/Logging_BODEN/artfynd/A 27804-2023.xlsx", "A 27804-2023")</f>
        <v/>
      </c>
      <c r="T418">
        <f>HYPERLINK("https://klasma.github.io/Logging_BODEN/kartor/A 27804-2023.png", "A 27804-2023")</f>
        <v/>
      </c>
      <c r="V418">
        <f>HYPERLINK("https://klasma.github.io/Logging_BODEN/klagomål/A 27804-2023.docx", "A 27804-2023")</f>
        <v/>
      </c>
      <c r="W418">
        <f>HYPERLINK("https://klasma.github.io/Logging_BODEN/klagomålsmail/A 27804-2023.docx", "A 27804-2023")</f>
        <v/>
      </c>
      <c r="X418">
        <f>HYPERLINK("https://klasma.github.io/Logging_BODEN/tillsyn/A 27804-2023.docx", "A 27804-2023")</f>
        <v/>
      </c>
      <c r="Y418">
        <f>HYPERLINK("https://klasma.github.io/Logging_BODEN/tillsynsmail/A 27804-2023.docx", "A 27804-2023")</f>
        <v/>
      </c>
    </row>
    <row r="419" ht="15" customHeight="1">
      <c r="A419" t="inlineStr">
        <is>
          <t>A 30746-2023</t>
        </is>
      </c>
      <c r="B419" s="1" t="n">
        <v>45103</v>
      </c>
      <c r="C419" s="1" t="n">
        <v>45206</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HYPERLINK("https://klasma.github.io/Logging_GALLIVARE/artfynd/A 30746-2023.xlsx", "A 30746-2023")</f>
        <v/>
      </c>
      <c r="T419">
        <f>HYPERLINK("https://klasma.github.io/Logging_GALLIVARE/kartor/A 30746-2023.png", "A 30746-2023")</f>
        <v/>
      </c>
      <c r="V419">
        <f>HYPERLINK("https://klasma.github.io/Logging_GALLIVARE/klagomål/A 30746-2023.docx", "A 30746-2023")</f>
        <v/>
      </c>
      <c r="W419">
        <f>HYPERLINK("https://klasma.github.io/Logging_GALLIVARE/klagomålsmail/A 30746-2023.docx", "A 30746-2023")</f>
        <v/>
      </c>
      <c r="X419">
        <f>HYPERLINK("https://klasma.github.io/Logging_GALLIVARE/tillsyn/A 30746-2023.docx", "A 30746-2023")</f>
        <v/>
      </c>
      <c r="Y419">
        <f>HYPERLINK("https://klasma.github.io/Logging_GALLIVARE/tillsynsmail/A 30746-2023.docx", "A 30746-2023")</f>
        <v/>
      </c>
    </row>
    <row r="420" ht="15" customHeight="1">
      <c r="A420" t="inlineStr">
        <is>
          <t>A 28772-2023</t>
        </is>
      </c>
      <c r="B420" s="1" t="n">
        <v>45104</v>
      </c>
      <c r="C420" s="1" t="n">
        <v>45206</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HYPERLINK("https://klasma.github.io/Logging_BODEN/artfynd/A 28772-2023.xlsx", "A 28772-2023")</f>
        <v/>
      </c>
      <c r="T420">
        <f>HYPERLINK("https://klasma.github.io/Logging_BODEN/kartor/A 28772-2023.png", "A 28772-2023")</f>
        <v/>
      </c>
      <c r="V420">
        <f>HYPERLINK("https://klasma.github.io/Logging_BODEN/klagomål/A 28772-2023.docx", "A 28772-2023")</f>
        <v/>
      </c>
      <c r="W420">
        <f>HYPERLINK("https://klasma.github.io/Logging_BODEN/klagomålsmail/A 28772-2023.docx", "A 28772-2023")</f>
        <v/>
      </c>
      <c r="X420">
        <f>HYPERLINK("https://klasma.github.io/Logging_BODEN/tillsyn/A 28772-2023.docx", "A 28772-2023")</f>
        <v/>
      </c>
      <c r="Y420">
        <f>HYPERLINK("https://klasma.github.io/Logging_BODEN/tillsynsmail/A 28772-2023.docx", "A 28772-2023")</f>
        <v/>
      </c>
    </row>
    <row r="421" ht="15" customHeight="1">
      <c r="A421" t="inlineStr">
        <is>
          <t>A 33388-2023</t>
        </is>
      </c>
      <c r="B421" s="1" t="n">
        <v>45117</v>
      </c>
      <c r="C421" s="1" t="n">
        <v>45206</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HYPERLINK("https://klasma.github.io/Logging_GALLIVARE/artfynd/A 33388-2023.xlsx", "A 33388-2023")</f>
        <v/>
      </c>
      <c r="T421">
        <f>HYPERLINK("https://klasma.github.io/Logging_GALLIVARE/kartor/A 33388-2023.png", "A 33388-2023")</f>
        <v/>
      </c>
      <c r="V421">
        <f>HYPERLINK("https://klasma.github.io/Logging_GALLIVARE/klagomål/A 33388-2023.docx", "A 33388-2023")</f>
        <v/>
      </c>
      <c r="W421">
        <f>HYPERLINK("https://klasma.github.io/Logging_GALLIVARE/klagomålsmail/A 33388-2023.docx", "A 33388-2023")</f>
        <v/>
      </c>
      <c r="X421">
        <f>HYPERLINK("https://klasma.github.io/Logging_GALLIVARE/tillsyn/A 33388-2023.docx", "A 33388-2023")</f>
        <v/>
      </c>
      <c r="Y421">
        <f>HYPERLINK("https://klasma.github.io/Logging_GALLIVARE/tillsynsmail/A 33388-2023.docx", "A 33388-2023")</f>
        <v/>
      </c>
    </row>
    <row r="422" ht="15" customHeight="1">
      <c r="A422" t="inlineStr">
        <is>
          <t>A 36435-2023</t>
        </is>
      </c>
      <c r="B422" s="1" t="n">
        <v>45152</v>
      </c>
      <c r="C422" s="1" t="n">
        <v>45206</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HYPERLINK("https://klasma.github.io/Logging_OVERKALIX/artfynd/A 36435-2023.xlsx", "A 36435-2023")</f>
        <v/>
      </c>
      <c r="T422">
        <f>HYPERLINK("https://klasma.github.io/Logging_OVERKALIX/kartor/A 36435-2023.png", "A 36435-2023")</f>
        <v/>
      </c>
      <c r="V422">
        <f>HYPERLINK("https://klasma.github.io/Logging_OVERKALIX/klagomål/A 36435-2023.docx", "A 36435-2023")</f>
        <v/>
      </c>
      <c r="W422">
        <f>HYPERLINK("https://klasma.github.io/Logging_OVERKALIX/klagomålsmail/A 36435-2023.docx", "A 36435-2023")</f>
        <v/>
      </c>
      <c r="X422">
        <f>HYPERLINK("https://klasma.github.io/Logging_OVERKALIX/tillsyn/A 36435-2023.docx", "A 36435-2023")</f>
        <v/>
      </c>
      <c r="Y422">
        <f>HYPERLINK("https://klasma.github.io/Logging_OVERKALIX/tillsynsmail/A 36435-2023.docx", "A 36435-2023")</f>
        <v/>
      </c>
    </row>
    <row r="423" ht="15" customHeight="1">
      <c r="A423" t="inlineStr">
        <is>
          <t>A 38349-2023</t>
        </is>
      </c>
      <c r="B423" s="1" t="n">
        <v>45161</v>
      </c>
      <c r="C423" s="1" t="n">
        <v>45206</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HYPERLINK("https://klasma.github.io/Logging_OVERTORNEA/artfynd/A 38349-2023.xlsx", "A 38349-2023")</f>
        <v/>
      </c>
      <c r="T423">
        <f>HYPERLINK("https://klasma.github.io/Logging_OVERTORNEA/kartor/A 38349-2023.png", "A 38349-2023")</f>
        <v/>
      </c>
      <c r="V423">
        <f>HYPERLINK("https://klasma.github.io/Logging_OVERTORNEA/klagomål/A 38349-2023.docx", "A 38349-2023")</f>
        <v/>
      </c>
      <c r="W423">
        <f>HYPERLINK("https://klasma.github.io/Logging_OVERTORNEA/klagomålsmail/A 38349-2023.docx", "A 38349-2023")</f>
        <v/>
      </c>
      <c r="X423">
        <f>HYPERLINK("https://klasma.github.io/Logging_OVERTORNEA/tillsyn/A 38349-2023.docx", "A 38349-2023")</f>
        <v/>
      </c>
      <c r="Y423">
        <f>HYPERLINK("https://klasma.github.io/Logging_OVERTORNEA/tillsynsmail/A 38349-2023.docx", "A 38349-2023")</f>
        <v/>
      </c>
    </row>
    <row r="424" ht="15" customHeight="1">
      <c r="A424" t="inlineStr">
        <is>
          <t>A 38166-2023</t>
        </is>
      </c>
      <c r="B424" s="1" t="n">
        <v>45161</v>
      </c>
      <c r="C424" s="1" t="n">
        <v>45206</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HYPERLINK("https://klasma.github.io/Logging_ARVIDSJAUR/artfynd/A 38166-2023.xlsx", "A 38166-2023")</f>
        <v/>
      </c>
      <c r="T424">
        <f>HYPERLINK("https://klasma.github.io/Logging_ARVIDSJAUR/kartor/A 38166-2023.png", "A 38166-2023")</f>
        <v/>
      </c>
      <c r="V424">
        <f>HYPERLINK("https://klasma.github.io/Logging_ARVIDSJAUR/klagomål/A 38166-2023.docx", "A 38166-2023")</f>
        <v/>
      </c>
      <c r="W424">
        <f>HYPERLINK("https://klasma.github.io/Logging_ARVIDSJAUR/klagomålsmail/A 38166-2023.docx", "A 38166-2023")</f>
        <v/>
      </c>
      <c r="X424">
        <f>HYPERLINK("https://klasma.github.io/Logging_ARVIDSJAUR/tillsyn/A 38166-2023.docx", "A 38166-2023")</f>
        <v/>
      </c>
      <c r="Y424">
        <f>HYPERLINK("https://klasma.github.io/Logging_ARVIDSJAUR/tillsynsmail/A 38166-2023.docx", "A 38166-2023")</f>
        <v/>
      </c>
    </row>
    <row r="425" ht="15" customHeight="1">
      <c r="A425" t="inlineStr">
        <is>
          <t>A 38755-2023</t>
        </is>
      </c>
      <c r="B425" s="1" t="n">
        <v>45163</v>
      </c>
      <c r="C425" s="1" t="n">
        <v>45206</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HYPERLINK("https://klasma.github.io/Logging_ARVIDSJAUR/artfynd/A 38755-2023.xlsx", "A 38755-2023")</f>
        <v/>
      </c>
      <c r="T425">
        <f>HYPERLINK("https://klasma.github.io/Logging_ARVIDSJAUR/kartor/A 38755-2023.png", "A 38755-2023")</f>
        <v/>
      </c>
      <c r="V425">
        <f>HYPERLINK("https://klasma.github.io/Logging_ARVIDSJAUR/klagomål/A 38755-2023.docx", "A 38755-2023")</f>
        <v/>
      </c>
      <c r="W425">
        <f>HYPERLINK("https://klasma.github.io/Logging_ARVIDSJAUR/klagomålsmail/A 38755-2023.docx", "A 38755-2023")</f>
        <v/>
      </c>
      <c r="X425">
        <f>HYPERLINK("https://klasma.github.io/Logging_ARVIDSJAUR/tillsyn/A 38755-2023.docx", "A 38755-2023")</f>
        <v/>
      </c>
      <c r="Y425">
        <f>HYPERLINK("https://klasma.github.io/Logging_ARVIDSJAUR/tillsynsmail/A 38755-2023.docx", "A 38755-2023")</f>
        <v/>
      </c>
    </row>
    <row r="426" ht="15" customHeight="1">
      <c r="A426" t="inlineStr">
        <is>
          <t>A 40265-2023</t>
        </is>
      </c>
      <c r="B426" s="1" t="n">
        <v>45169</v>
      </c>
      <c r="C426" s="1" t="n">
        <v>45206</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HYPERLINK("https://klasma.github.io/Logging_OVERKALIX/artfynd/A 40265-2023.xlsx", "A 40265-2023")</f>
        <v/>
      </c>
      <c r="T426">
        <f>HYPERLINK("https://klasma.github.io/Logging_OVERKALIX/kartor/A 40265-2023.png", "A 40265-2023")</f>
        <v/>
      </c>
      <c r="V426">
        <f>HYPERLINK("https://klasma.github.io/Logging_OVERKALIX/klagomål/A 40265-2023.docx", "A 40265-2023")</f>
        <v/>
      </c>
      <c r="W426">
        <f>HYPERLINK("https://klasma.github.io/Logging_OVERKALIX/klagomålsmail/A 40265-2023.docx", "A 40265-2023")</f>
        <v/>
      </c>
      <c r="X426">
        <f>HYPERLINK("https://klasma.github.io/Logging_OVERKALIX/tillsyn/A 40265-2023.docx", "A 40265-2023")</f>
        <v/>
      </c>
      <c r="Y426">
        <f>HYPERLINK("https://klasma.github.io/Logging_OVERKALIX/tillsynsmail/A 40265-2023.docx", "A 40265-2023")</f>
        <v/>
      </c>
    </row>
    <row r="427" ht="15" customHeight="1">
      <c r="A427" t="inlineStr">
        <is>
          <t>A 40263-2023</t>
        </is>
      </c>
      <c r="B427" s="1" t="n">
        <v>45169</v>
      </c>
      <c r="C427" s="1" t="n">
        <v>45206</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HYPERLINK("https://klasma.github.io/Logging_OVERKALIX/artfynd/A 40263-2023.xlsx", "A 40263-2023")</f>
        <v/>
      </c>
      <c r="T427">
        <f>HYPERLINK("https://klasma.github.io/Logging_OVERKALIX/kartor/A 40263-2023.png", "A 40263-2023")</f>
        <v/>
      </c>
      <c r="V427">
        <f>HYPERLINK("https://klasma.github.io/Logging_OVERKALIX/klagomål/A 40263-2023.docx", "A 40263-2023")</f>
        <v/>
      </c>
      <c r="W427">
        <f>HYPERLINK("https://klasma.github.io/Logging_OVERKALIX/klagomålsmail/A 40263-2023.docx", "A 40263-2023")</f>
        <v/>
      </c>
      <c r="X427">
        <f>HYPERLINK("https://klasma.github.io/Logging_OVERKALIX/tillsyn/A 40263-2023.docx", "A 40263-2023")</f>
        <v/>
      </c>
      <c r="Y427">
        <f>HYPERLINK("https://klasma.github.io/Logging_OVERKALIX/tillsynsmail/A 40263-2023.docx", "A 40263-2023")</f>
        <v/>
      </c>
    </row>
    <row r="428" ht="15" customHeight="1">
      <c r="A428" t="inlineStr">
        <is>
          <t>A 43851-2023</t>
        </is>
      </c>
      <c r="B428" s="1" t="n">
        <v>45187</v>
      </c>
      <c r="C428" s="1" t="n">
        <v>45206</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HYPERLINK("https://klasma.github.io/Logging_PAJALA/artfynd/A 43851-2023.xlsx", "A 43851-2023")</f>
        <v/>
      </c>
      <c r="T428">
        <f>HYPERLINK("https://klasma.github.io/Logging_PAJALA/kartor/A 43851-2023.png", "A 43851-2023")</f>
        <v/>
      </c>
      <c r="V428">
        <f>HYPERLINK("https://klasma.github.io/Logging_PAJALA/klagomål/A 43851-2023.docx", "A 43851-2023")</f>
        <v/>
      </c>
      <c r="W428">
        <f>HYPERLINK("https://klasma.github.io/Logging_PAJALA/klagomålsmail/A 43851-2023.docx", "A 43851-2023")</f>
        <v/>
      </c>
      <c r="X428">
        <f>HYPERLINK("https://klasma.github.io/Logging_PAJALA/tillsyn/A 43851-2023.docx", "A 43851-2023")</f>
        <v/>
      </c>
      <c r="Y428">
        <f>HYPERLINK("https://klasma.github.io/Logging_PAJALA/tillsynsmail/A 43851-2023.docx", "A 43851-2023")</f>
        <v/>
      </c>
    </row>
    <row r="429" ht="15" customHeight="1">
      <c r="A429" t="inlineStr">
        <is>
          <t>A 44255-2023</t>
        </is>
      </c>
      <c r="B429" s="1" t="n">
        <v>45188</v>
      </c>
      <c r="C429" s="1" t="n">
        <v>45206</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HYPERLINK("https://klasma.github.io/Logging_PITEA/artfynd/A 44255-2023.xlsx", "A 44255-2023")</f>
        <v/>
      </c>
      <c r="T429">
        <f>HYPERLINK("https://klasma.github.io/Logging_PITEA/kartor/A 44255-2023.png", "A 44255-2023")</f>
        <v/>
      </c>
      <c r="V429">
        <f>HYPERLINK("https://klasma.github.io/Logging_PITEA/klagomål/A 44255-2023.docx", "A 44255-2023")</f>
        <v/>
      </c>
      <c r="W429">
        <f>HYPERLINK("https://klasma.github.io/Logging_PITEA/klagomålsmail/A 44255-2023.docx", "A 44255-2023")</f>
        <v/>
      </c>
      <c r="X429">
        <f>HYPERLINK("https://klasma.github.io/Logging_PITEA/tillsyn/A 44255-2023.docx", "A 44255-2023")</f>
        <v/>
      </c>
      <c r="Y429">
        <f>HYPERLINK("https://klasma.github.io/Logging_PITEA/tillsynsmail/A 44255-2023.docx", "A 44255-2023")</f>
        <v/>
      </c>
    </row>
    <row r="430" ht="15" customHeight="1">
      <c r="A430" t="inlineStr">
        <is>
          <t>A 46378-2023</t>
        </is>
      </c>
      <c r="B430" s="1" t="n">
        <v>45197</v>
      </c>
      <c r="C430" s="1" t="n">
        <v>45206</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HYPERLINK("https://klasma.github.io/Logging_OVERTORNEA/artfynd/A 46378-2023.xlsx", "A 46378-2023")</f>
        <v/>
      </c>
      <c r="T430">
        <f>HYPERLINK("https://klasma.github.io/Logging_OVERTORNEA/kartor/A 46378-2023.png", "A 46378-2023")</f>
        <v/>
      </c>
      <c r="V430">
        <f>HYPERLINK("https://klasma.github.io/Logging_OVERTORNEA/klagomål/A 46378-2023.docx", "A 46378-2023")</f>
        <v/>
      </c>
      <c r="W430">
        <f>HYPERLINK("https://klasma.github.io/Logging_OVERTORNEA/klagomålsmail/A 46378-2023.docx", "A 46378-2023")</f>
        <v/>
      </c>
      <c r="X430">
        <f>HYPERLINK("https://klasma.github.io/Logging_OVERTORNEA/tillsyn/A 46378-2023.docx", "A 46378-2023")</f>
        <v/>
      </c>
      <c r="Y430">
        <f>HYPERLINK("https://klasma.github.io/Logging_OVERTORNEA/tillsynsmail/A 46378-2023.docx", "A 46378-2023")</f>
        <v/>
      </c>
    </row>
    <row r="431" ht="15" customHeight="1">
      <c r="A431" t="inlineStr">
        <is>
          <t>A 33901-2018</t>
        </is>
      </c>
      <c r="B431" s="1" t="n">
        <v>43314</v>
      </c>
      <c r="C431" s="1" t="n">
        <v>45206</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45206</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45206</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45206</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45206</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45206</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45206</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45206</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45206</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45206</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45206</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45206</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45206</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45206</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45206</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45206</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45206</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45206</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45206</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45206</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45206</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45206</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45206</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45206</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45206</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45206</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45206</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45206</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45206</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45206</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45206</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45206</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45206</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45206</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45206</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45206</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45206</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45206</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45206</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45206</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45206</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45206</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45206</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45206</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45206</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45206</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45206</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45206</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45206</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45206</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45206</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45206</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45206</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45206</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45206</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45206</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45206</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45206</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45206</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45206</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45206</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45206</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45206</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45206</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45206</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45206</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45206</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45206</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45206</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45206</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45206</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45206</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45206</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45206</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45206</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45206</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45206</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45206</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45206</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45206</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45206</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45206</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45206</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45206</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45206</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45206</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45206</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45206</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45206</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45206</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45206</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45206</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45206</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45206</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45206</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45206</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45206</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45206</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45206</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45206</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45206</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45206</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45206</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45206</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45206</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45206</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45206</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45206</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45206</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45206</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45206</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45206</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45206</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45206</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45206</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45206</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45206</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45206</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45206</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45206</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45206</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45206</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45206</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45206</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45206</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45206</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45206</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45206</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45206</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45206</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45206</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45206</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45206</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45206</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45206</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45206</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45206</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45206</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45206</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45206</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45206</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45206</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45206</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45206</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45206</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45206</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45206</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45206</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45206</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45206</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45206</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45206</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45206</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45206</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45206</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45206</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45206</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45206</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45206</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45206</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45206</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45206</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45206</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45206</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45206</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45206</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45206</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45206</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45206</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45206</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45206</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45206</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45206</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45206</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45206</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45206</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45206</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45206</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45206</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45206</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45206</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45206</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45206</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45206</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45206</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45206</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45206</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45206</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45206</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45206</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45206</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45206</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45206</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45206</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45206</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45206</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45206</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45206</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45206</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45206</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45206</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45206</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45206</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45206</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45206</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45206</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45206</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45206</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45206</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45206</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45206</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45206</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45206</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45206</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45206</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45206</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45206</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45206</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45206</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45206</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45206</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45206</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45206</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45206</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45206</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45206</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45206</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45206</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45206</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45206</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45206</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45206</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45206</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45206</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45206</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45206</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45206</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45206</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45206</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45206</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45206</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45206</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45206</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45206</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45206</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45206</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45206</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45206</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45206</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45206</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45206</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45206</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45206</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45206</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45206</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45206</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45206</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45206</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45206</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45206</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45206</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45206</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45206</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45206</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45206</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45206</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45206</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45206</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45206</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45206</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45206</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45206</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45206</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45206</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45206</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45206</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45206</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45206</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45206</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45206</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45206</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45206</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45206</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45206</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45206</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45206</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45206</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45206</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45206</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45206</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45206</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45206</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45206</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45206</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45206</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45206</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45206</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45206</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45206</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45206</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45206</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45206</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45206</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45206</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45206</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45206</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45206</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45206</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45206</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45206</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45206</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45206</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45206</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45206</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45206</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45206</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45206</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45206</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45206</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45206</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45206</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45206</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45206</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45206</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45206</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45206</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45206</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45206</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45206</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45206</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45206</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45206</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45206</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45206</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45206</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45206</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45206</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45206</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45206</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45206</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45206</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45206</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45206</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45206</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45206</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45206</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45206</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45206</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45206</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45206</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45206</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45206</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45206</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45206</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45206</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45206</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45206</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45206</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45206</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45206</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45206</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45206</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45206</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45206</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45206</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45206</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45206</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45206</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45206</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45206</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45206</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45206</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45206</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45206</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45206</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45206</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45206</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45206</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45206</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45206</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45206</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45206</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45206</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45206</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45206</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45206</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45206</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45206</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45206</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45206</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45206</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45206</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45206</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45206</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45206</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45206</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45206</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45206</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45206</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45206</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45206</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45206</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45206</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45206</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45206</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45206</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45206</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45206</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45206</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45206</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45206</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45206</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45206</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45206</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45206</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45206</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45206</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45206</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45206</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45206</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45206</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45206</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45206</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45206</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45206</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45206</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45206</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45206</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45206</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45206</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45206</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45206</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45206</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45206</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45206</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45206</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45206</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45206</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45206</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45206</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45206</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45206</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45206</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45206</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45206</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45206</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45206</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45206</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45206</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45206</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45206</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45206</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45206</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45206</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45206</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45206</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45206</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45206</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45206</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45206</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45206</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45206</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45206</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45206</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45206</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45206</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45206</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45206</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45206</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45206</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45206</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45206</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45206</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45206</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45206</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45206</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45206</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45206</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45206</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45206</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45206</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45206</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45206</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45206</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45206</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45206</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45206</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45206</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45206</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45206</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45206</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45206</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45206</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45206</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45206</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45206</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45206</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45206</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45206</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45206</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45206</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45206</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45206</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45206</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45206</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45206</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45206</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45206</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45206</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45206</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45206</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45206</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45206</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45206</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45206</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45206</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45206</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45206</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45206</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45206</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45206</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45206</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45206</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45206</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45206</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45206</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45206</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45206</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45206</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45206</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45206</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45206</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45206</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45206</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45206</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45206</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45206</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45206</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45206</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45206</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45206</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45206</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45206</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45206</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45206</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45206</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45206</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45206</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45206</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45206</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45206</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45206</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45206</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45206</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45206</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45206</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45206</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45206</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45206</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45206</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45206</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45206</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45206</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45206</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45206</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45206</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45206</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45206</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45206</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45206</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45206</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45206</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45206</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45206</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45206</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45206</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45206</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45206</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45206</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45206</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45206</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45206</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45206</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45206</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45206</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45206</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45206</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45206</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45206</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45206</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45206</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45206</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45206</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45206</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45206</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45206</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45206</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45206</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45206</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45206</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45206</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45206</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45206</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45206</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45206</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45206</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45206</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45206</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45206</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45206</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45206</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45206</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45206</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45206</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45206</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45206</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45206</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45206</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45206</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45206</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45206</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45206</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45206</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45206</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45206</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45206</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45206</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45206</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45206</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45206</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45206</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45206</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45206</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45206</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45206</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45206</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45206</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45206</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45206</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45206</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45206</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45206</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45206</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45206</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45206</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45206</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45206</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45206</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45206</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45206</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45206</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45206</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45206</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45206</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45206</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45206</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45206</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45206</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45206</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45206</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45206</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45206</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45206</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45206</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45206</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45206</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45206</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45206</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45206</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45206</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45206</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45206</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45206</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45206</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45206</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45206</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45206</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45206</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45206</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45206</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45206</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45206</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45206</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45206</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45206</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45206</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45206</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45206</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45206</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45206</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45206</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45206</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45206</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45206</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45206</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45206</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45206</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45206</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45206</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45206</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45206</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45206</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45206</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45206</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45206</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45206</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45206</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45206</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45206</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45206</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45206</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45206</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45206</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45206</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45206</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45206</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45206</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45206</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45206</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45206</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45206</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45206</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45206</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45206</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45206</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45206</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45206</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45206</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45206</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45206</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45206</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45206</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45206</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45206</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45206</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45206</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45206</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45206</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45206</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45206</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45206</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45206</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45206</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45206</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45206</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45206</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45206</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45206</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45206</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45206</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45206</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45206</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45206</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45206</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45206</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45206</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45206</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45206</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45206</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45206</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45206</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45206</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45206</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45206</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45206</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45206</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45206</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45206</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45206</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45206</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45206</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45206</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45206</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45206</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45206</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45206</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45206</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45206</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45206</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45206</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45206</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45206</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45206</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45206</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45206</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45206</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45206</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45206</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45206</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45206</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45206</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45206</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45206</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45206</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45206</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45206</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45206</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45206</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45206</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45206</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45206</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45206</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45206</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45206</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45206</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45206</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45206</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45206</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45206</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45206</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45206</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45206</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45206</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45206</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45206</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45206</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45206</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45206</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45206</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45206</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45206</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45206</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45206</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45206</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45206</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45206</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45206</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45206</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45206</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45206</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45206</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45206</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45206</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45206</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45206</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45206</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45206</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45206</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45206</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45206</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45206</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45206</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45206</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45206</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45206</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45206</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45206</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45206</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45206</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45206</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45206</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45206</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45206</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45206</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45206</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45206</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45206</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45206</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45206</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45206</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45206</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45206</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45206</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45206</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45206</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45206</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45206</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45206</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45206</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45206</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45206</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45206</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45206</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45206</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45206</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45206</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45206</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45206</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45206</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45206</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45206</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45206</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45206</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45206</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45206</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45206</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45206</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45206</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45206</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45206</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45206</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45206</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45206</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45206</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45206</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45206</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45206</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45206</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45206</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45206</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45206</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45206</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45206</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45206</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45206</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45206</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45206</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45206</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45206</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45206</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45206</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45206</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45206</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45206</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45206</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45206</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45206</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45206</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45206</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45206</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45206</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45206</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45206</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45206</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45206</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45206</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45206</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45206</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45206</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45206</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45206</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45206</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45206</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HYPERLINK("https://klasma.github.io/Logging_BODEN/knärot/A 28223-2019.png", "A 28223-2019")</f>
        <v/>
      </c>
      <c r="V1363">
        <f>HYPERLINK("https://klasma.github.io/Logging_BODEN/klagomål/A 28223-2019.docx", "A 28223-2019")</f>
        <v/>
      </c>
      <c r="W1363">
        <f>HYPERLINK("https://klasma.github.io/Logging_BODEN/klagomålsmail/A 28223-2019.docx", "A 28223-2019")</f>
        <v/>
      </c>
      <c r="X1363">
        <f>HYPERLINK("https://klasma.github.io/Logging_BODEN/tillsyn/A 28223-2019.docx", "A 28223-2019")</f>
        <v/>
      </c>
      <c r="Y1363">
        <f>HYPERLINK("https://klasma.github.io/Logging_BODEN/tillsynsmail/A 28223-2019.docx", "A 28223-2019")</f>
        <v/>
      </c>
    </row>
    <row r="1364" ht="15" customHeight="1">
      <c r="A1364" t="inlineStr">
        <is>
          <t>A 28632-2019</t>
        </is>
      </c>
      <c r="B1364" s="1" t="n">
        <v>43621</v>
      </c>
      <c r="C1364" s="1" t="n">
        <v>45206</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45206</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45206</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45206</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45206</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45206</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45206</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45206</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45206</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45206</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45206</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45206</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45206</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45206</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45206</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45206</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45206</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45206</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45206</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45206</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45206</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45206</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45206</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45206</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45206</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45206</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45206</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45206</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45206</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45206</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45206</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45206</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45206</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45206</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45206</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45206</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45206</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45206</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45206</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45206</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45206</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45206</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45206</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45206</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45206</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45206</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45206</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45206</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45206</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45206</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45206</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45206</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45206</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45206</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45206</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45206</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45206</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45206</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45206</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45206</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45206</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45206</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45206</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45206</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45206</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45206</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45206</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45206</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45206</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45206</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45206</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45206</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45206</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45206</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45206</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45206</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45206</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45206</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45206</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45206</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45206</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45206</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45206</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45206</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45206</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45206</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45206</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45206</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45206</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45206</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45206</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45206</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45206</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45206</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45206</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45206</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45206</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45206</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45206</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45206</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45206</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45206</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45206</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45206</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45206</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45206</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45206</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45206</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45206</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45206</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45206</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45206</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45206</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45206</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45206</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45206</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45206</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45206</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45206</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45206</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45206</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45206</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45206</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45206</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45206</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45206</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45206</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45206</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45206</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45206</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45206</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45206</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45206</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45206</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45206</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45206</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45206</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45206</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45206</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45206</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45206</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45206</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45206</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45206</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45206</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45206</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45206</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45206</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45206</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45206</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45206</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45206</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45206</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45206</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45206</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45206</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45206</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45206</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45206</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45206</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45206</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45206</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45206</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45206</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45206</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45206</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45206</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45206</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45206</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45206</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45206</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45206</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45206</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45206</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45206</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45206</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45206</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45206</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45206</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45206</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45206</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45206</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45206</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45206</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45206</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45206</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45206</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45206</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45206</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45206</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45206</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45206</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45206</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45206</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45206</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45206</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45206</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45206</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45206</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45206</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45206</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45206</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45206</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45206</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45206</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45206</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45206</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45206</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45206</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45206</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45206</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45206</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45206</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45206</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45206</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45206</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45206</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45206</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45206</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45206</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45206</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45206</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45206</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45206</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45206</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45206</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45206</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45206</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45206</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45206</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45206</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45206</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45206</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45206</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45206</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45206</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45206</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45206</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45206</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45206</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45206</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45206</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45206</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45206</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45206</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45206</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45206</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45206</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45206</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45206</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45206</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45206</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45206</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45206</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45206</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45206</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45206</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45206</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45206</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45206</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45206</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45206</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45206</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45206</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45206</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45206</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45206</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45206</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45206</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45206</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45206</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45206</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45206</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45206</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45206</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45206</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45206</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45206</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45206</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45206</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45206</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45206</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45206</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45206</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45206</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45206</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45206</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45206</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45206</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45206</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45206</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45206</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45206</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45206</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45206</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45206</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45206</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45206</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45206</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45206</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45206</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45206</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45206</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45206</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45206</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45206</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45206</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45206</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45206</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45206</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45206</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45206</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45206</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45206</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45206</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45206</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45206</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45206</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45206</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45206</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45206</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45206</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45206</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45206</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45206</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45206</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45206</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45206</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45206</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45206</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45206</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45206</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45206</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45206</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45206</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45206</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45206</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45206</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45206</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45206</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45206</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45206</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45206</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45206</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45206</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45206</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45206</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45206</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45206</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45206</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45206</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45206</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45206</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45206</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45206</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45206</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45206</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45206</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45206</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45206</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45206</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45206</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45206</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45206</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45206</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45206</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45206</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45206</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45206</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45206</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45206</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45206</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45206</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45206</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45206</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45206</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45206</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45206</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45206</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45206</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45206</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45206</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45206</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45206</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45206</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45206</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45206</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45206</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45206</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45206</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45206</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45206</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45206</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45206</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45206</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45206</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45206</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45206</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45206</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45206</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45206</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45206</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45206</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45206</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45206</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45206</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45206</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45206</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45206</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45206</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45206</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45206</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45206</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45206</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45206</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45206</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45206</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45206</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45206</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45206</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45206</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45206</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45206</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45206</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45206</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45206</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45206</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45206</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45206</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45206</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45206</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45206</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45206</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45206</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45206</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45206</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45206</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45206</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45206</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45206</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45206</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45206</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45206</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45206</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45206</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45206</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45206</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45206</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45206</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45206</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45206</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45206</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45206</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45206</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45206</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45206</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45206</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45206</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45206</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45206</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45206</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45206</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45206</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45206</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45206</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45206</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45206</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45206</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45206</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45206</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45206</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45206</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45206</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45206</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45206</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45206</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45206</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45206</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45206</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45206</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45206</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45206</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45206</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45206</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45206</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45206</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45206</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45206</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45206</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45206</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45206</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45206</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45206</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45206</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45206</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45206</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45206</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45206</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45206</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45206</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45206</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45206</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45206</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45206</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45206</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45206</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45206</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45206</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45206</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45206</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45206</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45206</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45206</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45206</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45206</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45206</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45206</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45206</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45206</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45206</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45206</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45206</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45206</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45206</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45206</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45206</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45206</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45206</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45206</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45206</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45206</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45206</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45206</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45206</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45206</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45206</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45206</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45206</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45206</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45206</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45206</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45206</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45206</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45206</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45206</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45206</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45206</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45206</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45206</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45206</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45206</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45206</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45206</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45206</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45206</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45206</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45206</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45206</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45206</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45206</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45206</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45206</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45206</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45206</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45206</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45206</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45206</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45206</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45206</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45206</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45206</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45206</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45206</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45206</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45206</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45206</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45206</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45206</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45206</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45206</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45206</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45206</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45206</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45206</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45206</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45206</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45206</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45206</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45206</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45206</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45206</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45206</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45206</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45206</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45206</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45206</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45206</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45206</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45206</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45206</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45206</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45206</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45206</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45206</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45206</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45206</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45206</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45206</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45206</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45206</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45206</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45206</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45206</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45206</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45206</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45206</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45206</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45206</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45206</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45206</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45206</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45206</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45206</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45206</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45206</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45206</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45206</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45206</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45206</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45206</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45206</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45206</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45206</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45206</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45206</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45206</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45206</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45206</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45206</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45206</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45206</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45206</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45206</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45206</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45206</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45206</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45206</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45206</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45206</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45206</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45206</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45206</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45206</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45206</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45206</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45206</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45206</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45206</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45206</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45206</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45206</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45206</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45206</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45206</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45206</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45206</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45206</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45206</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45206</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45206</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45206</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45206</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45206</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45206</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45206</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45206</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45206</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45206</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45206</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45206</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45206</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45206</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45206</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45206</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45206</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45206</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45206</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45206</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45206</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45206</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45206</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45206</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45206</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45206</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45206</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45206</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45206</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45206</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45206</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45206</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45206</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45206</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45206</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45206</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45206</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45206</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45206</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45206</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45206</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45206</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45206</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45206</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45206</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45206</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45206</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45206</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45206</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45206</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45206</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45206</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45206</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45206</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45206</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45206</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45206</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45206</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45206</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45206</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45206</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45206</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45206</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45206</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45206</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45206</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45206</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45206</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45206</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45206</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45206</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45206</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45206</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45206</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45206</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45206</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45206</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45206</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45206</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45206</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45206</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45206</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45206</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45206</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45206</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45206</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45206</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45206</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45206</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45206</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45206</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45206</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45206</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45206</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45206</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45206</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45206</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45206</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45206</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45206</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45206</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45206</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45206</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45206</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45206</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45206</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45206</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45206</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45206</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45206</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45206</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45206</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45206</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45206</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45206</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45206</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45206</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45206</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45206</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45206</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45206</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45206</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45206</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45206</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45206</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45206</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45206</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45206</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45206</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45206</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45206</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45206</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45206</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45206</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45206</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45206</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45206</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45206</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45206</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45206</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45206</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45206</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45206</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45206</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45206</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45206</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45206</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45206</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45206</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45206</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45206</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45206</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45206</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45206</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45206</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45206</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45206</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45206</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45206</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45206</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45206</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45206</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45206</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45206</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45206</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45206</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45206</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45206</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45206</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45206</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45206</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45206</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45206</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45206</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45206</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45206</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45206</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45206</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45206</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45206</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45206</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45206</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45206</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45206</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45206</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45206</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45206</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45206</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45206</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45206</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45206</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HYPERLINK("https://klasma.github.io/Logging_BODEN/knärot/A 14325-2020.png", "A 14325-2020")</f>
        <v/>
      </c>
      <c r="V2222">
        <f>HYPERLINK("https://klasma.github.io/Logging_BODEN/klagomål/A 14325-2020.docx", "A 14325-2020")</f>
        <v/>
      </c>
      <c r="W2222">
        <f>HYPERLINK("https://klasma.github.io/Logging_BODEN/klagomålsmail/A 14325-2020.docx", "A 14325-2020")</f>
        <v/>
      </c>
      <c r="X2222">
        <f>HYPERLINK("https://klasma.github.io/Logging_BODEN/tillsyn/A 14325-2020.docx", "A 14325-2020")</f>
        <v/>
      </c>
      <c r="Y2222">
        <f>HYPERLINK("https://klasma.github.io/Logging_BODEN/tillsynsmail/A 14325-2020.docx", "A 14325-2020")</f>
        <v/>
      </c>
    </row>
    <row r="2223" ht="15" customHeight="1">
      <c r="A2223" t="inlineStr">
        <is>
          <t>A 16203-2020</t>
        </is>
      </c>
      <c r="B2223" s="1" t="n">
        <v>43907</v>
      </c>
      <c r="C2223" s="1" t="n">
        <v>45206</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45206</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45206</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45206</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45206</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45206</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45206</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45206</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45206</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45206</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45206</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45206</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45206</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45206</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45206</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45206</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45206</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45206</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45206</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45206</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45206</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45206</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45206</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45206</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45206</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45206</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45206</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45206</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45206</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45206</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45206</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45206</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45206</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45206</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45206</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45206</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45206</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45206</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45206</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45206</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45206</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45206</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45206</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45206</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45206</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45206</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45206</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45206</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45206</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45206</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45206</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45206</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45206</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45206</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45206</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45206</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45206</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45206</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45206</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45206</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45206</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45206</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45206</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45206</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45206</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45206</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45206</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45206</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45206</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45206</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45206</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45206</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45206</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45206</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45206</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45206</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45206</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45206</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45206</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45206</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45206</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45206</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45206</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45206</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45206</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45206</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45206</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45206</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45206</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45206</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45206</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45206</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45206</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45206</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45206</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45206</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45206</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45206</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45206</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45206</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45206</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45206</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45206</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45206</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45206</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45206</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45206</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45206</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45206</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45206</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45206</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45206</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45206</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45206</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45206</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45206</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45206</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45206</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45206</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45206</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45206</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45206</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45206</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45206</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45206</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45206</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45206</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45206</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45206</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45206</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45206</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45206</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45206</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45206</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45206</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45206</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45206</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45206</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45206</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45206</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45206</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45206</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45206</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45206</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45206</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45206</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45206</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45206</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45206</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45206</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45206</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45206</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45206</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45206</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45206</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45206</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45206</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45206</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45206</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45206</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45206</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45206</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45206</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45206</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45206</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45206</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45206</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45206</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45206</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45206</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45206</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45206</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45206</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45206</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45206</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45206</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45206</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45206</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45206</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45206</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45206</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45206</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45206</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45206</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45206</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45206</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45206</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45206</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45206</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45206</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45206</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45206</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45206</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45206</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45206</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45206</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45206</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45206</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45206</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45206</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45206</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45206</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45206</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45206</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45206</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45206</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45206</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45206</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45206</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45206</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45206</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45206</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45206</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45206</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45206</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45206</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45206</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45206</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45206</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45206</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45206</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45206</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45206</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45206</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45206</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45206</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45206</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45206</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45206</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45206</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45206</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45206</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45206</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45206</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45206</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45206</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45206</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45206</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45206</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45206</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45206</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45206</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45206</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45206</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45206</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45206</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45206</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45206</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45206</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45206</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45206</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45206</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45206</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45206</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45206</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45206</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45206</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45206</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45206</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45206</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45206</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45206</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45206</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45206</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45206</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45206</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45206</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45206</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45206</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45206</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45206</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45206</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45206</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45206</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45206</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45206</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45206</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45206</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45206</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45206</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45206</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45206</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45206</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45206</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45206</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45206</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45206</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45206</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45206</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45206</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45206</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45206</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45206</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45206</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45206</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45206</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45206</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45206</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45206</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45206</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45206</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45206</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45206</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45206</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45206</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45206</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45206</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45206</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45206</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45206</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45206</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45206</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45206</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45206</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45206</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45206</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45206</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45206</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45206</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45206</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45206</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45206</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45206</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45206</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45206</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45206</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45206</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45206</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45206</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45206</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45206</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45206</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45206</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45206</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45206</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45206</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45206</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45206</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45206</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45206</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45206</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45206</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45206</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45206</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45206</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45206</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45206</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45206</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45206</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45206</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45206</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45206</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45206</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45206</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45206</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45206</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45206</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45206</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45206</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45206</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45206</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45206</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45206</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45206</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45206</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45206</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45206</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45206</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45206</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45206</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45206</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45206</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45206</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45206</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45206</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45206</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45206</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45206</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45206</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45206</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45206</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45206</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45206</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45206</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45206</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45206</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45206</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45206</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45206</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45206</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45206</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45206</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45206</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45206</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45206</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45206</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45206</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45206</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45206</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45206</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45206</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45206</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45206</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45206</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45206</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45206</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45206</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45206</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45206</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45206</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45206</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45206</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45206</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45206</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45206</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45206</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45206</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45206</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45206</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45206</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45206</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45206</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45206</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45206</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45206</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45206</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45206</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45206</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45206</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45206</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45206</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45206</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45206</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45206</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45206</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45206</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45206</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45206</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45206</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45206</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45206</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45206</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45206</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45206</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45206</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45206</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45206</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45206</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45206</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45206</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45206</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45206</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45206</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45206</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45206</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45206</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45206</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45206</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45206</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45206</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45206</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45206</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45206</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45206</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45206</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45206</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45206</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45206</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45206</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45206</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45206</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45206</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45206</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45206</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45206</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45206</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45206</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45206</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45206</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45206</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45206</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45206</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45206</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45206</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45206</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45206</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45206</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45206</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45206</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45206</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45206</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45206</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45206</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45206</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45206</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45206</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45206</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45206</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45206</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45206</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45206</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45206</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45206</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45206</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45206</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45206</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45206</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45206</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45206</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45206</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45206</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45206</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45206</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45206</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45206</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45206</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45206</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45206</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45206</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45206</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45206</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45206</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45206</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45206</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45206</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45206</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45206</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45206</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45206</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45206</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45206</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45206</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45206</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45206</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45206</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45206</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45206</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45206</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45206</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45206</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45206</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45206</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45206</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45206</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45206</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45206</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45206</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45206</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45206</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45206</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45206</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45206</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45206</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45206</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45206</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45206</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45206</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45206</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45206</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45206</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45206</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45206</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45206</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45206</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45206</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45206</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45206</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45206</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45206</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45206</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45206</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45206</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45206</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45206</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45206</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45206</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45206</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45206</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45206</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45206</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45206</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45206</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45206</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45206</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45206</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45206</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45206</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45206</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45206</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45206</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45206</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45206</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45206</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45206</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45206</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45206</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45206</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45206</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45206</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45206</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45206</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45206</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45206</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45206</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45206</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45206</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45206</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45206</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45206</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45206</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45206</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45206</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45206</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45206</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45206</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45206</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45206</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45206</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45206</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45206</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45206</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45206</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45206</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45206</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45206</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45206</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45206</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45206</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45206</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45206</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45206</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45206</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45206</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45206</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45206</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45206</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45206</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45206</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45206</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45206</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45206</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45206</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45206</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45206</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45206</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45206</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45206</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45206</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45206</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45206</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45206</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HYPERLINK("https://klasma.github.io/Logging_BODEN/knärot/A 66696-2020.png", "A 66696-2020")</f>
        <v/>
      </c>
      <c r="V2873">
        <f>HYPERLINK("https://klasma.github.io/Logging_BODEN/klagomål/A 66696-2020.docx", "A 66696-2020")</f>
        <v/>
      </c>
      <c r="W2873">
        <f>HYPERLINK("https://klasma.github.io/Logging_BODEN/klagomålsmail/A 66696-2020.docx", "A 66696-2020")</f>
        <v/>
      </c>
      <c r="X2873">
        <f>HYPERLINK("https://klasma.github.io/Logging_BODEN/tillsyn/A 66696-2020.docx", "A 66696-2020")</f>
        <v/>
      </c>
      <c r="Y2873">
        <f>HYPERLINK("https://klasma.github.io/Logging_BODEN/tillsynsmail/A 66696-2020.docx", "A 66696-2020")</f>
        <v/>
      </c>
    </row>
    <row r="2874" ht="15" customHeight="1">
      <c r="A2874" t="inlineStr">
        <is>
          <t>A 65756-2020</t>
        </is>
      </c>
      <c r="B2874" s="1" t="n">
        <v>44174</v>
      </c>
      <c r="C2874" s="1" t="n">
        <v>45206</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45206</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45206</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45206</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45206</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45206</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45206</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45206</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45206</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45206</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45206</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45206</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45206</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45206</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45206</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45206</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45206</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45206</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45206</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45206</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45206</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45206</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45206</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45206</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45206</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45206</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45206</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45206</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45206</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45206</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45206</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45206</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45206</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45206</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45206</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45206</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45206</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45206</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45206</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45206</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45206</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45206</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45206</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45206</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45206</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45206</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45206</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45206</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45206</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45206</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45206</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45206</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45206</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45206</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45206</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45206</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45206</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45206</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45206</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45206</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45206</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45206</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45206</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45206</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45206</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45206</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45206</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45206</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45206</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45206</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45206</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45206</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45206</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45206</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45206</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45206</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45206</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45206</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45206</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45206</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45206</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45206</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45206</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45206</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45206</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45206</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45206</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45206</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45206</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45206</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45206</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45206</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45206</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45206</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45206</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45206</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45206</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45206</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45206</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45206</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45206</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45206</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45206</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45206</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45206</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45206</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45206</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45206</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45206</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45206</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45206</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45206</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45206</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45206</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45206</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45206</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45206</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45206</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45206</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45206</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45206</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45206</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45206</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45206</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45206</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45206</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45206</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45206</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45206</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45206</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45206</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45206</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45206</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45206</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45206</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45206</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45206</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45206</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45206</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45206</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45206</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45206</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45206</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45206</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45206</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45206</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45206</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45206</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45206</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45206</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45206</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45206</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45206</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45206</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45206</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45206</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45206</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45206</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45206</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45206</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45206</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45206</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45206</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45206</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45206</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45206</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45206</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45206</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45206</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45206</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45206</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45206</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45206</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45206</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45206</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45206</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45206</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45206</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45206</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45206</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45206</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45206</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45206</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45206</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45206</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45206</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45206</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45206</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45206</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45206</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45206</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45206</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45206</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45206</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45206</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45206</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45206</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45206</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45206</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45206</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45206</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45206</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45206</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45206</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45206</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45206</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45206</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45206</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45206</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45206</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45206</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45206</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45206</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45206</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45206</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45206</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45206</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45206</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45206</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45206</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45206</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45206</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45206</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45206</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45206</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45206</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45206</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45206</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45206</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45206</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45206</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45206</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45206</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45206</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45206</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45206</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45206</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45206</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45206</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45206</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45206</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45206</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45206</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45206</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45206</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45206</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45206</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45206</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45206</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45206</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45206</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45206</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45206</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45206</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45206</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45206</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45206</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45206</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45206</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45206</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45206</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45206</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45206</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45206</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45206</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45206</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45206</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45206</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45206</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45206</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45206</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45206</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45206</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45206</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45206</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45206</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45206</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45206</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45206</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45206</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45206</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45206</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45206</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45206</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45206</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45206</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45206</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45206</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45206</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45206</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45206</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45206</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45206</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45206</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45206</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45206</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45206</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45206</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45206</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45206</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45206</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45206</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45206</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45206</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45206</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45206</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45206</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45206</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45206</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45206</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45206</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45206</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45206</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45206</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45206</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45206</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45206</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45206</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45206</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45206</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45206</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45206</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45206</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45206</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45206</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45206</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45206</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45206</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45206</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45206</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45206</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45206</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45206</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45206</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45206</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45206</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45206</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45206</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45206</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45206</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45206</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45206</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45206</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45206</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45206</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45206</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45206</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45206</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45206</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45206</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45206</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45206</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45206</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45206</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45206</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45206</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45206</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45206</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45206</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45206</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45206</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45206</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45206</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45206</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45206</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45206</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45206</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45206</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45206</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45206</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45206</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45206</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45206</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45206</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45206</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45206</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45206</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45206</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45206</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45206</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45206</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45206</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45206</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45206</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45206</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45206</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45206</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45206</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45206</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45206</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45206</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45206</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45206</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45206</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45206</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45206</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45206</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45206</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45206</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45206</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45206</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45206</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45206</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45206</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45206</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45206</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45206</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45206</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45206</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45206</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45206</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45206</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45206</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45206</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45206</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45206</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45206</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45206</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45206</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45206</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45206</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45206</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45206</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45206</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45206</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45206</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45206</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45206</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45206</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45206</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45206</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45206</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45206</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45206</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45206</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45206</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45206</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45206</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45206</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45206</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45206</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45206</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45206</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45206</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45206</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45206</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45206</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45206</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45206</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45206</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45206</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45206</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45206</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45206</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45206</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45206</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45206</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45206</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45206</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45206</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45206</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45206</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45206</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45206</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45206</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45206</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45206</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45206</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45206</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45206</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45206</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45206</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45206</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45206</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45206</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45206</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45206</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45206</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45206</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45206</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45206</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45206</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45206</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45206</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45206</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45206</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45206</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45206</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45206</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45206</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45206</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45206</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45206</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45206</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45206</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45206</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45206</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45206</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45206</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45206</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45206</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45206</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45206</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45206</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45206</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45206</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45206</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45206</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45206</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45206</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45206</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45206</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45206</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45206</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45206</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45206</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45206</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45206</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45206</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45206</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45206</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45206</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45206</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45206</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45206</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45206</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45206</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45206</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45206</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45206</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45206</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45206</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45206</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45206</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45206</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45206</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45206</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45206</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45206</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45206</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45206</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45206</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45206</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45206</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45206</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45206</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45206</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45206</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45206</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45206</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45206</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45206</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45206</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45206</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45206</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45206</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45206</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45206</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45206</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45206</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45206</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45206</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45206</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45206</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45206</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45206</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45206</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45206</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45206</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45206</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45206</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45206</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45206</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45206</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45206</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45206</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45206</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45206</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45206</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45206</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45206</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45206</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45206</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45206</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45206</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45206</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45206</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45206</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45206</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45206</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45206</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45206</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45206</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45206</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45206</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45206</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45206</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45206</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45206</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45206</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45206</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45206</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45206</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45206</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45206</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45206</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45206</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45206</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45206</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45206</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45206</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45206</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45206</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45206</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45206</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45206</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45206</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45206</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45206</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45206</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45206</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45206</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45206</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45206</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45206</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45206</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45206</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45206</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45206</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45206</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45206</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45206</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45206</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45206</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45206</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45206</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45206</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45206</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45206</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45206</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45206</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45206</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45206</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45206</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45206</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45206</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45206</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45206</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45206</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45206</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45206</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45206</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45206</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45206</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45206</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45206</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45206</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45206</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45206</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45206</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45206</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45206</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45206</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45206</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45206</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45206</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45206</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45206</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45206</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45206</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45206</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45206</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45206</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45206</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45206</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45206</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45206</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45206</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45206</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45206</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45206</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45206</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45206</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45206</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45206</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45206</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45206</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45206</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45206</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45206</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45206</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45206</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45206</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45206</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45206</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45206</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45206</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45206</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45206</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45206</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45206</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45206</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45206</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45206</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45206</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45206</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45206</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45206</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45206</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45206</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45206</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45206</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45206</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45206</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45206</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45206</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45206</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45206</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45206</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45206</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45206</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45206</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45206</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45206</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45206</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45206</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45206</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45206</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45206</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45206</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45206</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45206</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45206</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45206</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45206</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45206</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45206</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45206</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45206</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45206</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45206</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45206</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45206</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45206</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45206</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45206</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45206</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45206</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45206</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45206</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45206</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45206</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45206</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45206</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45206</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45206</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45206</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45206</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45206</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45206</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45206</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45206</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45206</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45206</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45206</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45206</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45206</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45206</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45206</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45206</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45206</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45206</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45206</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45206</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45206</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45206</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45206</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45206</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45206</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45206</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45206</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45206</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45206</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45206</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45206</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45206</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45206</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45206</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45206</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45206</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45206</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45206</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45206</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45206</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45206</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45206</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45206</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45206</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45206</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45206</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45206</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45206</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45206</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45206</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45206</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45206</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45206</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45206</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45206</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45206</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45206</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45206</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45206</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45206</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45206</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45206</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45206</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45206</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45206</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45206</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45206</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45206</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45206</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45206</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45206</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45206</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45206</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45206</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45206</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45206</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45206</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45206</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45206</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45206</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45206</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45206</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45206</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45206</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45206</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45206</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45206</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45206</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45206</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45206</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45206</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45206</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45206</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45206</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45206</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45206</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45206</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45206</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45206</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45206</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45206</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45206</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45206</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45206</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45206</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45206</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45206</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45206</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45206</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45206</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45206</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45206</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45206</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45206</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45206</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45206</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45206</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45206</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45206</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45206</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45206</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45206</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45206</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45206</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45206</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45206</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45206</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45206</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45206</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45206</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45206</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45206</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45206</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45206</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45206</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45206</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45206</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45206</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45206</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45206</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45206</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45206</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45206</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45206</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45206</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45206</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45206</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45206</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45206</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45206</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45206</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45206</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45206</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45206</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45206</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45206</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45206</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45206</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45206</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45206</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45206</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45206</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45206</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45206</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45206</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45206</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45206</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45206</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45206</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45206</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45206</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45206</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45206</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45206</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45206</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45206</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45206</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45206</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45206</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45206</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45206</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45206</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45206</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45206</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45206</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45206</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45206</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45206</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45206</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45206</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45206</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45206</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45206</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45206</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45206</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45206</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45206</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45206</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45206</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45206</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45206</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45206</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45206</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45206</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45206</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45206</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45206</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45206</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45206</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45206</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45206</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45206</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45206</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45206</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45206</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45206</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45206</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45206</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45206</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45206</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45206</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45206</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45206</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45206</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45206</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45206</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45206</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45206</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45206</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45206</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45206</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45206</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45206</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45206</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45206</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45206</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45206</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45206</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45206</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45206</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45206</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45206</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45206</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45206</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45206</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45206</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45206</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45206</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45206</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45206</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45206</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45206</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45206</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45206</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45206</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45206</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45206</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45206</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45206</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45206</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45206</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45206</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45206</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45206</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45206</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45206</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45206</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45206</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45206</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45206</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45206</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45206</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45206</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45206</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45206</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45206</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45206</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45206</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45206</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45206</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45206</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45206</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45206</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45206</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45206</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45206</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45206</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45206</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45206</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45206</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45206</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45206</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45206</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45206</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45206</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45206</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45206</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45206</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45206</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45206</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45206</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45206</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45206</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45206</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45206</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45206</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45206</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45206</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45206</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45206</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45206</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45206</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45206</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45206</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45206</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45206</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45206</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45206</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45206</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45206</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45206</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45206</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45206</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45206</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45206</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45206</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45206</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45206</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45206</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45206</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45206</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45206</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45206</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45206</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45206</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45206</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45206</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45206</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45206</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45206</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45206</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45206</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45206</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45206</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45206</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45206</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45206</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45206</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45206</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45206</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45206</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45206</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45206</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45206</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45206</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45206</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45206</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45206</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45206</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45206</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45206</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45206</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45206</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45206</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45206</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45206</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45206</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45206</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45206</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45206</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45206</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45206</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45206</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45206</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45206</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45206</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45206</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45206</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45206</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45206</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45206</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45206</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45206</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45206</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45206</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45206</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45206</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45206</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45206</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45206</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45206</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45206</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45206</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45206</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45206</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45206</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45206</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45206</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45206</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45206</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45206</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45206</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45206</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45206</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45206</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45206</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45206</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45206</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45206</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45206</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45206</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45206</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45206</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45206</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45206</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45206</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45206</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45206</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45206</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45206</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45206</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45206</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45206</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45206</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45206</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45206</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45206</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45206</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45206</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45206</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45206</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45206</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45206</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45206</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45206</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45206</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45206</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45206</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45206</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45206</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45206</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45206</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45206</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45206</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45206</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45206</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45206</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45206</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45206</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45206</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45206</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45206</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45206</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45206</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45206</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45206</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45206</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45206</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45206</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45206</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45206</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45206</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45206</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45206</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45206</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45206</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45206</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45206</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45206</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45206</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45206</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45206</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45206</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45206</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45206</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45206</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45206</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45206</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45206</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45206</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45206</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45206</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45206</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45206</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45206</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45206</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45206</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45206</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45206</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45206</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45206</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45206</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45206</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45206</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45206</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45206</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45206</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45206</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45206</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45206</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45206</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45206</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45206</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45206</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45206</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45206</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45206</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45206</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45206</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45206</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45206</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45206</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45206</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45206</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45206</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45206</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45206</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45206</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45206</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45206</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45206</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45206</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45206</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45206</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45206</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45206</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45206</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45206</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45206</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45206</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45206</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45206</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45206</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45206</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45206</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45206</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45206</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45206</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45206</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45206</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45206</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45206</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45206</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45206</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45206</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45206</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45206</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45206</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45206</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45206</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45206</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45206</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45206</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45206</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45206</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45206</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45206</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45206</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45206</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45206</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45206</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45206</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45206</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45206</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45206</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45206</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45206</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45206</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45206</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45206</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45206</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45206</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45206</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45206</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45206</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45206</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45206</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45206</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45206</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45206</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45206</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45206</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45206</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45206</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45206</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45206</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45206</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45206</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45206</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45206</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45206</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45206</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45206</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45206</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45206</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45206</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45206</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45206</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45206</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45206</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45206</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45206</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45206</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45206</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45206</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45206</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45206</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45206</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45206</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45206</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45206</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45206</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45206</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45206</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45206</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45206</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45206</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45206</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45206</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45206</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45206</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45206</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45206</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45206</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45206</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45206</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45206</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45206</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45206</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45206</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45206</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45206</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45206</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45206</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45206</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45206</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45206</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45206</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45206</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45206</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45206</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45206</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45206</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45206</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45206</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45206</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45206</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45206</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45206</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45206</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45206</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45206</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45206</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45206</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45206</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45206</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45206</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45206</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45206</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45206</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45206</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45206</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45206</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45206</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45206</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45206</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45206</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45206</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45206</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45206</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45206</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45206</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45206</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45206</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45206</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45206</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45206</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45206</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45206</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45206</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45206</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45206</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45206</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45206</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45206</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45206</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45206</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45206</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45206</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45206</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45206</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45206</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45206</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45206</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45206</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45206</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45206</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45206</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45206</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45206</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45206</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45206</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45206</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45206</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45206</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45206</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45206</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45206</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45206</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45206</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45206</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45206</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45206</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45206</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45206</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45206</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45206</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45206</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45206</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45206</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45206</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45206</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45206</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45206</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45206</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45206</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45206</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45206</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45206</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45206</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45206</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45206</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45206</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45206</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45206</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45206</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45206</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45206</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45206</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45206</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45206</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45206</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45206</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45206</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45206</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45206</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45206</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45206</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45206</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45206</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45206</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45206</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45206</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45206</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45206</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45206</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45206</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45206</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45206</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45206</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45206</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45206</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45206</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45206</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45206</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45206</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45206</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45206</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45206</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45206</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45206</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45206</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45206</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45206</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45206</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45206</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45206</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45206</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45206</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45206</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45206</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45206</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45206</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45206</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45206</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45206</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45206</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45206</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45206</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45206</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45206</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45206</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45206</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45206</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45206</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45206</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45206</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45206</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45206</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45206</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45206</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45206</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45206</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45206</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45206</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45206</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45206</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45206</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45206</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45206</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45206</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45206</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45206</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45206</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45206</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45206</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45206</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45206</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45206</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45206</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45206</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45206</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45206</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45206</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45206</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45206</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45206</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45206</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45206</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45206</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45206</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45206</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45206</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45206</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45206</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45206</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45206</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45206</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45206</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45206</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45206</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45206</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45206</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45206</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45206</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45206</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45206</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45206</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45206</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45206</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45206</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45206</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45206</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45206</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45206</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45206</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45206</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45206</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45206</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45206</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45206</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45206</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45206</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45206</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45206</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45206</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45206</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45206</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45206</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45206</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45206</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45206</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45206</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45206</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45206</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45206</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45206</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45206</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45206</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45206</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45206</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45206</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45206</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45206</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45206</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45206</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45206</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45206</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45206</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45206</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45206</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45206</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45206</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45206</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45206</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45206</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45206</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45206</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45206</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45206</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45206</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45206</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45206</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45206</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45206</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45206</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45206</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45206</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45206</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45206</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45206</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45206</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45206</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45206</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45206</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45206</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45206</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45206</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45206</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45206</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45206</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45206</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45206</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45206</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45206</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45206</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45206</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45206</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45206</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45206</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45206</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45206</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45206</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45206</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45206</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45206</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45206</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45206</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45206</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45206</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45206</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45206</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45206</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45206</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45206</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45206</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45206</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45206</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45206</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45206</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45206</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45206</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45206</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45206</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45206</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45206</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45206</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45206</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45206</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45206</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45206</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45206</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45206</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45206</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45206</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45206</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45206</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45206</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45206</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45206</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45206</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45206</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45206</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45206</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45206</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45206</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45206</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45206</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45206</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45206</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45206</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45206</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45206</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45206</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45206</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45206</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45206</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45206</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45206</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45206</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45206</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45206</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45206</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45206</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45206</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45206</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45206</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45206</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45206</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45206</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45206</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45206</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45206</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45206</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45206</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45206</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45206</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45206</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45206</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45206</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45206</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45206</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45206</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45206</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45206</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45206</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45206</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45206</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45206</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45206</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45206</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45206</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45206</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45206</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45206</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45206</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45206</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45206</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45206</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45206</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45206</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45206</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45206</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45206</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45206</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45206</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45206</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45206</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45206</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45206</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45206</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45206</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45206</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45206</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45206</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45206</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45206</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45206</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45206</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45206</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45206</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45206</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45206</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45206</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45206</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45206</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45206</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45206</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45206</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45206</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45206</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45206</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45206</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45206</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45206</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45206</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45206</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45206</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45206</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45206</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45206</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45206</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45206</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45206</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45206</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45206</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45206</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45206</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45206</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45206</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45206</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45206</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45206</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45206</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45206</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45206</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45206</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45206</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45206</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45206</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45206</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45206</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45206</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45206</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45206</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45206</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45206</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45206</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45206</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45206</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45206</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45206</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45206</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45206</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45206</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45206</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45206</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45206</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45206</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45206</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45206</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45206</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45206</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45206</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45206</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45206</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45206</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45206</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45206</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45206</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45206</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45206</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45206</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45206</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45206</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45206</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45206</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45206</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45206</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45206</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45206</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45206</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45206</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45206</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45206</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45206</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45206</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45206</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45206</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45206</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45206</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45206</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45206</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45206</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45206</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45206</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45206</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45206</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45206</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45206</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45206</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45206</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45206</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45206</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45206</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45206</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45206</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45206</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45206</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45206</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45206</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45206</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45206</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45206</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45206</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45206</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45206</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45206</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45206</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45206</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45206</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45206</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45206</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45206</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45206</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45206</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45206</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45206</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45206</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45206</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45206</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45206</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45206</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45206</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45206</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45206</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45206</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45206</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45206</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45206</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45206</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45206</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45206</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45206</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45206</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45206</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45206</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45206</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45206</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45206</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45206</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45206</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45206</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45206</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45206</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45206</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45206</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45206</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45206</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45206</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45206</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45206</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45206</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45206</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45206</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45206</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45206</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45206</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45206</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45206</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45206</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45206</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45206</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45206</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45206</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45206</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45206</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45206</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45206</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45206</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45206</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45206</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45206</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45206</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45206</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45206</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45206</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45206</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45206</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45206</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45206</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45206</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45206</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45206</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45206</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45206</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45206</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45206</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45206</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45206</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45206</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45206</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45206</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45206</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45206</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45206</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45206</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45206</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45206</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45206</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45206</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45206</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45206</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45206</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45206</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45206</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45206</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45206</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45206</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45206</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45206</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45206</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45206</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45206</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45206</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45206</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45206</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45206</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45206</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45206</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45206</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45206</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45206</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45206</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45206</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45206</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45206</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45206</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45206</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45206</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45206</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45206</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45206</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45206</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45206</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45206</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45206</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45206</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45206</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45206</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45206</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45206</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45206</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45206</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45206</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45206</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45206</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45206</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45206</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45206</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45206</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45206</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45206</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45206</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45206</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45206</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45206</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45206</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45206</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45206</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45206</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45206</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45206</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45206</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45206</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45206</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45206</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45206</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45206</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45206</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45206</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45206</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45206</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45206</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45206</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45206</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45206</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45206</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45206</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45206</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45206</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45206</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45206</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45206</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45206</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45206</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45206</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45206</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45206</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45206</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45206</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45206</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45206</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45206</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45206</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45206</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45206</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45206</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45206</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45206</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45206</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45206</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45206</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45206</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45206</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45206</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45206</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45206</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45206</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45206</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45206</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45206</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45206</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45206</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45206</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45206</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45206</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45206</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45206</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45206</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45206</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45206</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45206</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45206</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45206</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45206</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45206</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45206</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45206</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45206</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45206</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45206</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45206</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45206</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45206</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45206</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45206</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45206</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45206</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45206</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45206</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45206</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45206</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45206</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45206</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45206</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45206</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45206</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45206</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45206</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45206</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45206</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45206</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45206</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45206</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45206</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45206</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45206</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45206</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45206</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45206</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45206</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45206</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45206</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45206</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45206</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45206</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45206</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45206</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45206</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45206</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45206</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45206</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45206</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45206</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45206</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45206</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45206</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45206</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45206</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45206</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45206</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45206</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45206</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45206</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45206</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45206</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45206</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45206</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45206</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45206</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45206</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45206</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45206</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45206</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45206</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45206</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45206</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45206</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45206</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45206</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45206</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45206</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45206</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45206</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45206</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45206</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45206</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45206</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45206</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45206</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45206</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45206</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45206</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45206</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45206</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45206</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45206</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45206</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45206</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45206</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45206</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45206</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45206</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45206</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45206</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45206</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45206</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45206</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45206</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45206</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45206</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45206</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45206</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45206</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45206</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45206</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45206</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45206</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45206</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45206</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45206</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45206</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45206</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45206</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45206</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45206</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45206</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45206</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45206</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45206</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45206</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45206</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45206</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45206</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45206</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45206</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45206</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45206</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45206</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45206</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45206</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45206</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45206</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45206</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45206</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45206</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45206</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45206</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45206</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45206</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45206</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45206</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45206</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45206</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45206</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45206</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45206</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45206</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45206</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45206</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45206</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45206</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45206</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45206</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45206</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45206</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45206</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45206</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45206</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45206</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45206</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45206</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45206</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45206</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45206</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45206</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45206</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45206</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45206</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45206</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45206</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45206</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45206</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45206</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45206</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45206</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45206</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45206</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45206</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45206</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45206</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45206</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45206</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45206</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45206</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45206</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45206</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45206</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45206</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45206</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45206</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45206</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45206</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45206</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45206</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45206</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45206</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45206</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45206</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45206</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45206</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45206</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45206</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45206</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45206</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45206</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45206</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45206</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45206</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45206</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45206</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45206</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45206</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45206</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45206</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45206</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45206</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45206</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45206</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45206</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45206</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45206</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45206</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45206</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45206</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45206</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45206</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45206</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45206</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45206</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45206</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45206</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45206</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45206</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45206</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45206</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45206</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45206</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45206</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45206</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45206</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45206</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45206</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45206</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45206</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45206</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45206</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45206</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45206</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45206</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45206</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45206</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45206</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45206</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45206</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45206</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45206</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45206</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45206</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45206</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45206</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45206</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45206</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45206</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45206</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45206</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45206</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45206</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45206</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45206</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45206</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45206</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45206</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45206</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45206</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45206</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45206</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45206</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45206</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45206</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45206</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45206</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45206</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45206</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45206</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45206</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45206</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45206</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45206</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45206</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45206</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45206</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45206</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45206</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45206</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45206</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45206</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45206</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45206</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45206</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45206</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45206</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45206</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45206</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45206</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45206</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45206</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45206</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45206</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45206</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45206</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45206</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45206</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45206</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45206</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45206</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45206</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45206</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45206</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45206</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45206</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45206</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45206</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45206</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45206</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45206</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45206</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45206</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45206</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45206</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45206</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45206</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45206</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45206</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45206</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45206</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45206</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45206</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45206</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45206</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45206</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45206</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45206</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45206</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45206</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45206</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45206</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45206</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45206</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45206</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45206</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45206</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45206</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45206</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45206</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45206</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45206</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45206</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45206</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45206</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45206</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45206</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45206</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45206</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45206</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45206</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45206</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45206</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45206</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45206</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45206</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45206</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45206</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45206</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45206</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45206</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45206</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45206</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45206</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45206</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45206</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45206</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45206</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45206</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45206</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45206</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45206</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45206</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45206</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45206</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45206</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45206</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45206</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45206</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45206</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45206</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45206</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45206</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45206</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45206</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45206</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45206</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45206</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45206</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45206</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45206</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45206</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45206</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45206</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45206</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45206</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45206</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45206</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45206</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45206</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45206</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45206</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45206</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45206</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45206</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45206</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45206</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45206</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45206</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45206</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45206</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45206</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45206</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45206</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45206</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45206</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45206</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45206</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45206</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45206</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45206</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45206</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45206</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45206</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45206</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45206</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45206</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45206</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45206</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45206</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45206</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45206</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45206</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45206</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45206</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45206</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45206</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45206</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45206</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45206</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45206</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45206</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45206</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45206</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45206</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45206</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45206</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45206</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45206</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45206</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45206</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45206</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45206</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45206</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45206</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45206</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45206</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45206</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45206</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45206</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45206</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45206</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45206</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45206</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45206</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45206</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45206</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45206</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45206</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45206</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45206</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45206</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45206</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45206</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45206</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45206</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45206</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45206</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45206</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45206</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45206</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45206</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45206</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45206</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45206</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45206</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45206</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45206</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45206</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45206</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45206</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45206</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45206</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45206</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45206</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45206</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45206</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45206</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45206</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45206</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45206</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45206</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45206</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45206</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45206</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45206</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45206</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45206</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45206</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45206</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45206</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45206</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45206</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45206</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45206</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45206</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45206</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45206</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45206</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45206</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45206</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45206</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45206</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45206</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45206</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45206</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45206</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45206</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45206</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45206</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45206</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45206</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45206</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45206</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45206</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45206</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45206</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45206</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45206</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45206</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45206</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45206</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45206</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45206</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45206</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45206</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45206</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45206</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45206</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45206</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45206</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45206</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45206</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45206</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45206</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45206</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45206</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45206</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45206</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45206</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45206</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45206</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45206</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45206</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45206</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45206</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45206</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45206</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45206</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45206</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45206</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45206</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45206</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45206</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45206</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45206</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45206</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45206</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45206</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45206</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45206</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45206</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45206</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45206</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45206</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45206</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45206</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45206</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45206</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45206</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45206</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45206</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45206</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45206</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45206</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45206</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45206</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45206</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45206</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45206</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45206</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45206</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45206</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45206</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45206</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45206</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45206</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45206</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45206</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45206</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45206</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45206</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45206</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45206</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45206</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45206</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45206</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45206</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45206</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45206</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45206</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45206</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45206</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45206</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45206</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45206</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45206</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45206</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45206</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45206</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45206</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45206</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45206</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45206</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45206</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45206</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45206</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45206</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45206</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45206</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45206</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45206</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45206</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45206</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45206</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45206</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45206</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45206</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45206</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45206</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45206</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45206</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45206</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45206</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45206</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45206</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45206</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45206</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45206</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45206</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45206</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45206</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45206</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45206</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45206</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45206</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45206</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45206</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45206</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45206</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45206</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45206</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45206</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45206</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45206</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45206</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45206</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45206</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45206</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45206</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45206</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45206</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45206</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45206</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45206</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45206</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45206</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45206</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45206</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45206</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45206</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45206</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45206</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45206</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45206</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c r="A5729" t="inlineStr">
        <is>
          <t>A 48063-2023</t>
        </is>
      </c>
      <c r="B5729" s="1" t="n">
        <v>45204</v>
      </c>
      <c r="C5729" s="1" t="n">
        <v>45206</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2023-10-07T22:47:37Z</dcterms:created>
  <dcterms:modified xmlns:dcterms="http://purl.org/dc/terms/" xmlns:xsi="http://www.w3.org/2001/XMLSchema-instance" xsi:type="dcterms:W3CDTF">2023-10-07T22:47:40Z</dcterms:modified>
</cp:coreProperties>
</file>