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45192</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45192</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45192</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45192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45192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45192</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45192</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45192</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45192</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45192</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45192</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10099-2019</t>
        </is>
      </c>
      <c r="B13" s="1" t="n">
        <v>43509</v>
      </c>
      <c r="C13" s="1" t="n">
        <v>45192</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 "A 10099-2019")</f>
        <v/>
      </c>
      <c r="T13">
        <f>HYPERLINK("https://klasma.github.io/Logging_NORRTALJE/kartor/A 10099-2019.png", "A 10099-2019")</f>
        <v/>
      </c>
      <c r="V13">
        <f>HYPERLINK("https://klasma.github.io/Logging_NORRTALJE/klagomål/A 10099-2019.docx", "A 10099-2019")</f>
        <v/>
      </c>
      <c r="W13">
        <f>HYPERLINK("https://klasma.github.io/Logging_NORRTALJE/klagomålsmail/A 10099-2019.docx", "A 10099-2019")</f>
        <v/>
      </c>
      <c r="X13">
        <f>HYPERLINK("https://klasma.github.io/Logging_NORRTALJE/tillsyn/A 10099-2019.docx", "A 10099-2019")</f>
        <v/>
      </c>
      <c r="Y13">
        <f>HYPERLINK("https://klasma.github.io/Logging_NORRTALJE/tillsynsmail/A 10099-2019.docx", "A 10099-2019")</f>
        <v/>
      </c>
    </row>
    <row r="14" ht="15" customHeight="1">
      <c r="A14" t="inlineStr">
        <is>
          <t>A 5738-2020</t>
        </is>
      </c>
      <c r="B14" s="1" t="n">
        <v>43863</v>
      </c>
      <c r="C14" s="1" t="n">
        <v>45192</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 "A 5738-2020")</f>
        <v/>
      </c>
      <c r="T14">
        <f>HYPERLINK("https://klasma.github.io/Logging_NORRTALJE/kartor/A 5738-2020.png", "A 5738-2020")</f>
        <v/>
      </c>
      <c r="V14">
        <f>HYPERLINK("https://klasma.github.io/Logging_NORRTALJE/klagomål/A 5738-2020.docx", "A 5738-2020")</f>
        <v/>
      </c>
      <c r="W14">
        <f>HYPERLINK("https://klasma.github.io/Logging_NORRTALJE/klagomålsmail/A 5738-2020.docx", "A 5738-2020")</f>
        <v/>
      </c>
      <c r="X14">
        <f>HYPERLINK("https://klasma.github.io/Logging_NORRTALJE/tillsyn/A 5738-2020.docx", "A 5738-2020")</f>
        <v/>
      </c>
      <c r="Y14">
        <f>HYPERLINK("https://klasma.github.io/Logging_NORRTALJE/tillsynsmail/A 5738-2020.docx", "A 5738-2020")</f>
        <v/>
      </c>
    </row>
    <row r="15" ht="15" customHeight="1">
      <c r="A15" t="inlineStr">
        <is>
          <t>A 2276-2019</t>
        </is>
      </c>
      <c r="B15" s="1" t="n">
        <v>43475</v>
      </c>
      <c r="C15" s="1" t="n">
        <v>45192</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 "A 2276-2019")</f>
        <v/>
      </c>
      <c r="T15">
        <f>HYPERLINK("https://klasma.github.io/Logging_NORRTALJE/kartor/A 2276-2019.png", "A 2276-2019")</f>
        <v/>
      </c>
      <c r="V15">
        <f>HYPERLINK("https://klasma.github.io/Logging_NORRTALJE/klagomål/A 2276-2019.docx", "A 2276-2019")</f>
        <v/>
      </c>
      <c r="W15">
        <f>HYPERLINK("https://klasma.github.io/Logging_NORRTALJE/klagomålsmail/A 2276-2019.docx", "A 2276-2019")</f>
        <v/>
      </c>
      <c r="X15">
        <f>HYPERLINK("https://klasma.github.io/Logging_NORRTALJE/tillsyn/A 2276-2019.docx", "A 2276-2019")</f>
        <v/>
      </c>
      <c r="Y15">
        <f>HYPERLINK("https://klasma.github.io/Logging_NORRTALJE/tillsynsmail/A 2276-2019.docx", "A 2276-2019")</f>
        <v/>
      </c>
    </row>
    <row r="16" ht="15" customHeight="1">
      <c r="A16" t="inlineStr">
        <is>
          <t>A 28411-2019</t>
        </is>
      </c>
      <c r="B16" s="1" t="n">
        <v>43626</v>
      </c>
      <c r="C16" s="1" t="n">
        <v>45192</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 "A 28411-2019")</f>
        <v/>
      </c>
      <c r="T16">
        <f>HYPERLINK("https://klasma.github.io/Logging_NORRTALJE/kartor/A 28411-2019.png", "A 28411-2019")</f>
        <v/>
      </c>
      <c r="V16">
        <f>HYPERLINK("https://klasma.github.io/Logging_NORRTALJE/klagomål/A 28411-2019.docx", "A 28411-2019")</f>
        <v/>
      </c>
      <c r="W16">
        <f>HYPERLINK("https://klasma.github.io/Logging_NORRTALJE/klagomålsmail/A 28411-2019.docx", "A 28411-2019")</f>
        <v/>
      </c>
      <c r="X16">
        <f>HYPERLINK("https://klasma.github.io/Logging_NORRTALJE/tillsyn/A 28411-2019.docx", "A 28411-2019")</f>
        <v/>
      </c>
      <c r="Y16">
        <f>HYPERLINK("https://klasma.github.io/Logging_NORRTALJE/tillsynsmail/A 28411-2019.docx", "A 28411-2019")</f>
        <v/>
      </c>
    </row>
    <row r="17" ht="15" customHeight="1">
      <c r="A17" t="inlineStr">
        <is>
          <t>A 63484-2019</t>
        </is>
      </c>
      <c r="B17" s="1" t="n">
        <v>43794</v>
      </c>
      <c r="C17" s="1" t="n">
        <v>45192</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 "A 63484-2019")</f>
        <v/>
      </c>
      <c r="T17">
        <f>HYPERLINK("https://klasma.github.io/Logging_NORRTALJE/kartor/A 63484-2019.png", "A 63484-2019")</f>
        <v/>
      </c>
      <c r="V17">
        <f>HYPERLINK("https://klasma.github.io/Logging_NORRTALJE/klagomål/A 63484-2019.docx", "A 63484-2019")</f>
        <v/>
      </c>
      <c r="W17">
        <f>HYPERLINK("https://klasma.github.io/Logging_NORRTALJE/klagomålsmail/A 63484-2019.docx", "A 63484-2019")</f>
        <v/>
      </c>
      <c r="X17">
        <f>HYPERLINK("https://klasma.github.io/Logging_NORRTALJE/tillsyn/A 63484-2019.docx", "A 63484-2019")</f>
        <v/>
      </c>
      <c r="Y17">
        <f>HYPERLINK("https://klasma.github.io/Logging_NORRTALJE/tillsynsmail/A 63484-2019.docx", "A 63484-2019")</f>
        <v/>
      </c>
    </row>
    <row r="18" ht="15" customHeight="1">
      <c r="A18" t="inlineStr">
        <is>
          <t>A 51334-2022</t>
        </is>
      </c>
      <c r="B18" s="1" t="n">
        <v>44869</v>
      </c>
      <c r="C18" s="1" t="n">
        <v>45192</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 "A 51334-2022")</f>
        <v/>
      </c>
      <c r="T18">
        <f>HYPERLINK("https://klasma.github.io/Logging_NORRTALJE/kartor/A 51334-2022.png", "A 51334-2022")</f>
        <v/>
      </c>
      <c r="V18">
        <f>HYPERLINK("https://klasma.github.io/Logging_NORRTALJE/klagomål/A 51334-2022.docx", "A 51334-2022")</f>
        <v/>
      </c>
      <c r="W18">
        <f>HYPERLINK("https://klasma.github.io/Logging_NORRTALJE/klagomålsmail/A 51334-2022.docx", "A 51334-2022")</f>
        <v/>
      </c>
      <c r="X18">
        <f>HYPERLINK("https://klasma.github.io/Logging_NORRTALJE/tillsyn/A 51334-2022.docx", "A 51334-2022")</f>
        <v/>
      </c>
      <c r="Y18">
        <f>HYPERLINK("https://klasma.github.io/Logging_NORRTALJE/tillsynsmail/A 51334-2022.docx", "A 51334-2022")</f>
        <v/>
      </c>
    </row>
    <row r="19" ht="15" customHeight="1">
      <c r="A19" t="inlineStr">
        <is>
          <t>A 26273-2019</t>
        </is>
      </c>
      <c r="B19" s="1" t="n">
        <v>43611</v>
      </c>
      <c r="C19" s="1" t="n">
        <v>45192</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 "A 26273-2019")</f>
        <v/>
      </c>
      <c r="T19">
        <f>HYPERLINK("https://klasma.github.io/Logging_NORRTALJE/kartor/A 26273-2019.png", "A 26273-2019")</f>
        <v/>
      </c>
      <c r="U19">
        <f>HYPERLINK("https://klasma.github.io/Logging_NORRTALJE/knärot/A 26273-2019.png", "A 26273-2019")</f>
        <v/>
      </c>
      <c r="V19">
        <f>HYPERLINK("https://klasma.github.io/Logging_NORRTALJE/klagomål/A 26273-2019.docx", "A 26273-2019")</f>
        <v/>
      </c>
      <c r="W19">
        <f>HYPERLINK("https://klasma.github.io/Logging_NORRTALJE/klagomålsmail/A 26273-2019.docx", "A 26273-2019")</f>
        <v/>
      </c>
      <c r="X19">
        <f>HYPERLINK("https://klasma.github.io/Logging_NORRTALJE/tillsyn/A 26273-2019.docx", "A 26273-2019")</f>
        <v/>
      </c>
      <c r="Y19">
        <f>HYPERLINK("https://klasma.github.io/Logging_NORRTALJE/tillsynsmail/A 26273-2019.docx", "A 26273-2019")</f>
        <v/>
      </c>
    </row>
    <row r="20" ht="15" customHeight="1">
      <c r="A20" t="inlineStr">
        <is>
          <t>A 5736-2020</t>
        </is>
      </c>
      <c r="B20" s="1" t="n">
        <v>43863</v>
      </c>
      <c r="C20" s="1" t="n">
        <v>45192</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 "A 5736-2020")</f>
        <v/>
      </c>
      <c r="T20">
        <f>HYPERLINK("https://klasma.github.io/Logging_NORRTALJE/kartor/A 5736-2020.png", "A 5736-2020")</f>
        <v/>
      </c>
      <c r="V20">
        <f>HYPERLINK("https://klasma.github.io/Logging_NORRTALJE/klagomål/A 5736-2020.docx", "A 5736-2020")</f>
        <v/>
      </c>
      <c r="W20">
        <f>HYPERLINK("https://klasma.github.io/Logging_NORRTALJE/klagomålsmail/A 5736-2020.docx", "A 5736-2020")</f>
        <v/>
      </c>
      <c r="X20">
        <f>HYPERLINK("https://klasma.github.io/Logging_NORRTALJE/tillsyn/A 5736-2020.docx", "A 5736-2020")</f>
        <v/>
      </c>
      <c r="Y20">
        <f>HYPERLINK("https://klasma.github.io/Logging_NORRTALJE/tillsynsmail/A 5736-2020.docx", "A 5736-2020")</f>
        <v/>
      </c>
    </row>
    <row r="21" ht="15" customHeight="1">
      <c r="A21" t="inlineStr">
        <is>
          <t>A 60543-2022</t>
        </is>
      </c>
      <c r="B21" s="1" t="n">
        <v>44911</v>
      </c>
      <c r="C21" s="1" t="n">
        <v>45192</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 "A 60543-2022")</f>
        <v/>
      </c>
      <c r="T21">
        <f>HYPERLINK("https://klasma.github.io/Logging_NORRTALJE/kartor/A 60543-2022.png", "A 60543-2022")</f>
        <v/>
      </c>
      <c r="V21">
        <f>HYPERLINK("https://klasma.github.io/Logging_NORRTALJE/klagomål/A 60543-2022.docx", "A 60543-2022")</f>
        <v/>
      </c>
      <c r="W21">
        <f>HYPERLINK("https://klasma.github.io/Logging_NORRTALJE/klagomålsmail/A 60543-2022.docx", "A 60543-2022")</f>
        <v/>
      </c>
      <c r="X21">
        <f>HYPERLINK("https://klasma.github.io/Logging_NORRTALJE/tillsyn/A 60543-2022.docx", "A 60543-2022")</f>
        <v/>
      </c>
      <c r="Y21">
        <f>HYPERLINK("https://klasma.github.io/Logging_NORRTALJE/tillsynsmail/A 60543-2022.docx", "A 60543-2022")</f>
        <v/>
      </c>
    </row>
    <row r="22" ht="15" customHeight="1">
      <c r="A22" t="inlineStr">
        <is>
          <t>A 7987-2019</t>
        </is>
      </c>
      <c r="B22" s="1" t="n">
        <v>43493</v>
      </c>
      <c r="C22" s="1" t="n">
        <v>45192</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 "A 7987-2019")</f>
        <v/>
      </c>
      <c r="T22">
        <f>HYPERLINK("https://klasma.github.io/Logging_NORRTALJE/kartor/A 7987-2019.png", "A 7987-2019")</f>
        <v/>
      </c>
      <c r="V22">
        <f>HYPERLINK("https://klasma.github.io/Logging_NORRTALJE/klagomål/A 7987-2019.docx", "A 7987-2019")</f>
        <v/>
      </c>
      <c r="W22">
        <f>HYPERLINK("https://klasma.github.io/Logging_NORRTALJE/klagomålsmail/A 7987-2019.docx", "A 7987-2019")</f>
        <v/>
      </c>
      <c r="X22">
        <f>HYPERLINK("https://klasma.github.io/Logging_NORRTALJE/tillsyn/A 7987-2019.docx", "A 7987-2019")</f>
        <v/>
      </c>
      <c r="Y22">
        <f>HYPERLINK("https://klasma.github.io/Logging_NORRTALJE/tillsynsmail/A 7987-2019.docx", "A 7987-2019")</f>
        <v/>
      </c>
    </row>
    <row r="23" ht="15" customHeight="1">
      <c r="A23" t="inlineStr">
        <is>
          <t>A 16743-2023</t>
        </is>
      </c>
      <c r="B23" s="1" t="n">
        <v>45030</v>
      </c>
      <c r="C23" s="1" t="n">
        <v>45192</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 "A 16743-2023")</f>
        <v/>
      </c>
      <c r="T23">
        <f>HYPERLINK("https://klasma.github.io/Logging_NORRTALJE/kartor/A 16743-2023.png", "A 16743-2023")</f>
        <v/>
      </c>
      <c r="V23">
        <f>HYPERLINK("https://klasma.github.io/Logging_NORRTALJE/klagomål/A 16743-2023.docx", "A 16743-2023")</f>
        <v/>
      </c>
      <c r="W23">
        <f>HYPERLINK("https://klasma.github.io/Logging_NORRTALJE/klagomålsmail/A 16743-2023.docx", "A 16743-2023")</f>
        <v/>
      </c>
      <c r="X23">
        <f>HYPERLINK("https://klasma.github.io/Logging_NORRTALJE/tillsyn/A 16743-2023.docx", "A 16743-2023")</f>
        <v/>
      </c>
      <c r="Y23">
        <f>HYPERLINK("https://klasma.github.io/Logging_NORRTALJE/tillsynsmail/A 16743-2023.docx", "A 16743-2023")</f>
        <v/>
      </c>
    </row>
    <row r="24" ht="15" customHeight="1">
      <c r="A24" t="inlineStr">
        <is>
          <t>A 21999-2019</t>
        </is>
      </c>
      <c r="B24" s="1" t="n">
        <v>43584</v>
      </c>
      <c r="C24" s="1" t="n">
        <v>45192</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 "A 21999-2019")</f>
        <v/>
      </c>
      <c r="T24">
        <f>HYPERLINK("https://klasma.github.io/Logging_NORRTALJE/kartor/A 21999-2019.png", "A 21999-2019")</f>
        <v/>
      </c>
      <c r="V24">
        <f>HYPERLINK("https://klasma.github.io/Logging_NORRTALJE/klagomål/A 21999-2019.docx", "A 21999-2019")</f>
        <v/>
      </c>
      <c r="W24">
        <f>HYPERLINK("https://klasma.github.io/Logging_NORRTALJE/klagomålsmail/A 21999-2019.docx", "A 21999-2019")</f>
        <v/>
      </c>
      <c r="X24">
        <f>HYPERLINK("https://klasma.github.io/Logging_NORRTALJE/tillsyn/A 21999-2019.docx", "A 21999-2019")</f>
        <v/>
      </c>
      <c r="Y24">
        <f>HYPERLINK("https://klasma.github.io/Logging_NORRTALJE/tillsynsmail/A 21999-2019.docx", "A 21999-2019")</f>
        <v/>
      </c>
    </row>
    <row r="25" ht="15" customHeight="1">
      <c r="A25" t="inlineStr">
        <is>
          <t>A 27195-2019</t>
        </is>
      </c>
      <c r="B25" s="1" t="n">
        <v>43614</v>
      </c>
      <c r="C25" s="1" t="n">
        <v>45192</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 "A 27195-2019")</f>
        <v/>
      </c>
      <c r="T25">
        <f>HYPERLINK("https://klasma.github.io/Logging_NORRTALJE/kartor/A 27195-2019.png", "A 27195-2019")</f>
        <v/>
      </c>
      <c r="V25">
        <f>HYPERLINK("https://klasma.github.io/Logging_NORRTALJE/klagomål/A 27195-2019.docx", "A 27195-2019")</f>
        <v/>
      </c>
      <c r="W25">
        <f>HYPERLINK("https://klasma.github.io/Logging_NORRTALJE/klagomålsmail/A 27195-2019.docx", "A 27195-2019")</f>
        <v/>
      </c>
      <c r="X25">
        <f>HYPERLINK("https://klasma.github.io/Logging_NORRTALJE/tillsyn/A 27195-2019.docx", "A 27195-2019")</f>
        <v/>
      </c>
      <c r="Y25">
        <f>HYPERLINK("https://klasma.github.io/Logging_NORRTALJE/tillsynsmail/A 27195-2019.docx", "A 27195-2019")</f>
        <v/>
      </c>
    </row>
    <row r="26" ht="15" customHeight="1">
      <c r="A26" t="inlineStr">
        <is>
          <t>A 4262-2023</t>
        </is>
      </c>
      <c r="B26" s="1" t="n">
        <v>44953</v>
      </c>
      <c r="C26" s="1" t="n">
        <v>45192</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 "A 4262-2023")</f>
        <v/>
      </c>
      <c r="T26">
        <f>HYPERLINK("https://klasma.github.io/Logging_NORRTALJE/kartor/A 4262-2023.png", "A 4262-2023")</f>
        <v/>
      </c>
      <c r="V26">
        <f>HYPERLINK("https://klasma.github.io/Logging_NORRTALJE/klagomål/A 4262-2023.docx", "A 4262-2023")</f>
        <v/>
      </c>
      <c r="W26">
        <f>HYPERLINK("https://klasma.github.io/Logging_NORRTALJE/klagomålsmail/A 4262-2023.docx", "A 4262-2023")</f>
        <v/>
      </c>
      <c r="X26">
        <f>HYPERLINK("https://klasma.github.io/Logging_NORRTALJE/tillsyn/A 4262-2023.docx", "A 4262-2023")</f>
        <v/>
      </c>
      <c r="Y26">
        <f>HYPERLINK("https://klasma.github.io/Logging_NORRTALJE/tillsynsmail/A 4262-2023.docx", "A 4262-2023")</f>
        <v/>
      </c>
    </row>
    <row r="27" ht="15" customHeight="1">
      <c r="A27" t="inlineStr">
        <is>
          <t>A 44847-2023</t>
        </is>
      </c>
      <c r="B27" s="1" t="n">
        <v>45190</v>
      </c>
      <c r="C27" s="1" t="n">
        <v>45192</v>
      </c>
      <c r="D27" t="inlineStr">
        <is>
          <t>STOCKHOLMS LÄN</t>
        </is>
      </c>
      <c r="E27" t="inlineStr">
        <is>
          <t>NORRTÄLJE</t>
        </is>
      </c>
      <c r="G27" t="n">
        <v>8.5</v>
      </c>
      <c r="H27" t="n">
        <v>10</v>
      </c>
      <c r="I27" t="n">
        <v>0</v>
      </c>
      <c r="J27" t="n">
        <v>5</v>
      </c>
      <c r="K27" t="n">
        <v>4</v>
      </c>
      <c r="L27" t="n">
        <v>1</v>
      </c>
      <c r="M27" t="n">
        <v>0</v>
      </c>
      <c r="N27" t="n">
        <v>0</v>
      </c>
      <c r="O27" t="n">
        <v>10</v>
      </c>
      <c r="P27" t="n">
        <v>5</v>
      </c>
      <c r="Q27" t="n">
        <v>10</v>
      </c>
      <c r="R27" s="2" t="inlineStr">
        <is>
          <t>Ejder
Gråtrut
Havstrut
Knärot
Stare
Fiskmås
Havsörn
Kråka
Skrattmås
Strandskata</t>
        </is>
      </c>
      <c r="S27">
        <f>HYPERLINK("https://klasma.github.io/Logging_NORRTALJE/artfynd/A 44847-2023.xlsx", "A 44847-2023")</f>
        <v/>
      </c>
      <c r="T27">
        <f>HYPERLINK("https://klasma.github.io/Logging_NORRTALJE/kartor/A 44847-2023.png", "A 44847-2023")</f>
        <v/>
      </c>
      <c r="U27">
        <f>HYPERLINK("https://klasma.github.io/Logging_NORRTALJE/knärot/A 44847-2023.png", "A 44847-2023")</f>
        <v/>
      </c>
      <c r="V27">
        <f>HYPERLINK("https://klasma.github.io/Logging_NORRTALJE/klagomål/A 44847-2023.docx", "A 44847-2023")</f>
        <v/>
      </c>
      <c r="W27">
        <f>HYPERLINK("https://klasma.github.io/Logging_NORRTALJE/klagomålsmail/A 44847-2023.docx", "A 44847-2023")</f>
        <v/>
      </c>
      <c r="X27">
        <f>HYPERLINK("https://klasma.github.io/Logging_NORRTALJE/tillsyn/A 44847-2023.docx", "A 44847-2023")</f>
        <v/>
      </c>
      <c r="Y27">
        <f>HYPERLINK("https://klasma.github.io/Logging_NORRTALJE/tillsynsmail/A 44847-2023.docx", "A 44847-2023")</f>
        <v/>
      </c>
    </row>
    <row r="28" ht="15" customHeight="1">
      <c r="A28" t="inlineStr">
        <is>
          <t>A 20632-2019</t>
        </is>
      </c>
      <c r="B28" s="1" t="n">
        <v>43572</v>
      </c>
      <c r="C28" s="1" t="n">
        <v>45192</v>
      </c>
      <c r="D28" t="inlineStr">
        <is>
          <t>STOCKHOLMS LÄN</t>
        </is>
      </c>
      <c r="E28" t="inlineStr">
        <is>
          <t>NORRTÄLJE</t>
        </is>
      </c>
      <c r="G28" t="n">
        <v>6.2</v>
      </c>
      <c r="H28" t="n">
        <v>2</v>
      </c>
      <c r="I28" t="n">
        <v>4</v>
      </c>
      <c r="J28" t="n">
        <v>1</v>
      </c>
      <c r="K28" t="n">
        <v>0</v>
      </c>
      <c r="L28" t="n">
        <v>2</v>
      </c>
      <c r="M28" t="n">
        <v>0</v>
      </c>
      <c r="N28" t="n">
        <v>0</v>
      </c>
      <c r="O28" t="n">
        <v>3</v>
      </c>
      <c r="P28" t="n">
        <v>2</v>
      </c>
      <c r="Q28" t="n">
        <v>9</v>
      </c>
      <c r="R28" s="2" t="inlineStr">
        <is>
          <t>Ask
Fältgentiana
Slåtterfibbla
Svart trolldruva
Tibast
Underviol
Vårärt
Nattviol
Blåsippa</t>
        </is>
      </c>
      <c r="S28">
        <f>HYPERLINK("https://klasma.github.io/Logging_NORRTALJE/artfynd/A 20632-2019.xlsx", "A 20632-2019")</f>
        <v/>
      </c>
      <c r="T28">
        <f>HYPERLINK("https://klasma.github.io/Logging_NORRTALJE/kartor/A 20632-2019.png", "A 20632-2019")</f>
        <v/>
      </c>
      <c r="V28">
        <f>HYPERLINK("https://klasma.github.io/Logging_NORRTALJE/klagomål/A 20632-2019.docx", "A 20632-2019")</f>
        <v/>
      </c>
      <c r="W28">
        <f>HYPERLINK("https://klasma.github.io/Logging_NORRTALJE/klagomålsmail/A 20632-2019.docx", "A 20632-2019")</f>
        <v/>
      </c>
      <c r="X28">
        <f>HYPERLINK("https://klasma.github.io/Logging_NORRTALJE/tillsyn/A 20632-2019.docx", "A 20632-2019")</f>
        <v/>
      </c>
      <c r="Y28">
        <f>HYPERLINK("https://klasma.github.io/Logging_NORRTALJE/tillsynsmail/A 20632-2019.docx", "A 20632-2019")</f>
        <v/>
      </c>
    </row>
    <row r="29" ht="15" customHeight="1">
      <c r="A29" t="inlineStr">
        <is>
          <t>A 11231-2021</t>
        </is>
      </c>
      <c r="B29" s="1" t="n">
        <v>44263</v>
      </c>
      <c r="C29" s="1" t="n">
        <v>45192</v>
      </c>
      <c r="D29" t="inlineStr">
        <is>
          <t>STOCKHOLMS LÄN</t>
        </is>
      </c>
      <c r="E29" t="inlineStr">
        <is>
          <t>NORRTÄLJE</t>
        </is>
      </c>
      <c r="F29" t="inlineStr">
        <is>
          <t>Holmen skog AB</t>
        </is>
      </c>
      <c r="G29" t="n">
        <v>12</v>
      </c>
      <c r="H29" t="n">
        <v>5</v>
      </c>
      <c r="I29" t="n">
        <v>2</v>
      </c>
      <c r="J29" t="n">
        <v>5</v>
      </c>
      <c r="K29" t="n">
        <v>0</v>
      </c>
      <c r="L29" t="n">
        <v>2</v>
      </c>
      <c r="M29" t="n">
        <v>0</v>
      </c>
      <c r="N29" t="n">
        <v>0</v>
      </c>
      <c r="O29" t="n">
        <v>7</v>
      </c>
      <c r="P29" t="n">
        <v>2</v>
      </c>
      <c r="Q29" t="n">
        <v>9</v>
      </c>
      <c r="R29" s="2" t="inlineStr">
        <is>
          <t>Grönfink
Tornseglare
Fiskmås
Havsörn
Motaggsvamp
Talltita
Vedskivlav
Björksplintborre
Dropptaggsvamp</t>
        </is>
      </c>
      <c r="S29">
        <f>HYPERLINK("https://klasma.github.io/Logging_NORRTALJE/artfynd/A 11231-2021.xlsx", "A 11231-2021")</f>
        <v/>
      </c>
      <c r="T29">
        <f>HYPERLINK("https://klasma.github.io/Logging_NORRTALJE/kartor/A 11231-2021.png", "A 11231-2021")</f>
        <v/>
      </c>
      <c r="V29">
        <f>HYPERLINK("https://klasma.github.io/Logging_NORRTALJE/klagomål/A 11231-2021.docx", "A 11231-2021")</f>
        <v/>
      </c>
      <c r="W29">
        <f>HYPERLINK("https://klasma.github.io/Logging_NORRTALJE/klagomålsmail/A 11231-2021.docx", "A 11231-2021")</f>
        <v/>
      </c>
      <c r="X29">
        <f>HYPERLINK("https://klasma.github.io/Logging_NORRTALJE/tillsyn/A 11231-2021.docx", "A 11231-2021")</f>
        <v/>
      </c>
      <c r="Y29">
        <f>HYPERLINK("https://klasma.github.io/Logging_NORRTALJE/tillsynsmail/A 11231-2021.docx", "A 11231-2021")</f>
        <v/>
      </c>
    </row>
    <row r="30" ht="15" customHeight="1">
      <c r="A30" t="inlineStr">
        <is>
          <t>A 52815-2021</t>
        </is>
      </c>
      <c r="B30" s="1" t="n">
        <v>44467</v>
      </c>
      <c r="C30" s="1" t="n">
        <v>45192</v>
      </c>
      <c r="D30" t="inlineStr">
        <is>
          <t>STOCKHOLMS LÄN</t>
        </is>
      </c>
      <c r="E30" t="inlineStr">
        <is>
          <t>NORRTÄLJE</t>
        </is>
      </c>
      <c r="G30" t="n">
        <v>2.8</v>
      </c>
      <c r="H30" t="n">
        <v>0</v>
      </c>
      <c r="I30" t="n">
        <v>2</v>
      </c>
      <c r="J30" t="n">
        <v>2</v>
      </c>
      <c r="K30" t="n">
        <v>4</v>
      </c>
      <c r="L30" t="n">
        <v>1</v>
      </c>
      <c r="M30" t="n">
        <v>0</v>
      </c>
      <c r="N30" t="n">
        <v>0</v>
      </c>
      <c r="O30" t="n">
        <v>7</v>
      </c>
      <c r="P30" t="n">
        <v>5</v>
      </c>
      <c r="Q30" t="n">
        <v>9</v>
      </c>
      <c r="R30" s="2" t="inlineStr">
        <is>
          <t>Raggtaggsvamp
Gul lammticka
Koppartaggsvamp
Spricktaggsvamp
Svartfjällig musseron
Bittermusseron
Flattoppad klubbsvamp
Diskvaxskivling
Fjällig taggsvamp s.str.</t>
        </is>
      </c>
      <c r="S30">
        <f>HYPERLINK("https://klasma.github.io/Logging_NORRTALJE/artfynd/A 52815-2021.xlsx", "A 52815-2021")</f>
        <v/>
      </c>
      <c r="T30">
        <f>HYPERLINK("https://klasma.github.io/Logging_NORRTALJE/kartor/A 52815-2021.png", "A 52815-2021")</f>
        <v/>
      </c>
      <c r="V30">
        <f>HYPERLINK("https://klasma.github.io/Logging_NORRTALJE/klagomål/A 52815-2021.docx", "A 52815-2021")</f>
        <v/>
      </c>
      <c r="W30">
        <f>HYPERLINK("https://klasma.github.io/Logging_NORRTALJE/klagomålsmail/A 52815-2021.docx", "A 52815-2021")</f>
        <v/>
      </c>
      <c r="X30">
        <f>HYPERLINK("https://klasma.github.io/Logging_NORRTALJE/tillsyn/A 52815-2021.docx", "A 52815-2021")</f>
        <v/>
      </c>
      <c r="Y30">
        <f>HYPERLINK("https://klasma.github.io/Logging_NORRTALJE/tillsynsmail/A 52815-2021.docx", "A 52815-2021")</f>
        <v/>
      </c>
    </row>
    <row r="31" ht="15" customHeight="1">
      <c r="A31" t="inlineStr">
        <is>
          <t>A 3472-2023</t>
        </is>
      </c>
      <c r="B31" s="1" t="n">
        <v>44949</v>
      </c>
      <c r="C31" s="1" t="n">
        <v>45192</v>
      </c>
      <c r="D31" t="inlineStr">
        <is>
          <t>STOCKHOLMS LÄN</t>
        </is>
      </c>
      <c r="E31" t="inlineStr">
        <is>
          <t>NORRTÄLJE</t>
        </is>
      </c>
      <c r="G31" t="n">
        <v>26.3</v>
      </c>
      <c r="H31" t="n">
        <v>1</v>
      </c>
      <c r="I31" t="n">
        <v>4</v>
      </c>
      <c r="J31" t="n">
        <v>2</v>
      </c>
      <c r="K31" t="n">
        <v>1</v>
      </c>
      <c r="L31" t="n">
        <v>0</v>
      </c>
      <c r="M31" t="n">
        <v>0</v>
      </c>
      <c r="N31" t="n">
        <v>0</v>
      </c>
      <c r="O31" t="n">
        <v>3</v>
      </c>
      <c r="P31" t="n">
        <v>1</v>
      </c>
      <c r="Q31" t="n">
        <v>8</v>
      </c>
      <c r="R31" s="2" t="inlineStr">
        <is>
          <t>Blackticka
Tallticka
Ullticka
Aspvedgnagare
Platt fjädermossa
Rävticka
Stor aspticka
Blåsippa</t>
        </is>
      </c>
      <c r="S31">
        <f>HYPERLINK("https://klasma.github.io/Logging_NORRTALJE/artfynd/A 3472-2023.xlsx", "A 3472-2023")</f>
        <v/>
      </c>
      <c r="T31">
        <f>HYPERLINK("https://klasma.github.io/Logging_NORRTALJE/kartor/A 3472-2023.png", "A 3472-2023")</f>
        <v/>
      </c>
      <c r="V31">
        <f>HYPERLINK("https://klasma.github.io/Logging_NORRTALJE/klagomål/A 3472-2023.docx", "A 3472-2023")</f>
        <v/>
      </c>
      <c r="W31">
        <f>HYPERLINK("https://klasma.github.io/Logging_NORRTALJE/klagomålsmail/A 3472-2023.docx", "A 3472-2023")</f>
        <v/>
      </c>
      <c r="X31">
        <f>HYPERLINK("https://klasma.github.io/Logging_NORRTALJE/tillsyn/A 3472-2023.docx", "A 3472-2023")</f>
        <v/>
      </c>
      <c r="Y31">
        <f>HYPERLINK("https://klasma.github.io/Logging_NORRTALJE/tillsynsmail/A 3472-2023.docx", "A 3472-2023")</f>
        <v/>
      </c>
    </row>
    <row r="32" ht="15" customHeight="1">
      <c r="A32" t="inlineStr">
        <is>
          <t>A 47346-2021</t>
        </is>
      </c>
      <c r="B32" s="1" t="n">
        <v>44447</v>
      </c>
      <c r="C32" s="1" t="n">
        <v>45192</v>
      </c>
      <c r="D32" t="inlineStr">
        <is>
          <t>STOCKHOLMS LÄN</t>
        </is>
      </c>
      <c r="E32" t="inlineStr">
        <is>
          <t>NORRTÄLJE</t>
        </is>
      </c>
      <c r="G32" t="n">
        <v>5.5</v>
      </c>
      <c r="H32" t="n">
        <v>1</v>
      </c>
      <c r="I32" t="n">
        <v>4</v>
      </c>
      <c r="J32" t="n">
        <v>0</v>
      </c>
      <c r="K32" t="n">
        <v>2</v>
      </c>
      <c r="L32" t="n">
        <v>0</v>
      </c>
      <c r="M32" t="n">
        <v>0</v>
      </c>
      <c r="N32" t="n">
        <v>0</v>
      </c>
      <c r="O32" t="n">
        <v>2</v>
      </c>
      <c r="P32" t="n">
        <v>2</v>
      </c>
      <c r="Q32" t="n">
        <v>7</v>
      </c>
      <c r="R32" s="2" t="inlineStr">
        <is>
          <t>Grangråticka
Violgubbe
Anisspindling
Fjällig taggsvamp s.str.
Skarp dropptaggsvamp
Toppvaxskivling
Revlummer</t>
        </is>
      </c>
      <c r="S32">
        <f>HYPERLINK("https://klasma.github.io/Logging_NORRTALJE/artfynd/A 47346-2021.xlsx", "A 47346-2021")</f>
        <v/>
      </c>
      <c r="T32">
        <f>HYPERLINK("https://klasma.github.io/Logging_NORRTALJE/kartor/A 47346-2021.png", "A 47346-2021")</f>
        <v/>
      </c>
      <c r="V32">
        <f>HYPERLINK("https://klasma.github.io/Logging_NORRTALJE/klagomål/A 47346-2021.docx", "A 47346-2021")</f>
        <v/>
      </c>
      <c r="W32">
        <f>HYPERLINK("https://klasma.github.io/Logging_NORRTALJE/klagomålsmail/A 47346-2021.docx", "A 47346-2021")</f>
        <v/>
      </c>
      <c r="X32">
        <f>HYPERLINK("https://klasma.github.io/Logging_NORRTALJE/tillsyn/A 47346-2021.docx", "A 47346-2021")</f>
        <v/>
      </c>
      <c r="Y32">
        <f>HYPERLINK("https://klasma.github.io/Logging_NORRTALJE/tillsynsmail/A 47346-2021.docx", "A 47346-2021")</f>
        <v/>
      </c>
    </row>
    <row r="33" ht="15" customHeight="1">
      <c r="A33" t="inlineStr">
        <is>
          <t>A 13933-2022</t>
        </is>
      </c>
      <c r="B33" s="1" t="n">
        <v>44650</v>
      </c>
      <c r="C33" s="1" t="n">
        <v>45192</v>
      </c>
      <c r="D33" t="inlineStr">
        <is>
          <t>STOCKHOLMS LÄN</t>
        </is>
      </c>
      <c r="E33" t="inlineStr">
        <is>
          <t>NORRTÄLJE</t>
        </is>
      </c>
      <c r="G33" t="n">
        <v>4.4</v>
      </c>
      <c r="H33" t="n">
        <v>3</v>
      </c>
      <c r="I33" t="n">
        <v>5</v>
      </c>
      <c r="J33" t="n">
        <v>1</v>
      </c>
      <c r="K33" t="n">
        <v>0</v>
      </c>
      <c r="L33" t="n">
        <v>0</v>
      </c>
      <c r="M33" t="n">
        <v>0</v>
      </c>
      <c r="N33" t="n">
        <v>0</v>
      </c>
      <c r="O33" t="n">
        <v>1</v>
      </c>
      <c r="P33" t="n">
        <v>0</v>
      </c>
      <c r="Q33" t="n">
        <v>7</v>
      </c>
      <c r="R33" s="2" t="inlineStr">
        <is>
          <t>Ullticka
Grön sköldmossa
Nästrot
Skogshakmossa
Tibast
Ögonpyrola
Blåsippa</t>
        </is>
      </c>
      <c r="S33">
        <f>HYPERLINK("https://klasma.github.io/Logging_NORRTALJE/artfynd/A 13933-2022.xlsx", "A 13933-2022")</f>
        <v/>
      </c>
      <c r="T33">
        <f>HYPERLINK("https://klasma.github.io/Logging_NORRTALJE/kartor/A 13933-2022.png", "A 13933-2022")</f>
        <v/>
      </c>
      <c r="V33">
        <f>HYPERLINK("https://klasma.github.io/Logging_NORRTALJE/klagomål/A 13933-2022.docx", "A 13933-2022")</f>
        <v/>
      </c>
      <c r="W33">
        <f>HYPERLINK("https://klasma.github.io/Logging_NORRTALJE/klagomålsmail/A 13933-2022.docx", "A 13933-2022")</f>
        <v/>
      </c>
      <c r="X33">
        <f>HYPERLINK("https://klasma.github.io/Logging_NORRTALJE/tillsyn/A 13933-2022.docx", "A 13933-2022")</f>
        <v/>
      </c>
      <c r="Y33">
        <f>HYPERLINK("https://klasma.github.io/Logging_NORRTALJE/tillsynsmail/A 13933-2022.docx", "A 13933-2022")</f>
        <v/>
      </c>
    </row>
    <row r="34" ht="15" customHeight="1">
      <c r="A34" t="inlineStr">
        <is>
          <t>A 24150-2022</t>
        </is>
      </c>
      <c r="B34" s="1" t="n">
        <v>44725</v>
      </c>
      <c r="C34" s="1" t="n">
        <v>45192</v>
      </c>
      <c r="D34" t="inlineStr">
        <is>
          <t>STOCKHOLMS LÄN</t>
        </is>
      </c>
      <c r="E34" t="inlineStr">
        <is>
          <t>NORRTÄLJE</t>
        </is>
      </c>
      <c r="G34" t="n">
        <v>7</v>
      </c>
      <c r="H34" t="n">
        <v>7</v>
      </c>
      <c r="I34" t="n">
        <v>0</v>
      </c>
      <c r="J34" t="n">
        <v>2</v>
      </c>
      <c r="K34" t="n">
        <v>0</v>
      </c>
      <c r="L34" t="n">
        <v>0</v>
      </c>
      <c r="M34" t="n">
        <v>0</v>
      </c>
      <c r="N34" t="n">
        <v>0</v>
      </c>
      <c r="O34" t="n">
        <v>2</v>
      </c>
      <c r="P34" t="n">
        <v>0</v>
      </c>
      <c r="Q34" t="n">
        <v>7</v>
      </c>
      <c r="R34" s="2" t="inlineStr">
        <is>
          <t>Brunlångöra
Nordfladdermus
Dvärgpipistrell
Gråskimlig fladdermus
Större brunfladdermus
Trollpipistrell
Vattenfladdermus</t>
        </is>
      </c>
      <c r="S34">
        <f>HYPERLINK("https://klasma.github.io/Logging_NORRTALJE/artfynd/A 24150-2022.xlsx", "A 24150-2022")</f>
        <v/>
      </c>
      <c r="T34">
        <f>HYPERLINK("https://klasma.github.io/Logging_NORRTALJE/kartor/A 24150-2022.png", "A 24150-2022")</f>
        <v/>
      </c>
      <c r="V34">
        <f>HYPERLINK("https://klasma.github.io/Logging_NORRTALJE/klagomål/A 24150-2022.docx", "A 24150-2022")</f>
        <v/>
      </c>
      <c r="W34">
        <f>HYPERLINK("https://klasma.github.io/Logging_NORRTALJE/klagomålsmail/A 24150-2022.docx", "A 24150-2022")</f>
        <v/>
      </c>
      <c r="X34">
        <f>HYPERLINK("https://klasma.github.io/Logging_NORRTALJE/tillsyn/A 24150-2022.docx", "A 24150-2022")</f>
        <v/>
      </c>
      <c r="Y34">
        <f>HYPERLINK("https://klasma.github.io/Logging_NORRTALJE/tillsynsmail/A 24150-2022.docx", "A 24150-2022")</f>
        <v/>
      </c>
    </row>
    <row r="35" ht="15" customHeight="1">
      <c r="A35" t="inlineStr">
        <is>
          <t>A 45811-2022</t>
        </is>
      </c>
      <c r="B35" s="1" t="n">
        <v>44846</v>
      </c>
      <c r="C35" s="1" t="n">
        <v>45192</v>
      </c>
      <c r="D35" t="inlineStr">
        <is>
          <t>STOCKHOLMS LÄN</t>
        </is>
      </c>
      <c r="E35" t="inlineStr">
        <is>
          <t>NORRTÄLJE</t>
        </is>
      </c>
      <c r="G35" t="n">
        <v>0.8</v>
      </c>
      <c r="H35" t="n">
        <v>0</v>
      </c>
      <c r="I35" t="n">
        <v>5</v>
      </c>
      <c r="J35" t="n">
        <v>0</v>
      </c>
      <c r="K35" t="n">
        <v>0</v>
      </c>
      <c r="L35" t="n">
        <v>1</v>
      </c>
      <c r="M35" t="n">
        <v>1</v>
      </c>
      <c r="N35" t="n">
        <v>0</v>
      </c>
      <c r="O35" t="n">
        <v>2</v>
      </c>
      <c r="P35" t="n">
        <v>2</v>
      </c>
      <c r="Q35" t="n">
        <v>7</v>
      </c>
      <c r="R35" s="2" t="inlineStr">
        <is>
          <t>Skogsalm
Ask
Hässleklocka
Myskmadra
Strävlosta
Tibast
Underviol</t>
        </is>
      </c>
      <c r="S35">
        <f>HYPERLINK("https://klasma.github.io/Logging_NORRTALJE/artfynd/A 45811-2022.xlsx", "A 45811-2022")</f>
        <v/>
      </c>
      <c r="T35">
        <f>HYPERLINK("https://klasma.github.io/Logging_NORRTALJE/kartor/A 45811-2022.png", "A 45811-2022")</f>
        <v/>
      </c>
      <c r="V35">
        <f>HYPERLINK("https://klasma.github.io/Logging_NORRTALJE/klagomål/A 45811-2022.docx", "A 45811-2022")</f>
        <v/>
      </c>
      <c r="W35">
        <f>HYPERLINK("https://klasma.github.io/Logging_NORRTALJE/klagomålsmail/A 45811-2022.docx", "A 45811-2022")</f>
        <v/>
      </c>
      <c r="X35">
        <f>HYPERLINK("https://klasma.github.io/Logging_NORRTALJE/tillsyn/A 45811-2022.docx", "A 45811-2022")</f>
        <v/>
      </c>
      <c r="Y35">
        <f>HYPERLINK("https://klasma.github.io/Logging_NORRTALJE/tillsynsmail/A 45811-2022.docx", "A 45811-2022")</f>
        <v/>
      </c>
    </row>
    <row r="36" ht="15" customHeight="1">
      <c r="A36" t="inlineStr">
        <is>
          <t>A 18284-2019</t>
        </is>
      </c>
      <c r="B36" s="1" t="n">
        <v>43558</v>
      </c>
      <c r="C36" s="1" t="n">
        <v>45192</v>
      </c>
      <c r="D36" t="inlineStr">
        <is>
          <t>STOCKHOLMS LÄN</t>
        </is>
      </c>
      <c r="E36" t="inlineStr">
        <is>
          <t>NORRTÄLJE</t>
        </is>
      </c>
      <c r="G36" t="n">
        <v>20.4</v>
      </c>
      <c r="H36" t="n">
        <v>0</v>
      </c>
      <c r="I36" t="n">
        <v>2</v>
      </c>
      <c r="J36" t="n">
        <v>3</v>
      </c>
      <c r="K36" t="n">
        <v>1</v>
      </c>
      <c r="L36" t="n">
        <v>0</v>
      </c>
      <c r="M36" t="n">
        <v>0</v>
      </c>
      <c r="N36" t="n">
        <v>0</v>
      </c>
      <c r="O36" t="n">
        <v>4</v>
      </c>
      <c r="P36" t="n">
        <v>1</v>
      </c>
      <c r="Q36" t="n">
        <v>6</v>
      </c>
      <c r="R36" s="2" t="inlineStr">
        <is>
          <t>Grangråticka
Motaggsvamp
Orange taggsvamp
Vedtrappmossa
Rödgul trumpetsvamp
Skarp dropptaggsvamp</t>
        </is>
      </c>
      <c r="S36">
        <f>HYPERLINK("https://klasma.github.io/Logging_NORRTALJE/artfynd/A 18284-2019.xlsx", "A 18284-2019")</f>
        <v/>
      </c>
      <c r="T36">
        <f>HYPERLINK("https://klasma.github.io/Logging_NORRTALJE/kartor/A 18284-2019.png", "A 18284-2019")</f>
        <v/>
      </c>
      <c r="V36">
        <f>HYPERLINK("https://klasma.github.io/Logging_NORRTALJE/klagomål/A 18284-2019.docx", "A 18284-2019")</f>
        <v/>
      </c>
      <c r="W36">
        <f>HYPERLINK("https://klasma.github.io/Logging_NORRTALJE/klagomålsmail/A 18284-2019.docx", "A 18284-2019")</f>
        <v/>
      </c>
      <c r="X36">
        <f>HYPERLINK("https://klasma.github.io/Logging_NORRTALJE/tillsyn/A 18284-2019.docx", "A 18284-2019")</f>
        <v/>
      </c>
      <c r="Y36">
        <f>HYPERLINK("https://klasma.github.io/Logging_NORRTALJE/tillsynsmail/A 18284-2019.docx", "A 18284-2019")</f>
        <v/>
      </c>
    </row>
    <row r="37" ht="15" customHeight="1">
      <c r="A37" t="inlineStr">
        <is>
          <t>A 20255-2019</t>
        </is>
      </c>
      <c r="B37" s="1" t="n">
        <v>43571</v>
      </c>
      <c r="C37" s="1" t="n">
        <v>45192</v>
      </c>
      <c r="D37" t="inlineStr">
        <is>
          <t>STOCKHOLMS LÄN</t>
        </is>
      </c>
      <c r="E37" t="inlineStr">
        <is>
          <t>NORRTÄLJE</t>
        </is>
      </c>
      <c r="F37" t="inlineStr">
        <is>
          <t>Kommuner</t>
        </is>
      </c>
      <c r="G37" t="n">
        <v>6.2</v>
      </c>
      <c r="H37" t="n">
        <v>3</v>
      </c>
      <c r="I37" t="n">
        <v>3</v>
      </c>
      <c r="J37" t="n">
        <v>1</v>
      </c>
      <c r="K37" t="n">
        <v>1</v>
      </c>
      <c r="L37" t="n">
        <v>0</v>
      </c>
      <c r="M37" t="n">
        <v>0</v>
      </c>
      <c r="N37" t="n">
        <v>0</v>
      </c>
      <c r="O37" t="n">
        <v>2</v>
      </c>
      <c r="P37" t="n">
        <v>1</v>
      </c>
      <c r="Q37" t="n">
        <v>6</v>
      </c>
      <c r="R37" s="2" t="inlineStr">
        <is>
          <t>Violettfläckig spindling
Kråka
Nästrot
Svart trolldruva
Underviol
Blåsippa</t>
        </is>
      </c>
      <c r="S37">
        <f>HYPERLINK("https://klasma.github.io/Logging_NORRTALJE/artfynd/A 20255-2019.xlsx", "A 20255-2019")</f>
        <v/>
      </c>
      <c r="T37">
        <f>HYPERLINK("https://klasma.github.io/Logging_NORRTALJE/kartor/A 20255-2019.png", "A 20255-2019")</f>
        <v/>
      </c>
      <c r="V37">
        <f>HYPERLINK("https://klasma.github.io/Logging_NORRTALJE/klagomål/A 20255-2019.docx", "A 20255-2019")</f>
        <v/>
      </c>
      <c r="W37">
        <f>HYPERLINK("https://klasma.github.io/Logging_NORRTALJE/klagomålsmail/A 20255-2019.docx", "A 20255-2019")</f>
        <v/>
      </c>
      <c r="X37">
        <f>HYPERLINK("https://klasma.github.io/Logging_NORRTALJE/tillsyn/A 20255-2019.docx", "A 20255-2019")</f>
        <v/>
      </c>
      <c r="Y37">
        <f>HYPERLINK("https://klasma.github.io/Logging_NORRTALJE/tillsynsmail/A 20255-2019.docx", "A 20255-2019")</f>
        <v/>
      </c>
    </row>
    <row r="38" ht="15" customHeight="1">
      <c r="A38" t="inlineStr">
        <is>
          <t>A 59328-2019</t>
        </is>
      </c>
      <c r="B38" s="1" t="n">
        <v>43775</v>
      </c>
      <c r="C38" s="1" t="n">
        <v>45192</v>
      </c>
      <c r="D38" t="inlineStr">
        <is>
          <t>STOCKHOLMS LÄN</t>
        </is>
      </c>
      <c r="E38" t="inlineStr">
        <is>
          <t>NORRTÄLJE</t>
        </is>
      </c>
      <c r="G38" t="n">
        <v>1.2</v>
      </c>
      <c r="H38" t="n">
        <v>0</v>
      </c>
      <c r="I38" t="n">
        <v>3</v>
      </c>
      <c r="J38" t="n">
        <v>1</v>
      </c>
      <c r="K38" t="n">
        <v>2</v>
      </c>
      <c r="L38" t="n">
        <v>0</v>
      </c>
      <c r="M38" t="n">
        <v>0</v>
      </c>
      <c r="N38" t="n">
        <v>0</v>
      </c>
      <c r="O38" t="n">
        <v>3</v>
      </c>
      <c r="P38" t="n">
        <v>2</v>
      </c>
      <c r="Q38" t="n">
        <v>6</v>
      </c>
      <c r="R38" s="2" t="inlineStr">
        <is>
          <t>Koppartaggsvamp
Violgubbe
Orange taggsvamp
Blåmossa
Bronshjon
Kattfotslav</t>
        </is>
      </c>
      <c r="S38">
        <f>HYPERLINK("https://klasma.github.io/Logging_NORRTALJE/artfynd/A 59328-2019.xlsx", "A 59328-2019")</f>
        <v/>
      </c>
      <c r="T38">
        <f>HYPERLINK("https://klasma.github.io/Logging_NORRTALJE/kartor/A 59328-2019.png", "A 59328-2019")</f>
        <v/>
      </c>
      <c r="V38">
        <f>HYPERLINK("https://klasma.github.io/Logging_NORRTALJE/klagomål/A 59328-2019.docx", "A 59328-2019")</f>
        <v/>
      </c>
      <c r="W38">
        <f>HYPERLINK("https://klasma.github.io/Logging_NORRTALJE/klagomålsmail/A 59328-2019.docx", "A 59328-2019")</f>
        <v/>
      </c>
      <c r="X38">
        <f>HYPERLINK("https://klasma.github.io/Logging_NORRTALJE/tillsyn/A 59328-2019.docx", "A 59328-2019")</f>
        <v/>
      </c>
      <c r="Y38">
        <f>HYPERLINK("https://klasma.github.io/Logging_NORRTALJE/tillsynsmail/A 59328-2019.docx", "A 59328-2019")</f>
        <v/>
      </c>
    </row>
    <row r="39" ht="15" customHeight="1">
      <c r="A39" t="inlineStr">
        <is>
          <t>A 21729-2023</t>
        </is>
      </c>
      <c r="B39" s="1" t="n">
        <v>45063</v>
      </c>
      <c r="C39" s="1" t="n">
        <v>45192</v>
      </c>
      <c r="D39" t="inlineStr">
        <is>
          <t>STOCKHOLMS LÄN</t>
        </is>
      </c>
      <c r="E39" t="inlineStr">
        <is>
          <t>NORRTÄLJE</t>
        </is>
      </c>
      <c r="G39" t="n">
        <v>17.2</v>
      </c>
      <c r="H39" t="n">
        <v>1</v>
      </c>
      <c r="I39" t="n">
        <v>0</v>
      </c>
      <c r="J39" t="n">
        <v>5</v>
      </c>
      <c r="K39" t="n">
        <v>0</v>
      </c>
      <c r="L39" t="n">
        <v>0</v>
      </c>
      <c r="M39" t="n">
        <v>0</v>
      </c>
      <c r="N39" t="n">
        <v>0</v>
      </c>
      <c r="O39" t="n">
        <v>5</v>
      </c>
      <c r="P39" t="n">
        <v>0</v>
      </c>
      <c r="Q39" t="n">
        <v>6</v>
      </c>
      <c r="R39" s="2" t="inlineStr">
        <is>
          <t>Backklöver
Gullklöver
Klofibbla
Pilblad
Slåtterfibbla
Adam och eva</t>
        </is>
      </c>
      <c r="S39">
        <f>HYPERLINK("https://klasma.github.io/Logging_NORRTALJE/artfynd/A 21729-2023.xlsx", "A 21729-2023")</f>
        <v/>
      </c>
      <c r="T39">
        <f>HYPERLINK("https://klasma.github.io/Logging_NORRTALJE/kartor/A 21729-2023.png", "A 21729-2023")</f>
        <v/>
      </c>
      <c r="V39">
        <f>HYPERLINK("https://klasma.github.io/Logging_NORRTALJE/klagomål/A 21729-2023.docx", "A 21729-2023")</f>
        <v/>
      </c>
      <c r="W39">
        <f>HYPERLINK("https://klasma.github.io/Logging_NORRTALJE/klagomålsmail/A 21729-2023.docx", "A 21729-2023")</f>
        <v/>
      </c>
      <c r="X39">
        <f>HYPERLINK("https://klasma.github.io/Logging_NORRTALJE/tillsyn/A 21729-2023.docx", "A 21729-2023")</f>
        <v/>
      </c>
      <c r="Y39">
        <f>HYPERLINK("https://klasma.github.io/Logging_NORRTALJE/tillsynsmail/A 21729-2023.docx", "A 21729-2023")</f>
        <v/>
      </c>
    </row>
    <row r="40" ht="15" customHeight="1">
      <c r="A40" t="inlineStr">
        <is>
          <t>A 34394-2023</t>
        </is>
      </c>
      <c r="B40" s="1" t="n">
        <v>45139</v>
      </c>
      <c r="C40" s="1" t="n">
        <v>45192</v>
      </c>
      <c r="D40" t="inlineStr">
        <is>
          <t>STOCKHOLMS LÄN</t>
        </is>
      </c>
      <c r="E40" t="inlineStr">
        <is>
          <t>NORRTÄLJE</t>
        </is>
      </c>
      <c r="G40" t="n">
        <v>8.5</v>
      </c>
      <c r="H40" t="n">
        <v>1</v>
      </c>
      <c r="I40" t="n">
        <v>2</v>
      </c>
      <c r="J40" t="n">
        <v>3</v>
      </c>
      <c r="K40" t="n">
        <v>0</v>
      </c>
      <c r="L40" t="n">
        <v>0</v>
      </c>
      <c r="M40" t="n">
        <v>0</v>
      </c>
      <c r="N40" t="n">
        <v>0</v>
      </c>
      <c r="O40" t="n">
        <v>3</v>
      </c>
      <c r="P40" t="n">
        <v>0</v>
      </c>
      <c r="Q40" t="n">
        <v>6</v>
      </c>
      <c r="R40" s="2" t="inlineStr">
        <is>
          <t>Grantaggsvamp
Motaggsvamp
Orange taggsvamp
Granriska
Grönpyrola
Blåsippa</t>
        </is>
      </c>
      <c r="S40">
        <f>HYPERLINK("https://klasma.github.io/Logging_NORRTALJE/artfynd/A 34394-2023.xlsx", "A 34394-2023")</f>
        <v/>
      </c>
      <c r="T40">
        <f>HYPERLINK("https://klasma.github.io/Logging_NORRTALJE/kartor/A 34394-2023.png", "A 34394-2023")</f>
        <v/>
      </c>
      <c r="V40">
        <f>HYPERLINK("https://klasma.github.io/Logging_NORRTALJE/klagomål/A 34394-2023.docx", "A 34394-2023")</f>
        <v/>
      </c>
      <c r="W40">
        <f>HYPERLINK("https://klasma.github.io/Logging_NORRTALJE/klagomålsmail/A 34394-2023.docx", "A 34394-2023")</f>
        <v/>
      </c>
      <c r="X40">
        <f>HYPERLINK("https://klasma.github.io/Logging_NORRTALJE/tillsyn/A 34394-2023.docx", "A 34394-2023")</f>
        <v/>
      </c>
      <c r="Y40">
        <f>HYPERLINK("https://klasma.github.io/Logging_NORRTALJE/tillsynsmail/A 34394-2023.docx", "A 34394-2023")</f>
        <v/>
      </c>
    </row>
    <row r="41" ht="15" customHeight="1">
      <c r="A41" t="inlineStr">
        <is>
          <t>A 45469-2019</t>
        </is>
      </c>
      <c r="B41" s="1" t="n">
        <v>43714</v>
      </c>
      <c r="C41" s="1" t="n">
        <v>45192</v>
      </c>
      <c r="D41" t="inlineStr">
        <is>
          <t>STOCKHOLMS LÄN</t>
        </is>
      </c>
      <c r="E41" t="inlineStr">
        <is>
          <t>NORRTÄLJE</t>
        </is>
      </c>
      <c r="F41" t="inlineStr">
        <is>
          <t>Övriga statliga verk och myndigheter</t>
        </is>
      </c>
      <c r="G41" t="n">
        <v>10.6</v>
      </c>
      <c r="H41" t="n">
        <v>2</v>
      </c>
      <c r="I41" t="n">
        <v>3</v>
      </c>
      <c r="J41" t="n">
        <v>0</v>
      </c>
      <c r="K41" t="n">
        <v>0</v>
      </c>
      <c r="L41" t="n">
        <v>1</v>
      </c>
      <c r="M41" t="n">
        <v>0</v>
      </c>
      <c r="N41" t="n">
        <v>0</v>
      </c>
      <c r="O41" t="n">
        <v>1</v>
      </c>
      <c r="P41" t="n">
        <v>1</v>
      </c>
      <c r="Q41" t="n">
        <v>5</v>
      </c>
      <c r="R41" s="2" t="inlineStr">
        <is>
          <t>Ask
Hasselticka
Sårläka
Tvåblad
Blåsippa</t>
        </is>
      </c>
      <c r="S41">
        <f>HYPERLINK("https://klasma.github.io/Logging_NORRTALJE/artfynd/A 45469-2019.xlsx", "A 45469-2019")</f>
        <v/>
      </c>
      <c r="T41">
        <f>HYPERLINK("https://klasma.github.io/Logging_NORRTALJE/kartor/A 45469-2019.png", "A 45469-2019")</f>
        <v/>
      </c>
      <c r="V41">
        <f>HYPERLINK("https://klasma.github.io/Logging_NORRTALJE/klagomål/A 45469-2019.docx", "A 45469-2019")</f>
        <v/>
      </c>
      <c r="W41">
        <f>HYPERLINK("https://klasma.github.io/Logging_NORRTALJE/klagomålsmail/A 45469-2019.docx", "A 45469-2019")</f>
        <v/>
      </c>
      <c r="X41">
        <f>HYPERLINK("https://klasma.github.io/Logging_NORRTALJE/tillsyn/A 45469-2019.docx", "A 45469-2019")</f>
        <v/>
      </c>
      <c r="Y41">
        <f>HYPERLINK("https://klasma.github.io/Logging_NORRTALJE/tillsynsmail/A 45469-2019.docx", "A 45469-2019")</f>
        <v/>
      </c>
    </row>
    <row r="42" ht="15" customHeight="1">
      <c r="A42" t="inlineStr">
        <is>
          <t>A 42457-2020</t>
        </is>
      </c>
      <c r="B42" s="1" t="n">
        <v>44076</v>
      </c>
      <c r="C42" s="1" t="n">
        <v>45192</v>
      </c>
      <c r="D42" t="inlineStr">
        <is>
          <t>STOCKHOLMS LÄN</t>
        </is>
      </c>
      <c r="E42" t="inlineStr">
        <is>
          <t>NORRTÄLJE</t>
        </is>
      </c>
      <c r="F42" t="inlineStr">
        <is>
          <t>Kommuner</t>
        </is>
      </c>
      <c r="G42" t="n">
        <v>3.1</v>
      </c>
      <c r="H42" t="n">
        <v>2</v>
      </c>
      <c r="I42" t="n">
        <v>3</v>
      </c>
      <c r="J42" t="n">
        <v>1</v>
      </c>
      <c r="K42" t="n">
        <v>0</v>
      </c>
      <c r="L42" t="n">
        <v>0</v>
      </c>
      <c r="M42" t="n">
        <v>0</v>
      </c>
      <c r="N42" t="n">
        <v>0</v>
      </c>
      <c r="O42" t="n">
        <v>1</v>
      </c>
      <c r="P42" t="n">
        <v>0</v>
      </c>
      <c r="Q42" t="n">
        <v>5</v>
      </c>
      <c r="R42" s="2" t="inlineStr">
        <is>
          <t>Spillkråka
Granbräken
Jättesvampmal
Thomsons trägnagare
Blåsippa</t>
        </is>
      </c>
      <c r="S42">
        <f>HYPERLINK("https://klasma.github.io/Logging_NORRTALJE/artfynd/A 42457-2020.xlsx", "A 42457-2020")</f>
        <v/>
      </c>
      <c r="T42">
        <f>HYPERLINK("https://klasma.github.io/Logging_NORRTALJE/kartor/A 42457-2020.png", "A 42457-2020")</f>
        <v/>
      </c>
      <c r="V42">
        <f>HYPERLINK("https://klasma.github.io/Logging_NORRTALJE/klagomål/A 42457-2020.docx", "A 42457-2020")</f>
        <v/>
      </c>
      <c r="W42">
        <f>HYPERLINK("https://klasma.github.io/Logging_NORRTALJE/klagomålsmail/A 42457-2020.docx", "A 42457-2020")</f>
        <v/>
      </c>
      <c r="X42">
        <f>HYPERLINK("https://klasma.github.io/Logging_NORRTALJE/tillsyn/A 42457-2020.docx", "A 42457-2020")</f>
        <v/>
      </c>
      <c r="Y42">
        <f>HYPERLINK("https://klasma.github.io/Logging_NORRTALJE/tillsynsmail/A 42457-2020.docx", "A 42457-2020")</f>
        <v/>
      </c>
    </row>
    <row r="43" ht="15" customHeight="1">
      <c r="A43" t="inlineStr">
        <is>
          <t>A 72111-2021</t>
        </is>
      </c>
      <c r="B43" s="1" t="n">
        <v>44544</v>
      </c>
      <c r="C43" s="1" t="n">
        <v>45192</v>
      </c>
      <c r="D43" t="inlineStr">
        <is>
          <t>STOCKHOLMS LÄN</t>
        </is>
      </c>
      <c r="E43" t="inlineStr">
        <is>
          <t>NORRTÄLJE</t>
        </is>
      </c>
      <c r="G43" t="n">
        <v>5.1</v>
      </c>
      <c r="H43" t="n">
        <v>1</v>
      </c>
      <c r="I43" t="n">
        <v>3</v>
      </c>
      <c r="J43" t="n">
        <v>1</v>
      </c>
      <c r="K43" t="n">
        <v>0</v>
      </c>
      <c r="L43" t="n">
        <v>0</v>
      </c>
      <c r="M43" t="n">
        <v>0</v>
      </c>
      <c r="N43" t="n">
        <v>0</v>
      </c>
      <c r="O43" t="n">
        <v>1</v>
      </c>
      <c r="P43" t="n">
        <v>0</v>
      </c>
      <c r="Q43" t="n">
        <v>5</v>
      </c>
      <c r="R43" s="2" t="inlineStr">
        <is>
          <t>Lunglav
Scharlakansvårskål agg.
Sårläka
Vårärt
Blåsippa</t>
        </is>
      </c>
      <c r="S43">
        <f>HYPERLINK("https://klasma.github.io/Logging_NORRTALJE/artfynd/A 72111-2021.xlsx", "A 72111-2021")</f>
        <v/>
      </c>
      <c r="T43">
        <f>HYPERLINK("https://klasma.github.io/Logging_NORRTALJE/kartor/A 72111-2021.png", "A 72111-2021")</f>
        <v/>
      </c>
      <c r="V43">
        <f>HYPERLINK("https://klasma.github.io/Logging_NORRTALJE/klagomål/A 72111-2021.docx", "A 72111-2021")</f>
        <v/>
      </c>
      <c r="W43">
        <f>HYPERLINK("https://klasma.github.io/Logging_NORRTALJE/klagomålsmail/A 72111-2021.docx", "A 72111-2021")</f>
        <v/>
      </c>
      <c r="X43">
        <f>HYPERLINK("https://klasma.github.io/Logging_NORRTALJE/tillsyn/A 72111-2021.docx", "A 72111-2021")</f>
        <v/>
      </c>
      <c r="Y43">
        <f>HYPERLINK("https://klasma.github.io/Logging_NORRTALJE/tillsynsmail/A 72111-2021.docx", "A 72111-2021")</f>
        <v/>
      </c>
    </row>
    <row r="44" ht="15" customHeight="1">
      <c r="A44" t="inlineStr">
        <is>
          <t>A 21922-2023</t>
        </is>
      </c>
      <c r="B44" s="1" t="n">
        <v>45068</v>
      </c>
      <c r="C44" s="1" t="n">
        <v>45192</v>
      </c>
      <c r="D44" t="inlineStr">
        <is>
          <t>STOCKHOLMS LÄN</t>
        </is>
      </c>
      <c r="E44" t="inlineStr">
        <is>
          <t>NORRTÄLJE</t>
        </is>
      </c>
      <c r="G44" t="n">
        <v>4.9</v>
      </c>
      <c r="H44" t="n">
        <v>2</v>
      </c>
      <c r="I44" t="n">
        <v>2</v>
      </c>
      <c r="J44" t="n">
        <v>1</v>
      </c>
      <c r="K44" t="n">
        <v>0</v>
      </c>
      <c r="L44" t="n">
        <v>0</v>
      </c>
      <c r="M44" t="n">
        <v>0</v>
      </c>
      <c r="N44" t="n">
        <v>0</v>
      </c>
      <c r="O44" t="n">
        <v>1</v>
      </c>
      <c r="P44" t="n">
        <v>0</v>
      </c>
      <c r="Q44" t="n">
        <v>5</v>
      </c>
      <c r="R44" s="2" t="inlineStr">
        <is>
          <t>Asppraktbagge
Stor aspticka
Svavelriska
Blåsippa
Gullviva</t>
        </is>
      </c>
      <c r="S44">
        <f>HYPERLINK("https://klasma.github.io/Logging_NORRTALJE/artfynd/A 21922-2023.xlsx", "A 21922-2023")</f>
        <v/>
      </c>
      <c r="T44">
        <f>HYPERLINK("https://klasma.github.io/Logging_NORRTALJE/kartor/A 21922-2023.png", "A 21922-2023")</f>
        <v/>
      </c>
      <c r="V44">
        <f>HYPERLINK("https://klasma.github.io/Logging_NORRTALJE/klagomål/A 21922-2023.docx", "A 21922-2023")</f>
        <v/>
      </c>
      <c r="W44">
        <f>HYPERLINK("https://klasma.github.io/Logging_NORRTALJE/klagomålsmail/A 21922-2023.docx", "A 21922-2023")</f>
        <v/>
      </c>
      <c r="X44">
        <f>HYPERLINK("https://klasma.github.io/Logging_NORRTALJE/tillsyn/A 21922-2023.docx", "A 21922-2023")</f>
        <v/>
      </c>
      <c r="Y44">
        <f>HYPERLINK("https://klasma.github.io/Logging_NORRTALJE/tillsynsmail/A 21922-2023.docx", "A 21922-2023")</f>
        <v/>
      </c>
    </row>
    <row r="45" ht="15" customHeight="1">
      <c r="A45" t="inlineStr">
        <is>
          <t>A 21927-2023</t>
        </is>
      </c>
      <c r="B45" s="1" t="n">
        <v>45068</v>
      </c>
      <c r="C45" s="1" t="n">
        <v>45192</v>
      </c>
      <c r="D45" t="inlineStr">
        <is>
          <t>STOCKHOLMS LÄN</t>
        </is>
      </c>
      <c r="E45" t="inlineStr">
        <is>
          <t>NORRTÄLJE</t>
        </is>
      </c>
      <c r="G45" t="n">
        <v>1.4</v>
      </c>
      <c r="H45" t="n">
        <v>4</v>
      </c>
      <c r="I45" t="n">
        <v>2</v>
      </c>
      <c r="J45" t="n">
        <v>1</v>
      </c>
      <c r="K45" t="n">
        <v>0</v>
      </c>
      <c r="L45" t="n">
        <v>0</v>
      </c>
      <c r="M45" t="n">
        <v>0</v>
      </c>
      <c r="N45" t="n">
        <v>0</v>
      </c>
      <c r="O45" t="n">
        <v>1</v>
      </c>
      <c r="P45" t="n">
        <v>0</v>
      </c>
      <c r="Q45" t="n">
        <v>5</v>
      </c>
      <c r="R45" s="2" t="inlineStr">
        <is>
          <t>Slåtterfibbla
Skogsknipprot
Tvåblad
Blåsippa
Gullviva</t>
        </is>
      </c>
      <c r="S45">
        <f>HYPERLINK("https://klasma.github.io/Logging_NORRTALJE/artfynd/A 21927-2023.xlsx", "A 21927-2023")</f>
        <v/>
      </c>
      <c r="T45">
        <f>HYPERLINK("https://klasma.github.io/Logging_NORRTALJE/kartor/A 21927-2023.png", "A 21927-2023")</f>
        <v/>
      </c>
      <c r="V45">
        <f>HYPERLINK("https://klasma.github.io/Logging_NORRTALJE/klagomål/A 21927-2023.docx", "A 21927-2023")</f>
        <v/>
      </c>
      <c r="W45">
        <f>HYPERLINK("https://klasma.github.io/Logging_NORRTALJE/klagomålsmail/A 21927-2023.docx", "A 21927-2023")</f>
        <v/>
      </c>
      <c r="X45">
        <f>HYPERLINK("https://klasma.github.io/Logging_NORRTALJE/tillsyn/A 21927-2023.docx", "A 21927-2023")</f>
        <v/>
      </c>
      <c r="Y45">
        <f>HYPERLINK("https://klasma.github.io/Logging_NORRTALJE/tillsynsmail/A 21927-2023.docx", "A 21927-2023")</f>
        <v/>
      </c>
    </row>
    <row r="46" ht="15" customHeight="1">
      <c r="A46" t="inlineStr">
        <is>
          <t>A 11366-2019</t>
        </is>
      </c>
      <c r="B46" s="1" t="n">
        <v>43517</v>
      </c>
      <c r="C46" s="1" t="n">
        <v>45192</v>
      </c>
      <c r="D46" t="inlineStr">
        <is>
          <t>STOCKHOLMS LÄN</t>
        </is>
      </c>
      <c r="E46" t="inlineStr">
        <is>
          <t>NORRTÄLJE</t>
        </is>
      </c>
      <c r="F46" t="inlineStr">
        <is>
          <t>Kommuner</t>
        </is>
      </c>
      <c r="G46" t="n">
        <v>0.6</v>
      </c>
      <c r="H46" t="n">
        <v>1</v>
      </c>
      <c r="I46" t="n">
        <v>3</v>
      </c>
      <c r="J46" t="n">
        <v>1</v>
      </c>
      <c r="K46" t="n">
        <v>0</v>
      </c>
      <c r="L46" t="n">
        <v>0</v>
      </c>
      <c r="M46" t="n">
        <v>0</v>
      </c>
      <c r="N46" t="n">
        <v>0</v>
      </c>
      <c r="O46" t="n">
        <v>1</v>
      </c>
      <c r="P46" t="n">
        <v>0</v>
      </c>
      <c r="Q46" t="n">
        <v>4</v>
      </c>
      <c r="R46" s="2" t="inlineStr">
        <is>
          <t>Dofttaggsvamp
Fjällig taggsvamp s.str.
Skogsknipprot
Svavelriska</t>
        </is>
      </c>
      <c r="S46">
        <f>HYPERLINK("https://klasma.github.io/Logging_NORRTALJE/artfynd/A 11366-2019.xlsx", "A 11366-2019")</f>
        <v/>
      </c>
      <c r="T46">
        <f>HYPERLINK("https://klasma.github.io/Logging_NORRTALJE/kartor/A 11366-2019.png", "A 11366-2019")</f>
        <v/>
      </c>
      <c r="V46">
        <f>HYPERLINK("https://klasma.github.io/Logging_NORRTALJE/klagomål/A 11366-2019.docx", "A 11366-2019")</f>
        <v/>
      </c>
      <c r="W46">
        <f>HYPERLINK("https://klasma.github.io/Logging_NORRTALJE/klagomålsmail/A 11366-2019.docx", "A 11366-2019")</f>
        <v/>
      </c>
      <c r="X46">
        <f>HYPERLINK("https://klasma.github.io/Logging_NORRTALJE/tillsyn/A 11366-2019.docx", "A 11366-2019")</f>
        <v/>
      </c>
      <c r="Y46">
        <f>HYPERLINK("https://klasma.github.io/Logging_NORRTALJE/tillsynsmail/A 11366-2019.docx", "A 11366-2019")</f>
        <v/>
      </c>
    </row>
    <row r="47" ht="15" customHeight="1">
      <c r="A47" t="inlineStr">
        <is>
          <t>A 25507-2019</t>
        </is>
      </c>
      <c r="B47" s="1" t="n">
        <v>43606</v>
      </c>
      <c r="C47" s="1" t="n">
        <v>45192</v>
      </c>
      <c r="D47" t="inlineStr">
        <is>
          <t>STOCKHOLMS LÄN</t>
        </is>
      </c>
      <c r="E47" t="inlineStr">
        <is>
          <t>NORRTÄLJE</t>
        </is>
      </c>
      <c r="G47" t="n">
        <v>3.1</v>
      </c>
      <c r="H47" t="n">
        <v>1</v>
      </c>
      <c r="I47" t="n">
        <v>2</v>
      </c>
      <c r="J47" t="n">
        <v>0</v>
      </c>
      <c r="K47" t="n">
        <v>0</v>
      </c>
      <c r="L47" t="n">
        <v>1</v>
      </c>
      <c r="M47" t="n">
        <v>0</v>
      </c>
      <c r="N47" t="n">
        <v>0</v>
      </c>
      <c r="O47" t="n">
        <v>1</v>
      </c>
      <c r="P47" t="n">
        <v>1</v>
      </c>
      <c r="Q47" t="n">
        <v>4</v>
      </c>
      <c r="R47" s="2" t="inlineStr">
        <is>
          <t>Ask
Tibast
Vårärt
Blåsippa</t>
        </is>
      </c>
      <c r="S47">
        <f>HYPERLINK("https://klasma.github.io/Logging_NORRTALJE/artfynd/A 25507-2019.xlsx", "A 25507-2019")</f>
        <v/>
      </c>
      <c r="T47">
        <f>HYPERLINK("https://klasma.github.io/Logging_NORRTALJE/kartor/A 25507-2019.png", "A 25507-2019")</f>
        <v/>
      </c>
      <c r="V47">
        <f>HYPERLINK("https://klasma.github.io/Logging_NORRTALJE/klagomål/A 25507-2019.docx", "A 25507-2019")</f>
        <v/>
      </c>
      <c r="W47">
        <f>HYPERLINK("https://klasma.github.io/Logging_NORRTALJE/klagomålsmail/A 25507-2019.docx", "A 25507-2019")</f>
        <v/>
      </c>
      <c r="X47">
        <f>HYPERLINK("https://klasma.github.io/Logging_NORRTALJE/tillsyn/A 25507-2019.docx", "A 25507-2019")</f>
        <v/>
      </c>
      <c r="Y47">
        <f>HYPERLINK("https://klasma.github.io/Logging_NORRTALJE/tillsynsmail/A 25507-2019.docx", "A 25507-2019")</f>
        <v/>
      </c>
    </row>
    <row r="48" ht="15" customHeight="1">
      <c r="A48" t="inlineStr">
        <is>
          <t>A 28408-2019</t>
        </is>
      </c>
      <c r="B48" s="1" t="n">
        <v>43626</v>
      </c>
      <c r="C48" s="1" t="n">
        <v>45192</v>
      </c>
      <c r="D48" t="inlineStr">
        <is>
          <t>STOCKHOLMS LÄN</t>
        </is>
      </c>
      <c r="E48" t="inlineStr">
        <is>
          <t>NORRTÄLJE</t>
        </is>
      </c>
      <c r="G48" t="n">
        <v>1.1</v>
      </c>
      <c r="H48" t="n">
        <v>2</v>
      </c>
      <c r="I48" t="n">
        <v>2</v>
      </c>
      <c r="J48" t="n">
        <v>1</v>
      </c>
      <c r="K48" t="n">
        <v>1</v>
      </c>
      <c r="L48" t="n">
        <v>0</v>
      </c>
      <c r="M48" t="n">
        <v>0</v>
      </c>
      <c r="N48" t="n">
        <v>0</v>
      </c>
      <c r="O48" t="n">
        <v>2</v>
      </c>
      <c r="P48" t="n">
        <v>1</v>
      </c>
      <c r="Q48" t="n">
        <v>4</v>
      </c>
      <c r="R48" s="2" t="inlineStr">
        <is>
          <t>Knärot
Granticka
Grönpyrola
Nästrot</t>
        </is>
      </c>
      <c r="S48">
        <f>HYPERLINK("https://klasma.github.io/Logging_NORRTALJE/artfynd/A 28408-2019.xlsx", "A 28408-2019")</f>
        <v/>
      </c>
      <c r="T48">
        <f>HYPERLINK("https://klasma.github.io/Logging_NORRTALJE/kartor/A 28408-2019.png", "A 28408-2019")</f>
        <v/>
      </c>
      <c r="U48">
        <f>HYPERLINK("https://klasma.github.io/Logging_NORRTALJE/knärot/A 28408-2019.png", "A 28408-2019")</f>
        <v/>
      </c>
      <c r="V48">
        <f>HYPERLINK("https://klasma.github.io/Logging_NORRTALJE/klagomål/A 28408-2019.docx", "A 28408-2019")</f>
        <v/>
      </c>
      <c r="W48">
        <f>HYPERLINK("https://klasma.github.io/Logging_NORRTALJE/klagomålsmail/A 28408-2019.docx", "A 28408-2019")</f>
        <v/>
      </c>
      <c r="X48">
        <f>HYPERLINK("https://klasma.github.io/Logging_NORRTALJE/tillsyn/A 28408-2019.docx", "A 28408-2019")</f>
        <v/>
      </c>
      <c r="Y48">
        <f>HYPERLINK("https://klasma.github.io/Logging_NORRTALJE/tillsynsmail/A 28408-2019.docx", "A 28408-2019")</f>
        <v/>
      </c>
    </row>
    <row r="49" ht="15" customHeight="1">
      <c r="A49" t="inlineStr">
        <is>
          <t>A 5732-2020</t>
        </is>
      </c>
      <c r="B49" s="1" t="n">
        <v>43863</v>
      </c>
      <c r="C49" s="1" t="n">
        <v>45192</v>
      </c>
      <c r="D49" t="inlineStr">
        <is>
          <t>STOCKHOLMS LÄN</t>
        </is>
      </c>
      <c r="E49" t="inlineStr">
        <is>
          <t>NORRTÄLJE</t>
        </is>
      </c>
      <c r="G49" t="n">
        <v>1.8</v>
      </c>
      <c r="H49" t="n">
        <v>0</v>
      </c>
      <c r="I49" t="n">
        <v>2</v>
      </c>
      <c r="J49" t="n">
        <v>2</v>
      </c>
      <c r="K49" t="n">
        <v>0</v>
      </c>
      <c r="L49" t="n">
        <v>0</v>
      </c>
      <c r="M49" t="n">
        <v>0</v>
      </c>
      <c r="N49" t="n">
        <v>0</v>
      </c>
      <c r="O49" t="n">
        <v>2</v>
      </c>
      <c r="P49" t="n">
        <v>0</v>
      </c>
      <c r="Q49" t="n">
        <v>4</v>
      </c>
      <c r="R49" s="2" t="inlineStr">
        <is>
          <t>Svart taggsvamp
Äggspindling
Kryddspindling
Strimspindling</t>
        </is>
      </c>
      <c r="S49">
        <f>HYPERLINK("https://klasma.github.io/Logging_NORRTALJE/artfynd/A 5732-2020.xlsx", "A 5732-2020")</f>
        <v/>
      </c>
      <c r="T49">
        <f>HYPERLINK("https://klasma.github.io/Logging_NORRTALJE/kartor/A 5732-2020.png", "A 5732-2020")</f>
        <v/>
      </c>
      <c r="V49">
        <f>HYPERLINK("https://klasma.github.io/Logging_NORRTALJE/klagomål/A 5732-2020.docx", "A 5732-2020")</f>
        <v/>
      </c>
      <c r="W49">
        <f>HYPERLINK("https://klasma.github.io/Logging_NORRTALJE/klagomålsmail/A 5732-2020.docx", "A 5732-2020")</f>
        <v/>
      </c>
      <c r="X49">
        <f>HYPERLINK("https://klasma.github.io/Logging_NORRTALJE/tillsyn/A 5732-2020.docx", "A 5732-2020")</f>
        <v/>
      </c>
      <c r="Y49">
        <f>HYPERLINK("https://klasma.github.io/Logging_NORRTALJE/tillsynsmail/A 5732-2020.docx", "A 5732-2020")</f>
        <v/>
      </c>
    </row>
    <row r="50" ht="15" customHeight="1">
      <c r="A50" t="inlineStr">
        <is>
          <t>A 24052-2021</t>
        </is>
      </c>
      <c r="B50" s="1" t="n">
        <v>44336</v>
      </c>
      <c r="C50" s="1" t="n">
        <v>45192</v>
      </c>
      <c r="D50" t="inlineStr">
        <is>
          <t>STOCKHOLMS LÄN</t>
        </is>
      </c>
      <c r="E50" t="inlineStr">
        <is>
          <t>NORRTÄLJE</t>
        </is>
      </c>
      <c r="G50" t="n">
        <v>8.6</v>
      </c>
      <c r="H50" t="n">
        <v>4</v>
      </c>
      <c r="I50" t="n">
        <v>0</v>
      </c>
      <c r="J50" t="n">
        <v>2</v>
      </c>
      <c r="K50" t="n">
        <v>0</v>
      </c>
      <c r="L50" t="n">
        <v>0</v>
      </c>
      <c r="M50" t="n">
        <v>0</v>
      </c>
      <c r="N50" t="n">
        <v>0</v>
      </c>
      <c r="O50" t="n">
        <v>2</v>
      </c>
      <c r="P50" t="n">
        <v>0</v>
      </c>
      <c r="Q50" t="n">
        <v>4</v>
      </c>
      <c r="R50" s="2" t="inlineStr">
        <is>
          <t>Brunlångöra
Nordfladdermus
Dvärgpipistrell
Större brunfladdermus</t>
        </is>
      </c>
      <c r="S50">
        <f>HYPERLINK("https://klasma.github.io/Logging_NORRTALJE/artfynd/A 24052-2021.xlsx", "A 24052-2021")</f>
        <v/>
      </c>
      <c r="T50">
        <f>HYPERLINK("https://klasma.github.io/Logging_NORRTALJE/kartor/A 24052-2021.png", "A 24052-2021")</f>
        <v/>
      </c>
      <c r="V50">
        <f>HYPERLINK("https://klasma.github.io/Logging_NORRTALJE/klagomål/A 24052-2021.docx", "A 24052-2021")</f>
        <v/>
      </c>
      <c r="W50">
        <f>HYPERLINK("https://klasma.github.io/Logging_NORRTALJE/klagomålsmail/A 24052-2021.docx", "A 24052-2021")</f>
        <v/>
      </c>
      <c r="X50">
        <f>HYPERLINK("https://klasma.github.io/Logging_NORRTALJE/tillsyn/A 24052-2021.docx", "A 24052-2021")</f>
        <v/>
      </c>
      <c r="Y50">
        <f>HYPERLINK("https://klasma.github.io/Logging_NORRTALJE/tillsynsmail/A 24052-2021.docx", "A 24052-2021")</f>
        <v/>
      </c>
    </row>
    <row r="51" ht="15" customHeight="1">
      <c r="A51" t="inlineStr">
        <is>
          <t>A 72305-2021</t>
        </is>
      </c>
      <c r="B51" s="1" t="n">
        <v>44545</v>
      </c>
      <c r="C51" s="1" t="n">
        <v>45192</v>
      </c>
      <c r="D51" t="inlineStr">
        <is>
          <t>STOCKHOLMS LÄN</t>
        </is>
      </c>
      <c r="E51" t="inlineStr">
        <is>
          <t>NORRTÄLJE</t>
        </is>
      </c>
      <c r="G51" t="n">
        <v>1.5</v>
      </c>
      <c r="H51" t="n">
        <v>1</v>
      </c>
      <c r="I51" t="n">
        <v>3</v>
      </c>
      <c r="J51" t="n">
        <v>0</v>
      </c>
      <c r="K51" t="n">
        <v>0</v>
      </c>
      <c r="L51" t="n">
        <v>0</v>
      </c>
      <c r="M51" t="n">
        <v>0</v>
      </c>
      <c r="N51" t="n">
        <v>0</v>
      </c>
      <c r="O51" t="n">
        <v>0</v>
      </c>
      <c r="P51" t="n">
        <v>0</v>
      </c>
      <c r="Q51" t="n">
        <v>4</v>
      </c>
      <c r="R51" s="2" t="inlineStr">
        <is>
          <t>Svart trolldruva
Sårläka
Vårärt
Blåsippa</t>
        </is>
      </c>
      <c r="S51">
        <f>HYPERLINK("https://klasma.github.io/Logging_NORRTALJE/artfynd/A 72305-2021.xlsx", "A 72305-2021")</f>
        <v/>
      </c>
      <c r="T51">
        <f>HYPERLINK("https://klasma.github.io/Logging_NORRTALJE/kartor/A 72305-2021.png", "A 72305-2021")</f>
        <v/>
      </c>
      <c r="V51">
        <f>HYPERLINK("https://klasma.github.io/Logging_NORRTALJE/klagomål/A 72305-2021.docx", "A 72305-2021")</f>
        <v/>
      </c>
      <c r="W51">
        <f>HYPERLINK("https://klasma.github.io/Logging_NORRTALJE/klagomålsmail/A 72305-2021.docx", "A 72305-2021")</f>
        <v/>
      </c>
      <c r="X51">
        <f>HYPERLINK("https://klasma.github.io/Logging_NORRTALJE/tillsyn/A 72305-2021.docx", "A 72305-2021")</f>
        <v/>
      </c>
      <c r="Y51">
        <f>HYPERLINK("https://klasma.github.io/Logging_NORRTALJE/tillsynsmail/A 72305-2021.docx", "A 72305-2021")</f>
        <v/>
      </c>
    </row>
    <row r="52" ht="15" customHeight="1">
      <c r="A52" t="inlineStr">
        <is>
          <t>A 31462-2023</t>
        </is>
      </c>
      <c r="B52" s="1" t="n">
        <v>45114</v>
      </c>
      <c r="C52" s="1" t="n">
        <v>45192</v>
      </c>
      <c r="D52" t="inlineStr">
        <is>
          <t>STOCKHOLMS LÄN</t>
        </is>
      </c>
      <c r="E52" t="inlineStr">
        <is>
          <t>NORRTÄLJE</t>
        </is>
      </c>
      <c r="G52" t="n">
        <v>6.8</v>
      </c>
      <c r="H52" t="n">
        <v>2</v>
      </c>
      <c r="I52" t="n">
        <v>1</v>
      </c>
      <c r="J52" t="n">
        <v>1</v>
      </c>
      <c r="K52" t="n">
        <v>0</v>
      </c>
      <c r="L52" t="n">
        <v>0</v>
      </c>
      <c r="M52" t="n">
        <v>0</v>
      </c>
      <c r="N52" t="n">
        <v>0</v>
      </c>
      <c r="O52" t="n">
        <v>1</v>
      </c>
      <c r="P52" t="n">
        <v>0</v>
      </c>
      <c r="Q52" t="n">
        <v>4</v>
      </c>
      <c r="R52" s="2" t="inlineStr">
        <is>
          <t>Ängsstarr
Gräsull
Kärrknipprot
Ängsnycklar</t>
        </is>
      </c>
      <c r="S52">
        <f>HYPERLINK("https://klasma.github.io/Logging_NORRTALJE/artfynd/A 31462-2023.xlsx", "A 31462-2023")</f>
        <v/>
      </c>
      <c r="T52">
        <f>HYPERLINK("https://klasma.github.io/Logging_NORRTALJE/kartor/A 31462-2023.png", "A 31462-2023")</f>
        <v/>
      </c>
      <c r="V52">
        <f>HYPERLINK("https://klasma.github.io/Logging_NORRTALJE/klagomål/A 31462-2023.docx", "A 31462-2023")</f>
        <v/>
      </c>
      <c r="W52">
        <f>HYPERLINK("https://klasma.github.io/Logging_NORRTALJE/klagomålsmail/A 31462-2023.docx", "A 31462-2023")</f>
        <v/>
      </c>
      <c r="X52">
        <f>HYPERLINK("https://klasma.github.io/Logging_NORRTALJE/tillsyn/A 31462-2023.docx", "A 31462-2023")</f>
        <v/>
      </c>
      <c r="Y52">
        <f>HYPERLINK("https://klasma.github.io/Logging_NORRTALJE/tillsynsmail/A 31462-2023.docx", "A 31462-2023")</f>
        <v/>
      </c>
    </row>
    <row r="53" ht="15" customHeight="1">
      <c r="A53" t="inlineStr">
        <is>
          <t>A 2663-2019</t>
        </is>
      </c>
      <c r="B53" s="1" t="n">
        <v>43478</v>
      </c>
      <c r="C53" s="1" t="n">
        <v>45192</v>
      </c>
      <c r="D53" t="inlineStr">
        <is>
          <t>STOCKHOLMS LÄN</t>
        </is>
      </c>
      <c r="E53" t="inlineStr">
        <is>
          <t>NORRTÄLJE</t>
        </is>
      </c>
      <c r="G53" t="n">
        <v>21.2</v>
      </c>
      <c r="H53" t="n">
        <v>2</v>
      </c>
      <c r="I53" t="n">
        <v>2</v>
      </c>
      <c r="J53" t="n">
        <v>0</v>
      </c>
      <c r="K53" t="n">
        <v>0</v>
      </c>
      <c r="L53" t="n">
        <v>0</v>
      </c>
      <c r="M53" t="n">
        <v>0</v>
      </c>
      <c r="N53" t="n">
        <v>0</v>
      </c>
      <c r="O53" t="n">
        <v>0</v>
      </c>
      <c r="P53" t="n">
        <v>0</v>
      </c>
      <c r="Q53" t="n">
        <v>3</v>
      </c>
      <c r="R53" s="2" t="inlineStr">
        <is>
          <t>Nästrot
Svart trolldruva
Blåsippa</t>
        </is>
      </c>
      <c r="S53">
        <f>HYPERLINK("https://klasma.github.io/Logging_NORRTALJE/artfynd/A 2663-2019.xlsx", "A 2663-2019")</f>
        <v/>
      </c>
      <c r="T53">
        <f>HYPERLINK("https://klasma.github.io/Logging_NORRTALJE/kartor/A 2663-2019.png", "A 2663-2019")</f>
        <v/>
      </c>
      <c r="V53">
        <f>HYPERLINK("https://klasma.github.io/Logging_NORRTALJE/klagomål/A 2663-2019.docx", "A 2663-2019")</f>
        <v/>
      </c>
      <c r="W53">
        <f>HYPERLINK("https://klasma.github.io/Logging_NORRTALJE/klagomålsmail/A 2663-2019.docx", "A 2663-2019")</f>
        <v/>
      </c>
      <c r="X53">
        <f>HYPERLINK("https://klasma.github.io/Logging_NORRTALJE/tillsyn/A 2663-2019.docx", "A 2663-2019")</f>
        <v/>
      </c>
      <c r="Y53">
        <f>HYPERLINK("https://klasma.github.io/Logging_NORRTALJE/tillsynsmail/A 2663-2019.docx", "A 2663-2019")</f>
        <v/>
      </c>
    </row>
    <row r="54" ht="15" customHeight="1">
      <c r="A54" t="inlineStr">
        <is>
          <t>A 4031-2019</t>
        </is>
      </c>
      <c r="B54" s="1" t="n">
        <v>43482</v>
      </c>
      <c r="C54" s="1" t="n">
        <v>45192</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45192</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45192</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45192</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45192</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45192</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45192</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45192</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45192</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45192</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45192</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45192</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45192</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45192</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45192</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45192</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45192</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45192</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45192</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45192</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45192</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45192</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45192</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45192</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45192</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45192</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45192</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45192</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45192</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45192</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45192</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45192</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45192</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45192</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45192</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45192</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45192</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45192</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45192</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45192</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45192</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45192</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45192</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45192</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45192</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45192</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45192</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45192</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45192</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45192</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45192</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45192</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45192</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45192</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45192</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45192</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45192</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45192</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45192</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45192</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45192</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45192</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45192</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45192</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45192</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45192</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45192</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45192</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45192</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45192</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45192</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45192</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45192</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45192</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45192</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45192</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45192</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45192</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45192</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45192</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45192</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45192</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45192</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45192</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45192</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45192</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45192</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45192</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45192</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45192</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45192</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45192</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45192</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45192</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45192</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45192</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45192</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45192</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45192</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45192</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45192</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45192</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45192</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45192</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45192</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45192</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45192</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45192</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45192</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45192</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45192</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45192</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45192</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45192</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45192</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45192</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45192</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45192</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45192</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45192</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45192</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45192</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45192</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45192</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45192</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45192</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45192</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45192</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45192</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45192</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45192</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45192</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45192</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45192</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45192</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45192</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45192</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45192</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45192</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45192</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45192</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45192</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45192</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45192</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45192</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45192</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45192</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45192</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45192</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45192</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45192</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45192</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45192</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45192</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45192</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45192</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45192</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45192</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45192</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45192</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45192</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45192</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45192</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45192</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45192</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45192</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45192</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45192</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45192</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45192</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45192</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45192</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45192</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45192</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45192</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45192</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45192</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45192</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45192</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45192</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45192</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45192</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45192</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45192</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45192</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45192</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45192</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45192</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45192</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45192</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45192</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45192</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45192</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45192</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45192</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45192</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45192</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45192</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45192</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45192</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45192</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45192</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45192</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45192</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45192</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45192</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45192</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45192</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45192</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45192</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45192</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45192</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45192</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45192</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45192</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45192</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45192</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45192</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45192</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45192</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45192</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45192</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45192</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45192</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45192</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45192</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45192</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45192</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45192</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45192</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45192</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45192</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45192</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45192</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45192</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45192</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45192</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45192</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45192</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45192</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45192</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45192</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45192</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45192</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45192</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45192</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45192</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45192</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45192</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45192</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45192</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45192</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45192</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45192</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45192</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45192</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45192</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45192</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45192</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45192</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45192</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45192</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45192</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45192</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45192</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45192</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45192</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45192</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45192</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45192</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45192</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45192</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45192</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45192</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45192</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45192</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45192</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45192</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45192</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45192</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45192</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45192</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45192</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45192</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45192</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45192</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45192</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45192</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45192</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45192</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45192</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45192</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45192</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45192</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45192</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45192</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45192</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45192</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45192</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45192</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45192</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45192</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45192</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45192</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45192</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45192</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45192</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45192</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45192</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45192</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45192</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45192</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45192</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45192</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45192</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45192</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45192</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45192</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45192</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45192</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45192</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45192</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45192</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45192</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45192</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45192</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45192</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45192</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45192</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45192</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45192</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45192</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45192</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45192</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45192</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45192</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45192</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45192</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45192</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45192</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45192</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45192</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45192</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45192</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45192</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45192</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45192</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45192</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45192</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45192</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45192</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45192</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45192</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45192</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45192</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45192</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45192</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45192</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45192</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45192</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45192</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45192</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45192</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45192</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45192</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45192</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45192</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45192</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45192</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45192</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45192</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45192</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45192</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45192</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45192</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45192</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45192</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45192</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45192</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45192</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45192</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45192</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45192</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45192</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45192</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45192</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45192</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45192</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45192</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45192</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45192</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45192</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45192</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45192</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45192</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45192</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45192</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45192</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45192</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45192</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45192</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45192</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45192</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45192</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45192</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45192</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45192</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45192</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45192</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45192</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45192</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45192</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45192</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45192</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45192</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45192</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45192</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45192</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45192</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45192</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45192</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45192</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45192</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45192</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45192</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45192</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45192</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45192</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45192</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45192</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45192</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45192</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45192</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45192</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45192</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45192</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45192</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45192</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45192</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45192</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45192</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45192</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45192</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45192</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45192</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45192</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45192</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45192</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45192</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45192</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45192</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45192</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45192</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45192</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45192</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45192</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45192</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45192</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45192</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45192</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45192</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45192</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45192</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45192</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45192</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45192</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45192</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45192</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45192</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45192</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45192</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45192</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45192</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45192</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45192</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45192</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45192</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45192</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45192</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45192</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45192</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45192</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45192</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45192</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45192</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45192</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45192</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45192</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45192</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45192</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45192</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45192</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45192</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45192</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45192</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45192</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45192</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45192</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45192</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45192</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45192</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45192</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45192</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45192</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45192</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45192</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45192</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45192</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45192</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45192</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45192</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45192</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45192</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45192</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45192</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45192</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45192</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45192</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45192</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45192</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45192</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45192</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45192</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45192</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45192</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45192</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45192</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45192</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45192</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45192</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45192</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45192</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45192</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45192</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45192</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45192</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45192</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45192</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45192</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45192</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45192</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45192</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45192</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45192</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45192</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45192</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45192</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45192</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45192</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45192</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45192</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45192</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45192</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45192</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45192</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45192</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45192</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45192</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45192</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45192</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45192</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45192</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45192</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45192</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45192</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45192</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45192</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45192</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45192</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45192</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45192</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45192</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45192</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45192</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45192</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45192</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45192</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45192</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45192</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45192</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45192</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45192</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45192</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45192</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45192</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45192</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45192</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45192</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45192</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45192</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45192</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45192</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45192</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45192</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45192</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45192</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45192</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45192</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45192</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45192</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45192</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45192</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45192</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45192</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45192</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45192</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45192</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45192</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45192</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45192</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45192</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45192</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45192</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45192</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45192</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45192</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45192</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45192</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45192</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45192</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45192</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45192</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45192</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45192</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45192</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45192</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45192</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45192</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45192</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45192</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45192</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45192</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45192</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45192</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45192</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45192</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45192</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45192</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45192</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45192</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45192</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45192</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45192</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45192</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45192</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45192</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45192</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45192</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45192</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45192</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45192</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45192</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45192</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45192</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45192</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45192</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45192</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45192</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45192</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45192</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45192</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45192</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45192</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45192</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45192</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45192</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45192</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45192</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45192</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45192</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45192</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45192</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45192</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45192</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45192</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45192</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45192</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45192</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45192</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45192</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45192</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45192</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45192</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45192</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45192</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45192</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45192</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45192</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45192</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45192</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45192</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45192</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45192</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45192</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45192</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45192</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45192</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45192</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45192</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45192</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45192</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45192</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45192</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45192</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45192</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45192</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45192</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45192</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45192</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45192</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45192</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45192</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45192</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45192</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45192</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45192</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45192</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45192</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45192</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45192</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45192</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45192</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45192</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45192</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45192</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45192</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45192</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45192</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45192</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45192</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45192</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45192</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45192</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45192</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45192</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45192</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45192</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45192</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45192</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45192</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45192</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45192</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45192</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45192</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45192</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45192</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45192</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45192</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45192</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45192</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45192</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45192</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45192</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45192</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45192</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45192</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45192</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45192</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45192</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45192</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45192</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45192</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45192</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45192</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45192</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45192</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45192</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45192</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45192</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45192</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45192</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45192</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45192</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45192</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45192</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45192</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45192</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45192</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45192</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45192</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45192</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45192</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45192</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45192</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45192</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45192</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45192</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45192</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45192</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45192</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45192</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45192</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45192</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45192</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45192</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45192</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45192</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45192</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45192</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45192</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45192</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45192</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45192</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45192</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45192</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45192</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45192</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45192</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45192</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45192</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45192</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45192</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45192</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45192</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45192</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45192</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45192</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45192</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45192</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45192</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45192</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45192</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45192</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45192</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45192</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45192</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45192</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45192</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45192</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45192</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45192</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45192</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45192</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45192</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45192</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45192</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45192</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45192</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45192</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45192</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45192</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45192</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45192</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45192</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45192</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45192</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45192</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45192</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45192</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45192</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45192</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45192</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45192</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45192</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45192</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45192</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45192</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45192</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45192</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45192</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45192</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45192</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45192</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45192</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45192</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45192</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45192</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45192</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45192</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45192</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45192</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45192</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45192</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45192</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45192</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45192</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45192</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45192</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45192</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45192</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45192</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45192</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45192</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45192</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45192</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45192</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45192</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45192</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45192</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45192</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45192</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45192</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45192</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45192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45192</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45192</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45192</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45192</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45192</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45192</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45192</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45192</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45192</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45192</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45192</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45192</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45192</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45192</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45192</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45192</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45192</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45192</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45192</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45192</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45192</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45192</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45192</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45192</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45192</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45192</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45192</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45192</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45192</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45192</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45192</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45192</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45192</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45192</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45192</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45192</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45192</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45192</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45192</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45192</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45192</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45192</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45192</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45192</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45192</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45192</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45192</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45192</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45192</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45192</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45192</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45192</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45192</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45192</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45192</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45192</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45192</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45192</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45192</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45192</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45192</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45192</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45192</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45192</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45192</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45192</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45192</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45192</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45192</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45192</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45192</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45192</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45192</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45192</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45192</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45192</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45192</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45192</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45192</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45192</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45192</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45192</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45192</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45192</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45192</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45192</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45192</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45192</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45192</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45192</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45192</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45192</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45192</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45192</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45192</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45192</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45192</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45192</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45192</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45192</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45192</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45192</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45192</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45192</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45192</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45192</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45192</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45192</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45192</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45192</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45192</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45192</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45192</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45192</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45192</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45192</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45192</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45192</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45192</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45192</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45192</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45192</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45192</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45192</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45192</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45192</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45192</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45192</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45192</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45192</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45192</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45192</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45192</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45192</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45192</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45192</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45192</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45192</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45192</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45192</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45192</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45192</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45192</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45192</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45192</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45192</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45192</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45192</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45192</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45192</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45192</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45192</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45192</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45192</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45192</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45192</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45192</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45192</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45192</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45192</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45192</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45192</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45192</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45192</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45192</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45192</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45192</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45192</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45192</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45192</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45192</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45192</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45192</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45192</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45192</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45192</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45192</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45192</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45192</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45192</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45192</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45192</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45192</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45192</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45192</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45192</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45192</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45192</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45192</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45192</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45192</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45192</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45192</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45192</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45192</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45192</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45192</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45192</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45192</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45192</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45192</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45192</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45192</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45192</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45192</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45192</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45192</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45192</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45192</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45192</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45192</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45192</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45192</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45192</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45192</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45192</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45192</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45192</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45192</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45192</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45192</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45192</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45192</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45192</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45192</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45192</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45192</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45192</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45192</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45192</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45192</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45192</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45192</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45192</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45192</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45192</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45192</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45192</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45192</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45192</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45192</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45192</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45192</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45192</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45192</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45192</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45192</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45192</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45192</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45192</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45192</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45192</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45192</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45192</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45192</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45192</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45192</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45192</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45192</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45192</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45192</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45192</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45192</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45192</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45192</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45192</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45192</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45192</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45192</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45192</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45192</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45192</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45192</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45192</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45192</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45192</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45192</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45192</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45192</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45192</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45192</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45192</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45192</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45192</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45192</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45192</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45192</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45192</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45192</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45192</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45192</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45192</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45192</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45192</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45192</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45192</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45192</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45192</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45192</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45192</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45192</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45192</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45192</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45192</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45192</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45192</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45192</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45192</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45192</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45192</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45192</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45192</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45192</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45192</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45192</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45192</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45192</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45192</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45192</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45192</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45192</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45192</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45192</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45192</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45192</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45192</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45192</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45192</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45192</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45192</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45192</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45192</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45192</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45192</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45192</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45192</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45192</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45192</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45192</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45192</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45192</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45192</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45192</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45192</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45192</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45192</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45192</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45192</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45192</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45192</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45192</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45192</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45192</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45192</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45192</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45192</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45192</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45192</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45192</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45192</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45192</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45192</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45192</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45192</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45192</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45192</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45192</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45192</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45192</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c r="A1317" t="inlineStr">
        <is>
          <t>A 45173-2023</t>
        </is>
      </c>
      <c r="B1317" s="1" t="n">
        <v>45191</v>
      </c>
      <c r="C1317" s="1" t="n">
        <v>45192</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2023-09-23T07:09:33Z</dcterms:created>
  <dcterms:modified xmlns:dcterms="http://purl.org/dc/terms/" xmlns:xsi="http://www.w3.org/2001/XMLSchema-instance" xsi:type="dcterms:W3CDTF">2023-09-23T07:09:34Z</dcterms:modified>
</cp:coreProperties>
</file>