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45192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45192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45192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45192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45192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45192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45192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45192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45192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45192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45192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45192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45192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47102-2021</t>
        </is>
      </c>
      <c r="B15" s="1" t="n">
        <v>44446</v>
      </c>
      <c r="C15" s="1" t="n">
        <v>45192</v>
      </c>
      <c r="D15" t="inlineStr">
        <is>
          <t>SÖDERMANLANDS LÄN</t>
        </is>
      </c>
      <c r="E15" t="inlineStr">
        <is>
          <t>NYKÖPING</t>
        </is>
      </c>
      <c r="F15" t="inlineStr">
        <is>
          <t>Kommuner</t>
        </is>
      </c>
      <c r="G15" t="n">
        <v>3.4</v>
      </c>
      <c r="H15" t="n">
        <v>2</v>
      </c>
      <c r="I15" t="n">
        <v>4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Rävticka
Skogsknipprot
Svart trolldruva
Svavelriska
Mindre vattensalamander</t>
        </is>
      </c>
      <c r="S15">
        <f>HYPERLINK("https://klasma.github.io/Logging_NYKOPING/artfynd/A 47102-2021.xlsx", "A 47102-2021")</f>
        <v/>
      </c>
      <c r="T15">
        <f>HYPERLINK("https://klasma.github.io/Logging_NYKOPING/kartor/A 47102-2021.png", "A 47102-2021")</f>
        <v/>
      </c>
      <c r="V15">
        <f>HYPERLINK("https://klasma.github.io/Logging_NYKOPING/klagomål/A 47102-2021.docx", "A 47102-2021")</f>
        <v/>
      </c>
      <c r="W15">
        <f>HYPERLINK("https://klasma.github.io/Logging_NYKOPING/klagomålsmail/A 47102-2021.docx", "A 47102-2021")</f>
        <v/>
      </c>
      <c r="X15">
        <f>HYPERLINK("https://klasma.github.io/Logging_NYKOPING/tillsyn/A 47102-2021.docx", "A 47102-2021")</f>
        <v/>
      </c>
      <c r="Y15">
        <f>HYPERLINK("https://klasma.github.io/Logging_NYKOPING/tillsynsmail/A 47102-2021.docx", "A 47102-2021")</f>
        <v/>
      </c>
    </row>
    <row r="16" ht="15" customHeight="1">
      <c r="A16" t="inlineStr">
        <is>
          <t>A 6167-2019</t>
        </is>
      </c>
      <c r="B16" s="1" t="n">
        <v>43486</v>
      </c>
      <c r="C16" s="1" t="n">
        <v>45192</v>
      </c>
      <c r="D16" t="inlineStr">
        <is>
          <t>SÖDERMANLANDS LÄN</t>
        </is>
      </c>
      <c r="E16" t="inlineStr">
        <is>
          <t>NYKÖPING</t>
        </is>
      </c>
      <c r="G16" t="n">
        <v>5.5</v>
      </c>
      <c r="H16" t="n">
        <v>2</v>
      </c>
      <c r="I16" t="n">
        <v>1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Ask
Sårläka
Nattviol
Blåsippa</t>
        </is>
      </c>
      <c r="S16">
        <f>HYPERLINK("https://klasma.github.io/Logging_NYKOPING/artfynd/A 6167-2019.xlsx", "A 6167-2019")</f>
        <v/>
      </c>
      <c r="T16">
        <f>HYPERLINK("https://klasma.github.io/Logging_NYKOPING/kartor/A 6167-2019.png", "A 6167-2019")</f>
        <v/>
      </c>
      <c r="V16">
        <f>HYPERLINK("https://klasma.github.io/Logging_NYKOPING/klagomål/A 6167-2019.docx", "A 6167-2019")</f>
        <v/>
      </c>
      <c r="W16">
        <f>HYPERLINK("https://klasma.github.io/Logging_NYKOPING/klagomålsmail/A 6167-2019.docx", "A 6167-2019")</f>
        <v/>
      </c>
      <c r="X16">
        <f>HYPERLINK("https://klasma.github.io/Logging_NYKOPING/tillsyn/A 6167-2019.docx", "A 6167-2019")</f>
        <v/>
      </c>
      <c r="Y16">
        <f>HYPERLINK("https://klasma.github.io/Logging_NYKOPING/tillsynsmail/A 6167-2019.docx", "A 6167-2019")</f>
        <v/>
      </c>
    </row>
    <row r="17" ht="15" customHeight="1">
      <c r="A17" t="inlineStr">
        <is>
          <t>A 6487-2020</t>
        </is>
      </c>
      <c r="B17" s="1" t="n">
        <v>43866</v>
      </c>
      <c r="C17" s="1" t="n">
        <v>45192</v>
      </c>
      <c r="D17" t="inlineStr">
        <is>
          <t>SÖDERMANLANDS LÄN</t>
        </is>
      </c>
      <c r="E17" t="inlineStr">
        <is>
          <t>NYKÖPING</t>
        </is>
      </c>
      <c r="G17" t="n">
        <v>4.9</v>
      </c>
      <c r="H17" t="n">
        <v>0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Gränsticka
Tallticka
Ullticka
Vintertagging</t>
        </is>
      </c>
      <c r="S17">
        <f>HYPERLINK("https://klasma.github.io/Logging_NYKOPING/artfynd/A 6487-2020.xlsx", "A 6487-2020")</f>
        <v/>
      </c>
      <c r="T17">
        <f>HYPERLINK("https://klasma.github.io/Logging_NYKOPING/kartor/A 6487-2020.png", "A 6487-2020")</f>
        <v/>
      </c>
      <c r="V17">
        <f>HYPERLINK("https://klasma.github.io/Logging_NYKOPING/klagomål/A 6487-2020.docx", "A 6487-2020")</f>
        <v/>
      </c>
      <c r="W17">
        <f>HYPERLINK("https://klasma.github.io/Logging_NYKOPING/klagomålsmail/A 6487-2020.docx", "A 6487-2020")</f>
        <v/>
      </c>
      <c r="X17">
        <f>HYPERLINK("https://klasma.github.io/Logging_NYKOPING/tillsyn/A 6487-2020.docx", "A 6487-2020")</f>
        <v/>
      </c>
      <c r="Y17">
        <f>HYPERLINK("https://klasma.github.io/Logging_NYKOPING/tillsynsmail/A 6487-2020.docx", "A 6487-2020")</f>
        <v/>
      </c>
    </row>
    <row r="18" ht="15" customHeight="1">
      <c r="A18" t="inlineStr">
        <is>
          <t>A 14041-2020</t>
        </is>
      </c>
      <c r="B18" s="1" t="n">
        <v>43906</v>
      </c>
      <c r="C18" s="1" t="n">
        <v>45192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11.9</v>
      </c>
      <c r="H18" t="n">
        <v>3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Kricka
Granticka
Rödvingetrast
Ärtsångare</t>
        </is>
      </c>
      <c r="S18">
        <f>HYPERLINK("https://klasma.github.io/Logging_NYKOPING/artfynd/A 14041-2020.xlsx", "A 14041-2020")</f>
        <v/>
      </c>
      <c r="T18">
        <f>HYPERLINK("https://klasma.github.io/Logging_NYKOPING/kartor/A 14041-2020.png", "A 14041-2020")</f>
        <v/>
      </c>
      <c r="U18">
        <f>HYPERLINK("https://klasma.github.io/Logging_NYKOPING/knärot/A 14041-2020.png", "A 14041-2020")</f>
        <v/>
      </c>
      <c r="V18">
        <f>HYPERLINK("https://klasma.github.io/Logging_NYKOPING/klagomål/A 14041-2020.docx", "A 14041-2020")</f>
        <v/>
      </c>
      <c r="W18">
        <f>HYPERLINK("https://klasma.github.io/Logging_NYKOPING/klagomålsmail/A 14041-2020.docx", "A 14041-2020")</f>
        <v/>
      </c>
      <c r="X18">
        <f>HYPERLINK("https://klasma.github.io/Logging_NYKOPING/tillsyn/A 14041-2020.docx", "A 14041-2020")</f>
        <v/>
      </c>
      <c r="Y18">
        <f>HYPERLINK("https://klasma.github.io/Logging_NYKOPING/tillsynsmail/A 14041-2020.docx", "A 14041-2020")</f>
        <v/>
      </c>
    </row>
    <row r="19" ht="15" customHeight="1">
      <c r="A19" t="inlineStr">
        <is>
          <t>A 25823-2020</t>
        </is>
      </c>
      <c r="B19" s="1" t="n">
        <v>43983</v>
      </c>
      <c r="C19" s="1" t="n">
        <v>45192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8.9</v>
      </c>
      <c r="H19" t="n">
        <v>1</v>
      </c>
      <c r="I19" t="n">
        <v>0</v>
      </c>
      <c r="J19" t="n">
        <v>2</v>
      </c>
      <c r="K19" t="n">
        <v>0</v>
      </c>
      <c r="L19" t="n">
        <v>1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Ask
Svinrot
Ängsskära
Revlummer</t>
        </is>
      </c>
      <c r="S19">
        <f>HYPERLINK("https://klasma.github.io/Logging_NYKOPING/artfynd/A 25823-2020.xlsx", "A 25823-2020")</f>
        <v/>
      </c>
      <c r="T19">
        <f>HYPERLINK("https://klasma.github.io/Logging_NYKOPING/kartor/A 25823-2020.png", "A 25823-2020")</f>
        <v/>
      </c>
      <c r="V19">
        <f>HYPERLINK("https://klasma.github.io/Logging_NYKOPING/klagomål/A 25823-2020.docx", "A 25823-2020")</f>
        <v/>
      </c>
      <c r="W19">
        <f>HYPERLINK("https://klasma.github.io/Logging_NYKOPING/klagomålsmail/A 25823-2020.docx", "A 25823-2020")</f>
        <v/>
      </c>
      <c r="X19">
        <f>HYPERLINK("https://klasma.github.io/Logging_NYKOPING/tillsyn/A 25823-2020.docx", "A 25823-2020")</f>
        <v/>
      </c>
      <c r="Y19">
        <f>HYPERLINK("https://klasma.github.io/Logging_NYKOPING/tillsynsmail/A 25823-2020.docx", "A 25823-2020")</f>
        <v/>
      </c>
    </row>
    <row r="20" ht="15" customHeight="1">
      <c r="A20" t="inlineStr">
        <is>
          <t>A 25818-2020</t>
        </is>
      </c>
      <c r="B20" s="1" t="n">
        <v>43983</v>
      </c>
      <c r="C20" s="1" t="n">
        <v>45192</v>
      </c>
      <c r="D20" t="inlineStr">
        <is>
          <t>SÖDERMANLANDS LÄN</t>
        </is>
      </c>
      <c r="E20" t="inlineStr">
        <is>
          <t>NYKÖPING</t>
        </is>
      </c>
      <c r="F20" t="inlineStr">
        <is>
          <t>Kommuner</t>
        </is>
      </c>
      <c r="G20" t="n">
        <v>8.800000000000001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Bombmurkla
Skarp dropptaggsvamp
Stubbspretmossa
Ögonpyrola</t>
        </is>
      </c>
      <c r="S20">
        <f>HYPERLINK("https://klasma.github.io/Logging_NYKOPING/artfynd/A 25818-2020.xlsx", "A 25818-2020")</f>
        <v/>
      </c>
      <c r="T20">
        <f>HYPERLINK("https://klasma.github.io/Logging_NYKOPING/kartor/A 25818-2020.png", "A 25818-2020")</f>
        <v/>
      </c>
      <c r="V20">
        <f>HYPERLINK("https://klasma.github.io/Logging_NYKOPING/klagomål/A 25818-2020.docx", "A 25818-2020")</f>
        <v/>
      </c>
      <c r="W20">
        <f>HYPERLINK("https://klasma.github.io/Logging_NYKOPING/klagomålsmail/A 25818-2020.docx", "A 25818-2020")</f>
        <v/>
      </c>
      <c r="X20">
        <f>HYPERLINK("https://klasma.github.io/Logging_NYKOPING/tillsyn/A 25818-2020.docx", "A 25818-2020")</f>
        <v/>
      </c>
      <c r="Y20">
        <f>HYPERLINK("https://klasma.github.io/Logging_NYKOPING/tillsynsmail/A 25818-2020.docx", "A 25818-2020")</f>
        <v/>
      </c>
    </row>
    <row r="21" ht="15" customHeight="1">
      <c r="A21" t="inlineStr">
        <is>
          <t>A 38419-2021</t>
        </is>
      </c>
      <c r="B21" s="1" t="n">
        <v>44406</v>
      </c>
      <c r="C21" s="1" t="n">
        <v>45192</v>
      </c>
      <c r="D21" t="inlineStr">
        <is>
          <t>SÖDERMANLANDS LÄN</t>
        </is>
      </c>
      <c r="E21" t="inlineStr">
        <is>
          <t>NYKÖPING</t>
        </is>
      </c>
      <c r="F21" t="inlineStr">
        <is>
          <t>Övriga Aktiebolag</t>
        </is>
      </c>
      <c r="G21" t="n">
        <v>5.9</v>
      </c>
      <c r="H21" t="n">
        <v>2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Treuddsaftonfly
Blåmossa
Plattlummer
Revlummer</t>
        </is>
      </c>
      <c r="S21">
        <f>HYPERLINK("https://klasma.github.io/Logging_NYKOPING/artfynd/A 38419-2021.xlsx", "A 38419-2021")</f>
        <v/>
      </c>
      <c r="T21">
        <f>HYPERLINK("https://klasma.github.io/Logging_NYKOPING/kartor/A 38419-2021.png", "A 38419-2021")</f>
        <v/>
      </c>
      <c r="V21">
        <f>HYPERLINK("https://klasma.github.io/Logging_NYKOPING/klagomål/A 38419-2021.docx", "A 38419-2021")</f>
        <v/>
      </c>
      <c r="W21">
        <f>HYPERLINK("https://klasma.github.io/Logging_NYKOPING/klagomålsmail/A 38419-2021.docx", "A 38419-2021")</f>
        <v/>
      </c>
      <c r="X21">
        <f>HYPERLINK("https://klasma.github.io/Logging_NYKOPING/tillsyn/A 38419-2021.docx", "A 38419-2021")</f>
        <v/>
      </c>
      <c r="Y21">
        <f>HYPERLINK("https://klasma.github.io/Logging_NYKOPING/tillsynsmail/A 38419-2021.docx", "A 38419-2021")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45192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45192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45192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45192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45192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45192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45192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45192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45192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45192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45192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45192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45192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45192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45192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45192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45192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45192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26647-2021</t>
        </is>
      </c>
      <c r="B40" s="1" t="n">
        <v>44348</v>
      </c>
      <c r="C40" s="1" t="n">
        <v>45192</v>
      </c>
      <c r="D40" t="inlineStr">
        <is>
          <t>SÖDERMANLANDS LÄN</t>
        </is>
      </c>
      <c r="E40" t="inlineStr">
        <is>
          <t>NYKÖPING</t>
        </is>
      </c>
      <c r="G40" t="n">
        <v>2.2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Hornuggla
Stenfalk</t>
        </is>
      </c>
      <c r="S40">
        <f>HYPERLINK("https://klasma.github.io/Logging_NYKOPING/artfynd/A 26647-2021.xlsx", "A 26647-2021")</f>
        <v/>
      </c>
      <c r="T40">
        <f>HYPERLINK("https://klasma.github.io/Logging_NYKOPING/kartor/A 26647-2021.png", "A 26647-2021")</f>
        <v/>
      </c>
      <c r="V40">
        <f>HYPERLINK("https://klasma.github.io/Logging_NYKOPING/klagomål/A 26647-2021.docx", "A 26647-2021")</f>
        <v/>
      </c>
      <c r="W40">
        <f>HYPERLINK("https://klasma.github.io/Logging_NYKOPING/klagomålsmail/A 26647-2021.docx", "A 26647-2021")</f>
        <v/>
      </c>
      <c r="X40">
        <f>HYPERLINK("https://klasma.github.io/Logging_NYKOPING/tillsyn/A 26647-2021.docx", "A 26647-2021")</f>
        <v/>
      </c>
      <c r="Y40">
        <f>HYPERLINK("https://klasma.github.io/Logging_NYKOPING/tillsynsmail/A 26647-2021.docx", "A 26647-2021")</f>
        <v/>
      </c>
    </row>
    <row r="41" ht="15" customHeight="1">
      <c r="A41" t="inlineStr">
        <is>
          <t>A 38418-2021</t>
        </is>
      </c>
      <c r="B41" s="1" t="n">
        <v>44406</v>
      </c>
      <c r="C41" s="1" t="n">
        <v>45192</v>
      </c>
      <c r="D41" t="inlineStr">
        <is>
          <t>SÖDERMANLANDS LÄN</t>
        </is>
      </c>
      <c r="E41" t="inlineStr">
        <is>
          <t>NYKÖPING</t>
        </is>
      </c>
      <c r="G41" t="n">
        <v>2.7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Tibast
Blåsippa</t>
        </is>
      </c>
      <c r="S41">
        <f>HYPERLINK("https://klasma.github.io/Logging_NYKOPING/artfynd/A 38418-2021.xlsx", "A 38418-2021")</f>
        <v/>
      </c>
      <c r="T41">
        <f>HYPERLINK("https://klasma.github.io/Logging_NYKOPING/kartor/A 38418-2021.png", "A 38418-2021")</f>
        <v/>
      </c>
      <c r="V41">
        <f>HYPERLINK("https://klasma.github.io/Logging_NYKOPING/klagomål/A 38418-2021.docx", "A 38418-2021")</f>
        <v/>
      </c>
      <c r="W41">
        <f>HYPERLINK("https://klasma.github.io/Logging_NYKOPING/klagomålsmail/A 38418-2021.docx", "A 38418-2021")</f>
        <v/>
      </c>
      <c r="X41">
        <f>HYPERLINK("https://klasma.github.io/Logging_NYKOPING/tillsyn/A 38418-2021.docx", "A 38418-2021")</f>
        <v/>
      </c>
      <c r="Y41">
        <f>HYPERLINK("https://klasma.github.io/Logging_NYKOPING/tillsynsmail/A 38418-2021.docx", "A 38418-2021")</f>
        <v/>
      </c>
    </row>
    <row r="42" ht="15" customHeight="1">
      <c r="A42" t="inlineStr">
        <is>
          <t>A 51697-2021</t>
        </is>
      </c>
      <c r="B42" s="1" t="n">
        <v>44462</v>
      </c>
      <c r="C42" s="1" t="n">
        <v>45192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2.6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Mindre vattensalamander
Fläcknycklar</t>
        </is>
      </c>
      <c r="S42">
        <f>HYPERLINK("https://klasma.github.io/Logging_NYKOPING/artfynd/A 51697-2021.xlsx", "A 51697-2021")</f>
        <v/>
      </c>
      <c r="T42">
        <f>HYPERLINK("https://klasma.github.io/Logging_NYKOPING/kartor/A 51697-2021.png", "A 51697-2021")</f>
        <v/>
      </c>
      <c r="V42">
        <f>HYPERLINK("https://klasma.github.io/Logging_NYKOPING/klagomål/A 51697-2021.docx", "A 51697-2021")</f>
        <v/>
      </c>
      <c r="W42">
        <f>HYPERLINK("https://klasma.github.io/Logging_NYKOPING/klagomålsmail/A 51697-2021.docx", "A 51697-2021")</f>
        <v/>
      </c>
      <c r="X42">
        <f>HYPERLINK("https://klasma.github.io/Logging_NYKOPING/tillsyn/A 51697-2021.docx", "A 51697-2021")</f>
        <v/>
      </c>
      <c r="Y42">
        <f>HYPERLINK("https://klasma.github.io/Logging_NYKOPING/tillsynsmail/A 51697-2021.docx", "A 51697-2021")</f>
        <v/>
      </c>
    </row>
    <row r="43" ht="15" customHeight="1">
      <c r="A43" t="inlineStr">
        <is>
          <t>A 51705-2021</t>
        </is>
      </c>
      <c r="B43" s="1" t="n">
        <v>44462</v>
      </c>
      <c r="C43" s="1" t="n">
        <v>45192</v>
      </c>
      <c r="D43" t="inlineStr">
        <is>
          <t>SÖDERMANLANDS LÄN</t>
        </is>
      </c>
      <c r="E43" t="inlineStr">
        <is>
          <t>NYKÖPING</t>
        </is>
      </c>
      <c r="F43" t="inlineStr">
        <is>
          <t>Sveaskog</t>
        </is>
      </c>
      <c r="G43" t="n">
        <v>10.7</v>
      </c>
      <c r="H43" t="n">
        <v>2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Fläcknycklar
Blåsippa</t>
        </is>
      </c>
      <c r="S43">
        <f>HYPERLINK("https://klasma.github.io/Logging_NYKOPING/artfynd/A 51705-2021.xlsx", "A 51705-2021")</f>
        <v/>
      </c>
      <c r="T43">
        <f>HYPERLINK("https://klasma.github.io/Logging_NYKOPING/kartor/A 51705-2021.png", "A 51705-2021")</f>
        <v/>
      </c>
      <c r="V43">
        <f>HYPERLINK("https://klasma.github.io/Logging_NYKOPING/klagomål/A 51705-2021.docx", "A 51705-2021")</f>
        <v/>
      </c>
      <c r="W43">
        <f>HYPERLINK("https://klasma.github.io/Logging_NYKOPING/klagomålsmail/A 51705-2021.docx", "A 51705-2021")</f>
        <v/>
      </c>
      <c r="X43">
        <f>HYPERLINK("https://klasma.github.io/Logging_NYKOPING/tillsyn/A 51705-2021.docx", "A 51705-2021")</f>
        <v/>
      </c>
      <c r="Y43">
        <f>HYPERLINK("https://klasma.github.io/Logging_NYKOPING/tillsynsmail/A 51705-2021.docx", "A 51705-2021")</f>
        <v/>
      </c>
    </row>
    <row r="44" ht="15" customHeight="1">
      <c r="A44" t="inlineStr">
        <is>
          <t>A 54930-2021</t>
        </is>
      </c>
      <c r="B44" s="1" t="n">
        <v>44474</v>
      </c>
      <c r="C44" s="1" t="n">
        <v>45192</v>
      </c>
      <c r="D44" t="inlineStr">
        <is>
          <t>SÖDERMANLANDS LÄN</t>
        </is>
      </c>
      <c r="E44" t="inlineStr">
        <is>
          <t>NYKÖPING</t>
        </is>
      </c>
      <c r="G44" t="n">
        <v>3.4</v>
      </c>
      <c r="H44" t="n">
        <v>2</v>
      </c>
      <c r="I44" t="n">
        <v>0</v>
      </c>
      <c r="J44" t="n">
        <v>0</v>
      </c>
      <c r="K44" t="n">
        <v>2</v>
      </c>
      <c r="L44" t="n">
        <v>0</v>
      </c>
      <c r="M44" t="n">
        <v>0</v>
      </c>
      <c r="N44" t="n">
        <v>0</v>
      </c>
      <c r="O44" t="n">
        <v>2</v>
      </c>
      <c r="P44" t="n">
        <v>2</v>
      </c>
      <c r="Q44" t="n">
        <v>2</v>
      </c>
      <c r="R44" s="2" t="inlineStr">
        <is>
          <t>Bombmurkla
Knärot</t>
        </is>
      </c>
      <c r="S44">
        <f>HYPERLINK("https://klasma.github.io/Logging_NYKOPING/artfynd/A 54930-2021.xlsx", "A 54930-2021")</f>
        <v/>
      </c>
      <c r="T44">
        <f>HYPERLINK("https://klasma.github.io/Logging_NYKOPING/kartor/A 54930-2021.png", "A 54930-2021")</f>
        <v/>
      </c>
      <c r="U44">
        <f>HYPERLINK("https://klasma.github.io/Logging_NYKOPING/knärot/A 54930-2021.png", "A 54930-2021")</f>
        <v/>
      </c>
      <c r="V44">
        <f>HYPERLINK("https://klasma.github.io/Logging_NYKOPING/klagomål/A 54930-2021.docx", "A 54930-2021")</f>
        <v/>
      </c>
      <c r="W44">
        <f>HYPERLINK("https://klasma.github.io/Logging_NYKOPING/klagomålsmail/A 54930-2021.docx", "A 54930-2021")</f>
        <v/>
      </c>
      <c r="X44">
        <f>HYPERLINK("https://klasma.github.io/Logging_NYKOPING/tillsyn/A 54930-2021.docx", "A 54930-2021")</f>
        <v/>
      </c>
      <c r="Y44">
        <f>HYPERLINK("https://klasma.github.io/Logging_NYKOPING/tillsynsmail/A 54930-2021.docx", "A 54930-2021")</f>
        <v/>
      </c>
    </row>
    <row r="45" ht="15" customHeight="1">
      <c r="A45" t="inlineStr">
        <is>
          <t>A 12369-2022</t>
        </is>
      </c>
      <c r="B45" s="1" t="n">
        <v>44637</v>
      </c>
      <c r="C45" s="1" t="n">
        <v>45192</v>
      </c>
      <c r="D45" t="inlineStr">
        <is>
          <t>SÖDERMANLANDS LÄN</t>
        </is>
      </c>
      <c r="E45" t="inlineStr">
        <is>
          <t>NYKÖPING</t>
        </is>
      </c>
      <c r="G45" t="n">
        <v>1.1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Tallticka
Granbarkgnagare</t>
        </is>
      </c>
      <c r="S45">
        <f>HYPERLINK("https://klasma.github.io/Logging_NYKOPING/artfynd/A 12369-2022.xlsx", "A 12369-2022")</f>
        <v/>
      </c>
      <c r="T45">
        <f>HYPERLINK("https://klasma.github.io/Logging_NYKOPING/kartor/A 12369-2022.png", "A 12369-2022")</f>
        <v/>
      </c>
      <c r="V45">
        <f>HYPERLINK("https://klasma.github.io/Logging_NYKOPING/klagomål/A 12369-2022.docx", "A 12369-2022")</f>
        <v/>
      </c>
      <c r="W45">
        <f>HYPERLINK("https://klasma.github.io/Logging_NYKOPING/klagomålsmail/A 12369-2022.docx", "A 12369-2022")</f>
        <v/>
      </c>
      <c r="X45">
        <f>HYPERLINK("https://klasma.github.io/Logging_NYKOPING/tillsyn/A 12369-2022.docx", "A 12369-2022")</f>
        <v/>
      </c>
      <c r="Y45">
        <f>HYPERLINK("https://klasma.github.io/Logging_NYKOPING/tillsynsmail/A 12369-2022.docx", "A 12369-2022")</f>
        <v/>
      </c>
    </row>
    <row r="46" ht="15" customHeight="1">
      <c r="A46" t="inlineStr">
        <is>
          <t>A 34310-2022</t>
        </is>
      </c>
      <c r="B46" s="1" t="n">
        <v>44792</v>
      </c>
      <c r="C46" s="1" t="n">
        <v>45192</v>
      </c>
      <c r="D46" t="inlineStr">
        <is>
          <t>SÖDERMANLANDS LÄN</t>
        </is>
      </c>
      <c r="E46" t="inlineStr">
        <is>
          <t>NYKÖPING</t>
        </is>
      </c>
      <c r="G46" t="n">
        <v>1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Bombmurkla
Grönpyrola</t>
        </is>
      </c>
      <c r="S46">
        <f>HYPERLINK("https://klasma.github.io/Logging_NYKOPING/artfynd/A 34310-2022.xlsx", "A 34310-2022")</f>
        <v/>
      </c>
      <c r="T46">
        <f>HYPERLINK("https://klasma.github.io/Logging_NYKOPING/kartor/A 34310-2022.png", "A 34310-2022")</f>
        <v/>
      </c>
      <c r="V46">
        <f>HYPERLINK("https://klasma.github.io/Logging_NYKOPING/klagomål/A 34310-2022.docx", "A 34310-2022")</f>
        <v/>
      </c>
      <c r="W46">
        <f>HYPERLINK("https://klasma.github.io/Logging_NYKOPING/klagomålsmail/A 34310-2022.docx", "A 34310-2022")</f>
        <v/>
      </c>
      <c r="X46">
        <f>HYPERLINK("https://klasma.github.io/Logging_NYKOPING/tillsyn/A 34310-2022.docx", "A 34310-2022")</f>
        <v/>
      </c>
      <c r="Y46">
        <f>HYPERLINK("https://klasma.github.io/Logging_NYKOPING/tillsynsmail/A 34310-2022.docx", "A 34310-2022")</f>
        <v/>
      </c>
    </row>
    <row r="47" ht="15" customHeight="1">
      <c r="A47" t="inlineStr">
        <is>
          <t>A 38203-2022</t>
        </is>
      </c>
      <c r="B47" s="1" t="n">
        <v>44812</v>
      </c>
      <c r="C47" s="1" t="n">
        <v>45192</v>
      </c>
      <c r="D47" t="inlineStr">
        <is>
          <t>SÖDERMANLANDS LÄN</t>
        </is>
      </c>
      <c r="E47" t="inlineStr">
        <is>
          <t>NYKÖPING</t>
        </is>
      </c>
      <c r="G47" t="n">
        <v>1.9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Kösa
Linmåra/småsnärjmåra</t>
        </is>
      </c>
      <c r="S47">
        <f>HYPERLINK("https://klasma.github.io/Logging_NYKOPING/artfynd/A 38203-2022.xlsx", "A 38203-2022")</f>
        <v/>
      </c>
      <c r="T47">
        <f>HYPERLINK("https://klasma.github.io/Logging_NYKOPING/kartor/A 38203-2022.png", "A 38203-2022")</f>
        <v/>
      </c>
      <c r="V47">
        <f>HYPERLINK("https://klasma.github.io/Logging_NYKOPING/klagomål/A 38203-2022.docx", "A 38203-2022")</f>
        <v/>
      </c>
      <c r="W47">
        <f>HYPERLINK("https://klasma.github.io/Logging_NYKOPING/klagomålsmail/A 38203-2022.docx", "A 38203-2022")</f>
        <v/>
      </c>
      <c r="X47">
        <f>HYPERLINK("https://klasma.github.io/Logging_NYKOPING/tillsyn/A 38203-2022.docx", "A 38203-2022")</f>
        <v/>
      </c>
      <c r="Y47">
        <f>HYPERLINK("https://klasma.github.io/Logging_NYKOPING/tillsynsmail/A 38203-2022.docx", "A 38203-2022")</f>
        <v/>
      </c>
    </row>
    <row r="48" ht="15" customHeight="1">
      <c r="A48" t="inlineStr">
        <is>
          <t>A 52792-2022</t>
        </is>
      </c>
      <c r="B48" s="1" t="n">
        <v>44875</v>
      </c>
      <c r="C48" s="1" t="n">
        <v>45192</v>
      </c>
      <c r="D48" t="inlineStr">
        <is>
          <t>SÖDERMANLANDS LÄN</t>
        </is>
      </c>
      <c r="E48" t="inlineStr">
        <is>
          <t>NYKÖPING</t>
        </is>
      </c>
      <c r="F48" t="inlineStr">
        <is>
          <t>Sveaskog</t>
        </is>
      </c>
      <c r="G48" t="n">
        <v>17.5</v>
      </c>
      <c r="H48" t="n">
        <v>2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Ärtsångare
Fläcknycklar</t>
        </is>
      </c>
      <c r="S48">
        <f>HYPERLINK("https://klasma.github.io/Logging_NYKOPING/artfynd/A 52792-2022.xlsx", "A 52792-2022")</f>
        <v/>
      </c>
      <c r="T48">
        <f>HYPERLINK("https://klasma.github.io/Logging_NYKOPING/kartor/A 52792-2022.png", "A 52792-2022")</f>
        <v/>
      </c>
      <c r="V48">
        <f>HYPERLINK("https://klasma.github.io/Logging_NYKOPING/klagomål/A 52792-2022.docx", "A 52792-2022")</f>
        <v/>
      </c>
      <c r="W48">
        <f>HYPERLINK("https://klasma.github.io/Logging_NYKOPING/klagomålsmail/A 52792-2022.docx", "A 52792-2022")</f>
        <v/>
      </c>
      <c r="X48">
        <f>HYPERLINK("https://klasma.github.io/Logging_NYKOPING/tillsyn/A 52792-2022.docx", "A 52792-2022")</f>
        <v/>
      </c>
      <c r="Y48">
        <f>HYPERLINK("https://klasma.github.io/Logging_NYKOPING/tillsynsmail/A 52792-2022.docx", "A 52792-2022")</f>
        <v/>
      </c>
    </row>
    <row r="49" ht="15" customHeight="1">
      <c r="A49" t="inlineStr">
        <is>
          <t>A 853-2023</t>
        </is>
      </c>
      <c r="B49" s="1" t="n">
        <v>44931</v>
      </c>
      <c r="C49" s="1" t="n">
        <v>45192</v>
      </c>
      <c r="D49" t="inlineStr">
        <is>
          <t>SÖDERMANLANDS LÄN</t>
        </is>
      </c>
      <c r="E49" t="inlineStr">
        <is>
          <t>NYKÖPING</t>
        </is>
      </c>
      <c r="G49" t="n">
        <v>10.9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Granticka
Revlummer</t>
        </is>
      </c>
      <c r="S49">
        <f>HYPERLINK("https://klasma.github.io/Logging_NYKOPING/artfynd/A 853-2023.xlsx", "A 853-2023")</f>
        <v/>
      </c>
      <c r="T49">
        <f>HYPERLINK("https://klasma.github.io/Logging_NYKOPING/kartor/A 853-2023.png", "A 853-2023")</f>
        <v/>
      </c>
      <c r="V49">
        <f>HYPERLINK("https://klasma.github.io/Logging_NYKOPING/klagomål/A 853-2023.docx", "A 853-2023")</f>
        <v/>
      </c>
      <c r="W49">
        <f>HYPERLINK("https://klasma.github.io/Logging_NYKOPING/klagomålsmail/A 853-2023.docx", "A 853-2023")</f>
        <v/>
      </c>
      <c r="X49">
        <f>HYPERLINK("https://klasma.github.io/Logging_NYKOPING/tillsyn/A 853-2023.docx", "A 853-2023")</f>
        <v/>
      </c>
      <c r="Y49">
        <f>HYPERLINK("https://klasma.github.io/Logging_NYKOPING/tillsynsmail/A 853-2023.docx", "A 853-2023")</f>
        <v/>
      </c>
    </row>
    <row r="50" ht="15" customHeight="1">
      <c r="A50" t="inlineStr">
        <is>
          <t>A 3070-2023</t>
        </is>
      </c>
      <c r="B50" s="1" t="n">
        <v>44946</v>
      </c>
      <c r="C50" s="1" t="n">
        <v>45192</v>
      </c>
      <c r="D50" t="inlineStr">
        <is>
          <t>SÖDERMANLANDS LÄN</t>
        </is>
      </c>
      <c r="E50" t="inlineStr">
        <is>
          <t>NYKÖPING</t>
        </is>
      </c>
      <c r="G50" t="n">
        <v>8.5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Talltita
Kambräken</t>
        </is>
      </c>
      <c r="S50">
        <f>HYPERLINK("https://klasma.github.io/Logging_NYKOPING/artfynd/A 3070-2023.xlsx", "A 3070-2023")</f>
        <v/>
      </c>
      <c r="T50">
        <f>HYPERLINK("https://klasma.github.io/Logging_NYKOPING/kartor/A 3070-2023.png", "A 3070-2023")</f>
        <v/>
      </c>
      <c r="V50">
        <f>HYPERLINK("https://klasma.github.io/Logging_NYKOPING/klagomål/A 3070-2023.docx", "A 3070-2023")</f>
        <v/>
      </c>
      <c r="W50">
        <f>HYPERLINK("https://klasma.github.io/Logging_NYKOPING/klagomålsmail/A 3070-2023.docx", "A 3070-2023")</f>
        <v/>
      </c>
      <c r="X50">
        <f>HYPERLINK("https://klasma.github.io/Logging_NYKOPING/tillsyn/A 3070-2023.docx", "A 3070-2023")</f>
        <v/>
      </c>
      <c r="Y50">
        <f>HYPERLINK("https://klasma.github.io/Logging_NYKOPING/tillsynsmail/A 3070-2023.docx", "A 3070-2023")</f>
        <v/>
      </c>
    </row>
    <row r="51" ht="15" customHeight="1">
      <c r="A51" t="inlineStr">
        <is>
          <t>A 48223-2018</t>
        </is>
      </c>
      <c r="B51" s="1" t="n">
        <v>43371</v>
      </c>
      <c r="C51" s="1" t="n">
        <v>45192</v>
      </c>
      <c r="D51" t="inlineStr">
        <is>
          <t>SÖDERMANLANDS LÄN</t>
        </is>
      </c>
      <c r="E51" t="inlineStr">
        <is>
          <t>NYKÖPING</t>
        </is>
      </c>
      <c r="G51" t="n">
        <v>13.4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Barkticka</t>
        </is>
      </c>
      <c r="S51">
        <f>HYPERLINK("https://klasma.github.io/Logging_NYKOPING/artfynd/A 48223-2018.xlsx", "A 48223-2018")</f>
        <v/>
      </c>
      <c r="T51">
        <f>HYPERLINK("https://klasma.github.io/Logging_NYKOPING/kartor/A 48223-2018.png", "A 48223-2018")</f>
        <v/>
      </c>
      <c r="V51">
        <f>HYPERLINK("https://klasma.github.io/Logging_NYKOPING/klagomål/A 48223-2018.docx", "A 48223-2018")</f>
        <v/>
      </c>
      <c r="W51">
        <f>HYPERLINK("https://klasma.github.io/Logging_NYKOPING/klagomålsmail/A 48223-2018.docx", "A 48223-2018")</f>
        <v/>
      </c>
      <c r="X51">
        <f>HYPERLINK("https://klasma.github.io/Logging_NYKOPING/tillsyn/A 48223-2018.docx", "A 48223-2018")</f>
        <v/>
      </c>
      <c r="Y51">
        <f>HYPERLINK("https://klasma.github.io/Logging_NYKOPING/tillsynsmail/A 48223-2018.docx", "A 48223-2018")</f>
        <v/>
      </c>
    </row>
    <row r="52" ht="15" customHeight="1">
      <c r="A52" t="inlineStr">
        <is>
          <t>A 58767-2018</t>
        </is>
      </c>
      <c r="B52" s="1" t="n">
        <v>43399</v>
      </c>
      <c r="C52" s="1" t="n">
        <v>45192</v>
      </c>
      <c r="D52" t="inlineStr">
        <is>
          <t>SÖDERMANLANDS LÄN</t>
        </is>
      </c>
      <c r="E52" t="inlineStr">
        <is>
          <t>NYKÖPING</t>
        </is>
      </c>
      <c r="G52" t="n">
        <v>5.4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groda</t>
        </is>
      </c>
      <c r="S52">
        <f>HYPERLINK("https://klasma.github.io/Logging_NYKOPING/artfynd/A 58767-2018.xlsx", "A 58767-2018")</f>
        <v/>
      </c>
      <c r="T52">
        <f>HYPERLINK("https://klasma.github.io/Logging_NYKOPING/kartor/A 58767-2018.png", "A 58767-2018")</f>
        <v/>
      </c>
      <c r="V52">
        <f>HYPERLINK("https://klasma.github.io/Logging_NYKOPING/klagomål/A 58767-2018.docx", "A 58767-2018")</f>
        <v/>
      </c>
      <c r="W52">
        <f>HYPERLINK("https://klasma.github.io/Logging_NYKOPING/klagomålsmail/A 58767-2018.docx", "A 58767-2018")</f>
        <v/>
      </c>
      <c r="X52">
        <f>HYPERLINK("https://klasma.github.io/Logging_NYKOPING/tillsyn/A 58767-2018.docx", "A 58767-2018")</f>
        <v/>
      </c>
      <c r="Y52">
        <f>HYPERLINK("https://klasma.github.io/Logging_NYKOPING/tillsynsmail/A 58767-2018.docx", "A 58767-2018")</f>
        <v/>
      </c>
    </row>
    <row r="53" ht="15" customHeight="1">
      <c r="A53" t="inlineStr">
        <is>
          <t>A 67790-2018</t>
        </is>
      </c>
      <c r="B53" s="1" t="n">
        <v>43440</v>
      </c>
      <c r="C53" s="1" t="n">
        <v>45192</v>
      </c>
      <c r="D53" t="inlineStr">
        <is>
          <t>SÖDERMANLANDS LÄN</t>
        </is>
      </c>
      <c r="E53" t="inlineStr">
        <is>
          <t>NYKÖPING</t>
        </is>
      </c>
      <c r="G53" t="n">
        <v>6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HYPERLINK("https://klasma.github.io/Logging_NYKOPING/artfynd/A 67790-2018.xlsx", "A 67790-2018")</f>
        <v/>
      </c>
      <c r="T53">
        <f>HYPERLINK("https://klasma.github.io/Logging_NYKOPING/kartor/A 67790-2018.png", "A 67790-2018")</f>
        <v/>
      </c>
      <c r="V53">
        <f>HYPERLINK("https://klasma.github.io/Logging_NYKOPING/klagomål/A 67790-2018.docx", "A 67790-2018")</f>
        <v/>
      </c>
      <c r="W53">
        <f>HYPERLINK("https://klasma.github.io/Logging_NYKOPING/klagomålsmail/A 67790-2018.docx", "A 67790-2018")</f>
        <v/>
      </c>
      <c r="X53">
        <f>HYPERLINK("https://klasma.github.io/Logging_NYKOPING/tillsyn/A 67790-2018.docx", "A 67790-2018")</f>
        <v/>
      </c>
      <c r="Y53">
        <f>HYPERLINK("https://klasma.github.io/Logging_NYKOPING/tillsynsmail/A 67790-2018.docx", "A 67790-2018")</f>
        <v/>
      </c>
    </row>
    <row r="54" ht="15" customHeight="1">
      <c r="A54" t="inlineStr">
        <is>
          <t>A 68180-2018</t>
        </is>
      </c>
      <c r="B54" s="1" t="n">
        <v>43441</v>
      </c>
      <c r="C54" s="1" t="n">
        <v>45192</v>
      </c>
      <c r="D54" t="inlineStr">
        <is>
          <t>SÖDERMANLANDS LÄN</t>
        </is>
      </c>
      <c r="E54" t="inlineStr">
        <is>
          <t>NYKÖPING</t>
        </is>
      </c>
      <c r="G54" t="n">
        <v>12.8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Majviva</t>
        </is>
      </c>
      <c r="S54">
        <f>HYPERLINK("https://klasma.github.io/Logging_NYKOPING/artfynd/A 68180-2018.xlsx", "A 68180-2018")</f>
        <v/>
      </c>
      <c r="T54">
        <f>HYPERLINK("https://klasma.github.io/Logging_NYKOPING/kartor/A 68180-2018.png", "A 68180-2018")</f>
        <v/>
      </c>
      <c r="V54">
        <f>HYPERLINK("https://klasma.github.io/Logging_NYKOPING/klagomål/A 68180-2018.docx", "A 68180-2018")</f>
        <v/>
      </c>
      <c r="W54">
        <f>HYPERLINK("https://klasma.github.io/Logging_NYKOPING/klagomålsmail/A 68180-2018.docx", "A 68180-2018")</f>
        <v/>
      </c>
      <c r="X54">
        <f>HYPERLINK("https://klasma.github.io/Logging_NYKOPING/tillsyn/A 68180-2018.docx", "A 68180-2018")</f>
        <v/>
      </c>
      <c r="Y54">
        <f>HYPERLINK("https://klasma.github.io/Logging_NYKOPING/tillsynsmail/A 68180-2018.docx", "A 68180-2018")</f>
        <v/>
      </c>
    </row>
    <row r="55" ht="15" customHeight="1">
      <c r="A55" t="inlineStr">
        <is>
          <t>A 9659-2019</t>
        </is>
      </c>
      <c r="B55" s="1" t="n">
        <v>43508</v>
      </c>
      <c r="C55" s="1" t="n">
        <v>45192</v>
      </c>
      <c r="D55" t="inlineStr">
        <is>
          <t>SÖDERMANLANDS LÄN</t>
        </is>
      </c>
      <c r="E55" t="inlineStr">
        <is>
          <t>NYKÖPING</t>
        </is>
      </c>
      <c r="F55" t="inlineStr">
        <is>
          <t>Holmen skog AB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HYPERLINK("https://klasma.github.io/Logging_NYKOPING/artfynd/A 9659-2019.xlsx", "A 9659-2019")</f>
        <v/>
      </c>
      <c r="T55">
        <f>HYPERLINK("https://klasma.github.io/Logging_NYKOPING/kartor/A 9659-2019.png", "A 9659-2019")</f>
        <v/>
      </c>
      <c r="V55">
        <f>HYPERLINK("https://klasma.github.io/Logging_NYKOPING/klagomål/A 9659-2019.docx", "A 9659-2019")</f>
        <v/>
      </c>
      <c r="W55">
        <f>HYPERLINK("https://klasma.github.io/Logging_NYKOPING/klagomålsmail/A 9659-2019.docx", "A 9659-2019")</f>
        <v/>
      </c>
      <c r="X55">
        <f>HYPERLINK("https://klasma.github.io/Logging_NYKOPING/tillsyn/A 9659-2019.docx", "A 9659-2019")</f>
        <v/>
      </c>
      <c r="Y55">
        <f>HYPERLINK("https://klasma.github.io/Logging_NYKOPING/tillsynsmail/A 9659-2019.docx", "A 9659-2019")</f>
        <v/>
      </c>
    </row>
    <row r="56" ht="15" customHeight="1">
      <c r="A56" t="inlineStr">
        <is>
          <t>A 13821-2019</t>
        </is>
      </c>
      <c r="B56" s="1" t="n">
        <v>43531</v>
      </c>
      <c r="C56" s="1" t="n">
        <v>45192</v>
      </c>
      <c r="D56" t="inlineStr">
        <is>
          <t>SÖDERMANLANDS LÄN</t>
        </is>
      </c>
      <c r="E56" t="inlineStr">
        <is>
          <t>NYKÖPING</t>
        </is>
      </c>
      <c r="G56" t="n">
        <v>0.8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Rödvingetrast</t>
        </is>
      </c>
      <c r="S56">
        <f>HYPERLINK("https://klasma.github.io/Logging_NYKOPING/artfynd/A 13821-2019.xlsx", "A 13821-2019")</f>
        <v/>
      </c>
      <c r="T56">
        <f>HYPERLINK("https://klasma.github.io/Logging_NYKOPING/kartor/A 13821-2019.png", "A 13821-2019")</f>
        <v/>
      </c>
      <c r="V56">
        <f>HYPERLINK("https://klasma.github.io/Logging_NYKOPING/klagomål/A 13821-2019.docx", "A 13821-2019")</f>
        <v/>
      </c>
      <c r="W56">
        <f>HYPERLINK("https://klasma.github.io/Logging_NYKOPING/klagomålsmail/A 13821-2019.docx", "A 13821-2019")</f>
        <v/>
      </c>
      <c r="X56">
        <f>HYPERLINK("https://klasma.github.io/Logging_NYKOPING/tillsyn/A 13821-2019.docx", "A 13821-2019")</f>
        <v/>
      </c>
      <c r="Y56">
        <f>HYPERLINK("https://klasma.github.io/Logging_NYKOPING/tillsynsmail/A 13821-2019.docx", "A 13821-2019")</f>
        <v/>
      </c>
    </row>
    <row r="57" ht="15" customHeight="1">
      <c r="A57" t="inlineStr">
        <is>
          <t>A 23556-2019</t>
        </is>
      </c>
      <c r="B57" s="1" t="n">
        <v>43594</v>
      </c>
      <c r="C57" s="1" t="n">
        <v>45192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Talltita</t>
        </is>
      </c>
      <c r="S57">
        <f>HYPERLINK("https://klasma.github.io/Logging_NYKOPING/artfynd/A 23556-2019.xlsx", "A 23556-2019")</f>
        <v/>
      </c>
      <c r="T57">
        <f>HYPERLINK("https://klasma.github.io/Logging_NYKOPING/kartor/A 23556-2019.png", "A 23556-2019")</f>
        <v/>
      </c>
      <c r="V57">
        <f>HYPERLINK("https://klasma.github.io/Logging_NYKOPING/klagomål/A 23556-2019.docx", "A 23556-2019")</f>
        <v/>
      </c>
      <c r="W57">
        <f>HYPERLINK("https://klasma.github.io/Logging_NYKOPING/klagomålsmail/A 23556-2019.docx", "A 23556-2019")</f>
        <v/>
      </c>
      <c r="X57">
        <f>HYPERLINK("https://klasma.github.io/Logging_NYKOPING/tillsyn/A 23556-2019.docx", "A 23556-2019")</f>
        <v/>
      </c>
      <c r="Y57">
        <f>HYPERLINK("https://klasma.github.io/Logging_NYKOPING/tillsynsmail/A 23556-2019.docx", "A 23556-2019")</f>
        <v/>
      </c>
    </row>
    <row r="58" ht="15" customHeight="1">
      <c r="A58" t="inlineStr">
        <is>
          <t>A 28647-2019</t>
        </is>
      </c>
      <c r="B58" s="1" t="n">
        <v>43614</v>
      </c>
      <c r="C58" s="1" t="n">
        <v>45192</v>
      </c>
      <c r="D58" t="inlineStr">
        <is>
          <t>SÖDERMANLANDS LÄN</t>
        </is>
      </c>
      <c r="E58" t="inlineStr">
        <is>
          <t>NYKÖPING</t>
        </is>
      </c>
      <c r="G58" t="n">
        <v>20.9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Spindelblomster</t>
        </is>
      </c>
      <c r="S58">
        <f>HYPERLINK("https://klasma.github.io/Logging_NYKOPING/artfynd/A 28647-2019.xlsx", "A 28647-2019")</f>
        <v/>
      </c>
      <c r="T58">
        <f>HYPERLINK("https://klasma.github.io/Logging_NYKOPING/kartor/A 28647-2019.png", "A 28647-2019")</f>
        <v/>
      </c>
      <c r="V58">
        <f>HYPERLINK("https://klasma.github.io/Logging_NYKOPING/klagomål/A 28647-2019.docx", "A 28647-2019")</f>
        <v/>
      </c>
      <c r="W58">
        <f>HYPERLINK("https://klasma.github.io/Logging_NYKOPING/klagomålsmail/A 28647-2019.docx", "A 28647-2019")</f>
        <v/>
      </c>
      <c r="X58">
        <f>HYPERLINK("https://klasma.github.io/Logging_NYKOPING/tillsyn/A 28647-2019.docx", "A 28647-2019")</f>
        <v/>
      </c>
      <c r="Y58">
        <f>HYPERLINK("https://klasma.github.io/Logging_NYKOPING/tillsynsmail/A 28647-2019.docx", "A 28647-2019")</f>
        <v/>
      </c>
    </row>
    <row r="59" ht="15" customHeight="1">
      <c r="A59" t="inlineStr">
        <is>
          <t>A 28403-2019</t>
        </is>
      </c>
      <c r="B59" s="1" t="n">
        <v>43626</v>
      </c>
      <c r="C59" s="1" t="n">
        <v>45192</v>
      </c>
      <c r="D59" t="inlineStr">
        <is>
          <t>SÖDERMANLANDS LÄN</t>
        </is>
      </c>
      <c r="E59" t="inlineStr">
        <is>
          <t>NYKÖPING</t>
        </is>
      </c>
      <c r="F59" t="inlineStr">
        <is>
          <t>Sveaskog</t>
        </is>
      </c>
      <c r="G59" t="n">
        <v>2.5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HYPERLINK("https://klasma.github.io/Logging_NYKOPING/artfynd/A 28403-2019.xlsx", "A 28403-2019")</f>
        <v/>
      </c>
      <c r="T59">
        <f>HYPERLINK("https://klasma.github.io/Logging_NYKOPING/kartor/A 28403-2019.png", "A 28403-2019")</f>
        <v/>
      </c>
      <c r="V59">
        <f>HYPERLINK("https://klasma.github.io/Logging_NYKOPING/klagomål/A 28403-2019.docx", "A 28403-2019")</f>
        <v/>
      </c>
      <c r="W59">
        <f>HYPERLINK("https://klasma.github.io/Logging_NYKOPING/klagomålsmail/A 28403-2019.docx", "A 28403-2019")</f>
        <v/>
      </c>
      <c r="X59">
        <f>HYPERLINK("https://klasma.github.io/Logging_NYKOPING/tillsyn/A 28403-2019.docx", "A 28403-2019")</f>
        <v/>
      </c>
      <c r="Y59">
        <f>HYPERLINK("https://klasma.github.io/Logging_NYKOPING/tillsynsmail/A 28403-2019.docx", "A 28403-2019")</f>
        <v/>
      </c>
    </row>
    <row r="60" ht="15" customHeight="1">
      <c r="A60" t="inlineStr">
        <is>
          <t>A 30159-2019</t>
        </is>
      </c>
      <c r="B60" s="1" t="n">
        <v>43634</v>
      </c>
      <c r="C60" s="1" t="n">
        <v>45192</v>
      </c>
      <c r="D60" t="inlineStr">
        <is>
          <t>SÖDERMANLANDS LÄN</t>
        </is>
      </c>
      <c r="E60" t="inlineStr">
        <is>
          <t>NYKÖPING</t>
        </is>
      </c>
      <c r="G60" t="n">
        <v>1.5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HYPERLINK("https://klasma.github.io/Logging_NYKOPING/artfynd/A 30159-2019.xlsx", "A 30159-2019")</f>
        <v/>
      </c>
      <c r="T60">
        <f>HYPERLINK("https://klasma.github.io/Logging_NYKOPING/kartor/A 30159-2019.png", "A 30159-2019")</f>
        <v/>
      </c>
      <c r="V60">
        <f>HYPERLINK("https://klasma.github.io/Logging_NYKOPING/klagomål/A 30159-2019.docx", "A 30159-2019")</f>
        <v/>
      </c>
      <c r="W60">
        <f>HYPERLINK("https://klasma.github.io/Logging_NYKOPING/klagomålsmail/A 30159-2019.docx", "A 30159-2019")</f>
        <v/>
      </c>
      <c r="X60">
        <f>HYPERLINK("https://klasma.github.io/Logging_NYKOPING/tillsyn/A 30159-2019.docx", "A 30159-2019")</f>
        <v/>
      </c>
      <c r="Y60">
        <f>HYPERLINK("https://klasma.github.io/Logging_NYKOPING/tillsynsmail/A 30159-2019.docx", "A 30159-2019")</f>
        <v/>
      </c>
    </row>
    <row r="61" ht="15" customHeight="1">
      <c r="A61" t="inlineStr">
        <is>
          <t>A 33322-2019</t>
        </is>
      </c>
      <c r="B61" s="1" t="n">
        <v>43650</v>
      </c>
      <c r="C61" s="1" t="n">
        <v>45192</v>
      </c>
      <c r="D61" t="inlineStr">
        <is>
          <t>SÖDERMANLANDS LÄN</t>
        </is>
      </c>
      <c r="E61" t="inlineStr">
        <is>
          <t>NYKÖPING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Kopparödla</t>
        </is>
      </c>
      <c r="S61">
        <f>HYPERLINK("https://klasma.github.io/Logging_NYKOPING/artfynd/A 33322-2019.xlsx", "A 33322-2019")</f>
        <v/>
      </c>
      <c r="T61">
        <f>HYPERLINK("https://klasma.github.io/Logging_NYKOPING/kartor/A 33322-2019.png", "A 33322-2019")</f>
        <v/>
      </c>
      <c r="V61">
        <f>HYPERLINK("https://klasma.github.io/Logging_NYKOPING/klagomål/A 33322-2019.docx", "A 33322-2019")</f>
        <v/>
      </c>
      <c r="W61">
        <f>HYPERLINK("https://klasma.github.io/Logging_NYKOPING/klagomålsmail/A 33322-2019.docx", "A 33322-2019")</f>
        <v/>
      </c>
      <c r="X61">
        <f>HYPERLINK("https://klasma.github.io/Logging_NYKOPING/tillsyn/A 33322-2019.docx", "A 33322-2019")</f>
        <v/>
      </c>
      <c r="Y61">
        <f>HYPERLINK("https://klasma.github.io/Logging_NYKOPING/tillsynsmail/A 33322-2019.docx", "A 33322-2019")</f>
        <v/>
      </c>
    </row>
    <row r="62" ht="15" customHeight="1">
      <c r="A62" t="inlineStr">
        <is>
          <t>A 35143-2019</t>
        </is>
      </c>
      <c r="B62" s="1" t="n">
        <v>43661</v>
      </c>
      <c r="C62" s="1" t="n">
        <v>45192</v>
      </c>
      <c r="D62" t="inlineStr">
        <is>
          <t>SÖDERMANLANDS LÄN</t>
        </is>
      </c>
      <c r="E62" t="inlineStr">
        <is>
          <t>NYKÖPING</t>
        </is>
      </c>
      <c r="F62" t="inlineStr">
        <is>
          <t>Övriga Aktiebolag</t>
        </is>
      </c>
      <c r="G62" t="n">
        <v>0.8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HYPERLINK("https://klasma.github.io/Logging_NYKOPING/artfynd/A 35143-2019.xlsx", "A 35143-2019")</f>
        <v/>
      </c>
      <c r="T62">
        <f>HYPERLINK("https://klasma.github.io/Logging_NYKOPING/kartor/A 35143-2019.png", "A 35143-2019")</f>
        <v/>
      </c>
      <c r="V62">
        <f>HYPERLINK("https://klasma.github.io/Logging_NYKOPING/klagomål/A 35143-2019.docx", "A 35143-2019")</f>
        <v/>
      </c>
      <c r="W62">
        <f>HYPERLINK("https://klasma.github.io/Logging_NYKOPING/klagomålsmail/A 35143-2019.docx", "A 35143-2019")</f>
        <v/>
      </c>
      <c r="X62">
        <f>HYPERLINK("https://klasma.github.io/Logging_NYKOPING/tillsyn/A 35143-2019.docx", "A 35143-2019")</f>
        <v/>
      </c>
      <c r="Y62">
        <f>HYPERLINK("https://klasma.github.io/Logging_NYKOPING/tillsynsmail/A 35143-2019.docx", "A 35143-2019")</f>
        <v/>
      </c>
    </row>
    <row r="63" ht="15" customHeight="1">
      <c r="A63" t="inlineStr">
        <is>
          <t>A 42633-2019</t>
        </is>
      </c>
      <c r="B63" s="1" t="n">
        <v>43704</v>
      </c>
      <c r="C63" s="1" t="n">
        <v>45192</v>
      </c>
      <c r="D63" t="inlineStr">
        <is>
          <t>SÖDERMANLANDS LÄN</t>
        </is>
      </c>
      <c r="E63" t="inlineStr">
        <is>
          <t>NYKÖPING</t>
        </is>
      </c>
      <c r="G63" t="n">
        <v>12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HYPERLINK("https://klasma.github.io/Logging_NYKOPING/artfynd/A 42633-2019.xlsx", "A 42633-2019")</f>
        <v/>
      </c>
      <c r="T63">
        <f>HYPERLINK("https://klasma.github.io/Logging_NYKOPING/kartor/A 42633-2019.png", "A 42633-2019")</f>
        <v/>
      </c>
      <c r="V63">
        <f>HYPERLINK("https://klasma.github.io/Logging_NYKOPING/klagomål/A 42633-2019.docx", "A 42633-2019")</f>
        <v/>
      </c>
      <c r="W63">
        <f>HYPERLINK("https://klasma.github.io/Logging_NYKOPING/klagomålsmail/A 42633-2019.docx", "A 42633-2019")</f>
        <v/>
      </c>
      <c r="X63">
        <f>HYPERLINK("https://klasma.github.io/Logging_NYKOPING/tillsyn/A 42633-2019.docx", "A 42633-2019")</f>
        <v/>
      </c>
      <c r="Y63">
        <f>HYPERLINK("https://klasma.github.io/Logging_NYKOPING/tillsynsmail/A 42633-2019.docx", "A 42633-2019")</f>
        <v/>
      </c>
    </row>
    <row r="64" ht="15" customHeight="1">
      <c r="A64" t="inlineStr">
        <is>
          <t>A 54163-2019</t>
        </is>
      </c>
      <c r="B64" s="1" t="n">
        <v>43745</v>
      </c>
      <c r="C64" s="1" t="n">
        <v>45192</v>
      </c>
      <c r="D64" t="inlineStr">
        <is>
          <t>SÖDERMANLANDS LÄN</t>
        </is>
      </c>
      <c r="E64" t="inlineStr">
        <is>
          <t>NYKÖPING</t>
        </is>
      </c>
      <c r="G64" t="n">
        <v>1.9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Havsörn</t>
        </is>
      </c>
      <c r="S64">
        <f>HYPERLINK("https://klasma.github.io/Logging_NYKOPING/artfynd/A 54163-2019.xlsx", "A 54163-2019")</f>
        <v/>
      </c>
      <c r="T64">
        <f>HYPERLINK("https://klasma.github.io/Logging_NYKOPING/kartor/A 54163-2019.png", "A 54163-2019")</f>
        <v/>
      </c>
      <c r="V64">
        <f>HYPERLINK("https://klasma.github.io/Logging_NYKOPING/klagomål/A 54163-2019.docx", "A 54163-2019")</f>
        <v/>
      </c>
      <c r="W64">
        <f>HYPERLINK("https://klasma.github.io/Logging_NYKOPING/klagomålsmail/A 54163-2019.docx", "A 54163-2019")</f>
        <v/>
      </c>
      <c r="X64">
        <f>HYPERLINK("https://klasma.github.io/Logging_NYKOPING/tillsyn/A 54163-2019.docx", "A 54163-2019")</f>
        <v/>
      </c>
      <c r="Y64">
        <f>HYPERLINK("https://klasma.github.io/Logging_NYKOPING/tillsynsmail/A 54163-2019.docx", "A 54163-2019")</f>
        <v/>
      </c>
    </row>
    <row r="65" ht="15" customHeight="1">
      <c r="A65" t="inlineStr">
        <is>
          <t>A 64594-2019</t>
        </is>
      </c>
      <c r="B65" s="1" t="n">
        <v>43798</v>
      </c>
      <c r="C65" s="1" t="n">
        <v>45192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2.6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Åkergroda</t>
        </is>
      </c>
      <c r="S65">
        <f>HYPERLINK("https://klasma.github.io/Logging_NYKOPING/artfynd/A 64594-2019.xlsx", "A 64594-2019")</f>
        <v/>
      </c>
      <c r="T65">
        <f>HYPERLINK("https://klasma.github.io/Logging_NYKOPING/kartor/A 64594-2019.png", "A 64594-2019")</f>
        <v/>
      </c>
      <c r="V65">
        <f>HYPERLINK("https://klasma.github.io/Logging_NYKOPING/klagomål/A 64594-2019.docx", "A 64594-2019")</f>
        <v/>
      </c>
      <c r="W65">
        <f>HYPERLINK("https://klasma.github.io/Logging_NYKOPING/klagomålsmail/A 64594-2019.docx", "A 64594-2019")</f>
        <v/>
      </c>
      <c r="X65">
        <f>HYPERLINK("https://klasma.github.io/Logging_NYKOPING/tillsyn/A 64594-2019.docx", "A 64594-2019")</f>
        <v/>
      </c>
      <c r="Y65">
        <f>HYPERLINK("https://klasma.github.io/Logging_NYKOPING/tillsynsmail/A 64594-2019.docx", "A 64594-2019")</f>
        <v/>
      </c>
    </row>
    <row r="66" ht="15" customHeight="1">
      <c r="A66" t="inlineStr">
        <is>
          <t>A 872-2020</t>
        </is>
      </c>
      <c r="B66" s="1" t="n">
        <v>43818</v>
      </c>
      <c r="C66" s="1" t="n">
        <v>45192</v>
      </c>
      <c r="D66" t="inlineStr">
        <is>
          <t>SÖDERMANLANDS LÄN</t>
        </is>
      </c>
      <c r="E66" t="inlineStr">
        <is>
          <t>NYKÖPING</t>
        </is>
      </c>
      <c r="G66" t="n">
        <v>4.5</v>
      </c>
      <c r="H66" t="n">
        <v>1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Brun glada</t>
        </is>
      </c>
      <c r="S66">
        <f>HYPERLINK("https://klasma.github.io/Logging_NYKOPING/artfynd/A 872-2020.xlsx", "A 872-2020")</f>
        <v/>
      </c>
      <c r="T66">
        <f>HYPERLINK("https://klasma.github.io/Logging_NYKOPING/kartor/A 872-2020.png", "A 872-2020")</f>
        <v/>
      </c>
      <c r="V66">
        <f>HYPERLINK("https://klasma.github.io/Logging_NYKOPING/klagomål/A 872-2020.docx", "A 872-2020")</f>
        <v/>
      </c>
      <c r="W66">
        <f>HYPERLINK("https://klasma.github.io/Logging_NYKOPING/klagomålsmail/A 872-2020.docx", "A 872-2020")</f>
        <v/>
      </c>
      <c r="X66">
        <f>HYPERLINK("https://klasma.github.io/Logging_NYKOPING/tillsyn/A 872-2020.docx", "A 872-2020")</f>
        <v/>
      </c>
      <c r="Y66">
        <f>HYPERLINK("https://klasma.github.io/Logging_NYKOPING/tillsynsmail/A 872-2020.docx", "A 872-2020")</f>
        <v/>
      </c>
    </row>
    <row r="67" ht="15" customHeight="1">
      <c r="A67" t="inlineStr">
        <is>
          <t>A 1380-2020</t>
        </is>
      </c>
      <c r="B67" s="1" t="n">
        <v>43843</v>
      </c>
      <c r="C67" s="1" t="n">
        <v>45192</v>
      </c>
      <c r="D67" t="inlineStr">
        <is>
          <t>SÖDERMANLANDS LÄN</t>
        </is>
      </c>
      <c r="E67" t="inlineStr">
        <is>
          <t>NYKÖPING</t>
        </is>
      </c>
      <c r="G67" t="n">
        <v>1.7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HYPERLINK("https://klasma.github.io/Logging_NYKOPING/artfynd/A 1380-2020.xlsx", "A 1380-2020")</f>
        <v/>
      </c>
      <c r="T67">
        <f>HYPERLINK("https://klasma.github.io/Logging_NYKOPING/kartor/A 1380-2020.png", "A 1380-2020")</f>
        <v/>
      </c>
      <c r="V67">
        <f>HYPERLINK("https://klasma.github.io/Logging_NYKOPING/klagomål/A 1380-2020.docx", "A 1380-2020")</f>
        <v/>
      </c>
      <c r="W67">
        <f>HYPERLINK("https://klasma.github.io/Logging_NYKOPING/klagomålsmail/A 1380-2020.docx", "A 1380-2020")</f>
        <v/>
      </c>
      <c r="X67">
        <f>HYPERLINK("https://klasma.github.io/Logging_NYKOPING/tillsyn/A 1380-2020.docx", "A 1380-2020")</f>
        <v/>
      </c>
      <c r="Y67">
        <f>HYPERLINK("https://klasma.github.io/Logging_NYKOPING/tillsynsmail/A 1380-2020.docx", "A 1380-2020")</f>
        <v/>
      </c>
    </row>
    <row r="68" ht="15" customHeight="1">
      <c r="A68" t="inlineStr">
        <is>
          <t>A 4244-2020</t>
        </is>
      </c>
      <c r="B68" s="1" t="n">
        <v>43857</v>
      </c>
      <c r="C68" s="1" t="n">
        <v>45192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3.9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HYPERLINK("https://klasma.github.io/Logging_NYKOPING/artfynd/A 4244-2020.xlsx", "A 4244-2020")</f>
        <v/>
      </c>
      <c r="T68">
        <f>HYPERLINK("https://klasma.github.io/Logging_NYKOPING/kartor/A 4244-2020.png", "A 4244-2020")</f>
        <v/>
      </c>
      <c r="U68">
        <f>HYPERLINK("https://klasma.github.io/Logging_NYKOPING/knärot/A 4244-2020.png", "A 4244-2020")</f>
        <v/>
      </c>
      <c r="V68">
        <f>HYPERLINK("https://klasma.github.io/Logging_NYKOPING/klagomål/A 4244-2020.docx", "A 4244-2020")</f>
        <v/>
      </c>
      <c r="W68">
        <f>HYPERLINK("https://klasma.github.io/Logging_NYKOPING/klagomålsmail/A 4244-2020.docx", "A 4244-2020")</f>
        <v/>
      </c>
      <c r="X68">
        <f>HYPERLINK("https://klasma.github.io/Logging_NYKOPING/tillsyn/A 4244-2020.docx", "A 4244-2020")</f>
        <v/>
      </c>
      <c r="Y68">
        <f>HYPERLINK("https://klasma.github.io/Logging_NYKOPING/tillsynsmail/A 4244-2020.docx", "A 4244-2020")</f>
        <v/>
      </c>
    </row>
    <row r="69" ht="15" customHeight="1">
      <c r="A69" t="inlineStr">
        <is>
          <t>A 7702-2020</t>
        </is>
      </c>
      <c r="B69" s="1" t="n">
        <v>43872</v>
      </c>
      <c r="C69" s="1" t="n">
        <v>45192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5.2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Granticka</t>
        </is>
      </c>
      <c r="S69">
        <f>HYPERLINK("https://klasma.github.io/Logging_NYKOPING/artfynd/A 7702-2020.xlsx", "A 7702-2020")</f>
        <v/>
      </c>
      <c r="T69">
        <f>HYPERLINK("https://klasma.github.io/Logging_NYKOPING/kartor/A 7702-2020.png", "A 7702-2020")</f>
        <v/>
      </c>
      <c r="V69">
        <f>HYPERLINK("https://klasma.github.io/Logging_NYKOPING/klagomål/A 7702-2020.docx", "A 7702-2020")</f>
        <v/>
      </c>
      <c r="W69">
        <f>HYPERLINK("https://klasma.github.io/Logging_NYKOPING/klagomålsmail/A 7702-2020.docx", "A 7702-2020")</f>
        <v/>
      </c>
      <c r="X69">
        <f>HYPERLINK("https://klasma.github.io/Logging_NYKOPING/tillsyn/A 7702-2020.docx", "A 7702-2020")</f>
        <v/>
      </c>
      <c r="Y69">
        <f>HYPERLINK("https://klasma.github.io/Logging_NYKOPING/tillsynsmail/A 7702-2020.docx", "A 7702-2020")</f>
        <v/>
      </c>
    </row>
    <row r="70" ht="15" customHeight="1">
      <c r="A70" t="inlineStr">
        <is>
          <t>A 13756-2020</t>
        </is>
      </c>
      <c r="B70" s="1" t="n">
        <v>43903</v>
      </c>
      <c r="C70" s="1" t="n">
        <v>45192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5.4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HYPERLINK("https://klasma.github.io/Logging_NYKOPING/artfynd/A 13756-2020.xlsx", "A 13756-2020")</f>
        <v/>
      </c>
      <c r="T70">
        <f>HYPERLINK("https://klasma.github.io/Logging_NYKOPING/kartor/A 13756-2020.png", "A 13756-2020")</f>
        <v/>
      </c>
      <c r="V70">
        <f>HYPERLINK("https://klasma.github.io/Logging_NYKOPING/klagomål/A 13756-2020.docx", "A 13756-2020")</f>
        <v/>
      </c>
      <c r="W70">
        <f>HYPERLINK("https://klasma.github.io/Logging_NYKOPING/klagomålsmail/A 13756-2020.docx", "A 13756-2020")</f>
        <v/>
      </c>
      <c r="X70">
        <f>HYPERLINK("https://klasma.github.io/Logging_NYKOPING/tillsyn/A 13756-2020.docx", "A 13756-2020")</f>
        <v/>
      </c>
      <c r="Y70">
        <f>HYPERLINK("https://klasma.github.io/Logging_NYKOPING/tillsynsmail/A 13756-2020.docx", "A 13756-2020")</f>
        <v/>
      </c>
    </row>
    <row r="71" ht="15" customHeight="1">
      <c r="A71" t="inlineStr">
        <is>
          <t>A 19647-2020</t>
        </is>
      </c>
      <c r="B71" s="1" t="n">
        <v>43937</v>
      </c>
      <c r="C71" s="1" t="n">
        <v>45192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Raggtaggsvamp</t>
        </is>
      </c>
      <c r="S71">
        <f>HYPERLINK("https://klasma.github.io/Logging_NYKOPING/artfynd/A 19647-2020.xlsx", "A 19647-2020")</f>
        <v/>
      </c>
      <c r="T71">
        <f>HYPERLINK("https://klasma.github.io/Logging_NYKOPING/kartor/A 19647-2020.png", "A 19647-2020")</f>
        <v/>
      </c>
      <c r="V71">
        <f>HYPERLINK("https://klasma.github.io/Logging_NYKOPING/klagomål/A 19647-2020.docx", "A 19647-2020")</f>
        <v/>
      </c>
      <c r="W71">
        <f>HYPERLINK("https://klasma.github.io/Logging_NYKOPING/klagomålsmail/A 19647-2020.docx", "A 19647-2020")</f>
        <v/>
      </c>
      <c r="X71">
        <f>HYPERLINK("https://klasma.github.io/Logging_NYKOPING/tillsyn/A 19647-2020.docx", "A 19647-2020")</f>
        <v/>
      </c>
      <c r="Y71">
        <f>HYPERLINK("https://klasma.github.io/Logging_NYKOPING/tillsynsmail/A 19647-2020.docx", "A 19647-2020")</f>
        <v/>
      </c>
    </row>
    <row r="72" ht="15" customHeight="1">
      <c r="A72" t="inlineStr">
        <is>
          <t>A 20017-2020</t>
        </is>
      </c>
      <c r="B72" s="1" t="n">
        <v>43942</v>
      </c>
      <c r="C72" s="1" t="n">
        <v>45192</v>
      </c>
      <c r="D72" t="inlineStr">
        <is>
          <t>SÖDERMANLANDS LÄN</t>
        </is>
      </c>
      <c r="E72" t="inlineStr">
        <is>
          <t>NYKÖPING</t>
        </is>
      </c>
      <c r="G72" t="n">
        <v>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20017-2020.xlsx", "A 20017-2020")</f>
        <v/>
      </c>
      <c r="T72">
        <f>HYPERLINK("https://klasma.github.io/Logging_NYKOPING/kartor/A 20017-2020.png", "A 20017-2020")</f>
        <v/>
      </c>
      <c r="V72">
        <f>HYPERLINK("https://klasma.github.io/Logging_NYKOPING/klagomål/A 20017-2020.docx", "A 20017-2020")</f>
        <v/>
      </c>
      <c r="W72">
        <f>HYPERLINK("https://klasma.github.io/Logging_NYKOPING/klagomålsmail/A 20017-2020.docx", "A 20017-2020")</f>
        <v/>
      </c>
      <c r="X72">
        <f>HYPERLINK("https://klasma.github.io/Logging_NYKOPING/tillsyn/A 20017-2020.docx", "A 20017-2020")</f>
        <v/>
      </c>
      <c r="Y72">
        <f>HYPERLINK("https://klasma.github.io/Logging_NYKOPING/tillsynsmail/A 20017-2020.docx", "A 20017-2020")</f>
        <v/>
      </c>
    </row>
    <row r="73" ht="15" customHeight="1">
      <c r="A73" t="inlineStr">
        <is>
          <t>A 25802-2020</t>
        </is>
      </c>
      <c r="B73" s="1" t="n">
        <v>43983</v>
      </c>
      <c r="C73" s="1" t="n">
        <v>45192</v>
      </c>
      <c r="D73" t="inlineStr">
        <is>
          <t>SÖDERMANLANDS LÄN</t>
        </is>
      </c>
      <c r="E73" t="inlineStr">
        <is>
          <t>NYKÖPING</t>
        </is>
      </c>
      <c r="F73" t="inlineStr">
        <is>
          <t>Kommuner</t>
        </is>
      </c>
      <c r="G73" t="n">
        <v>3.4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Skarp dropptaggsvamp</t>
        </is>
      </c>
      <c r="S73">
        <f>HYPERLINK("https://klasma.github.io/Logging_NYKOPING/artfynd/A 25802-2020.xlsx", "A 25802-2020")</f>
        <v/>
      </c>
      <c r="T73">
        <f>HYPERLINK("https://klasma.github.io/Logging_NYKOPING/kartor/A 25802-2020.png", "A 25802-2020")</f>
        <v/>
      </c>
      <c r="V73">
        <f>HYPERLINK("https://klasma.github.io/Logging_NYKOPING/klagomål/A 25802-2020.docx", "A 25802-2020")</f>
        <v/>
      </c>
      <c r="W73">
        <f>HYPERLINK("https://klasma.github.io/Logging_NYKOPING/klagomålsmail/A 25802-2020.docx", "A 25802-2020")</f>
        <v/>
      </c>
      <c r="X73">
        <f>HYPERLINK("https://klasma.github.io/Logging_NYKOPING/tillsyn/A 25802-2020.docx", "A 25802-2020")</f>
        <v/>
      </c>
      <c r="Y73">
        <f>HYPERLINK("https://klasma.github.io/Logging_NYKOPING/tillsynsmail/A 25802-2020.docx", "A 25802-2020")</f>
        <v/>
      </c>
    </row>
    <row r="74" ht="15" customHeight="1">
      <c r="A74" t="inlineStr">
        <is>
          <t>A 29320-2020</t>
        </is>
      </c>
      <c r="B74" s="1" t="n">
        <v>44004</v>
      </c>
      <c r="C74" s="1" t="n">
        <v>45192</v>
      </c>
      <c r="D74" t="inlineStr">
        <is>
          <t>SÖDERMANLANDS LÄN</t>
        </is>
      </c>
      <c r="E74" t="inlineStr">
        <is>
          <t>NYKÖPING</t>
        </is>
      </c>
      <c r="G74" t="n">
        <v>15.2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Buskskvätta</t>
        </is>
      </c>
      <c r="S74">
        <f>HYPERLINK("https://klasma.github.io/Logging_NYKOPING/artfynd/A 29320-2020.xlsx", "A 29320-2020")</f>
        <v/>
      </c>
      <c r="T74">
        <f>HYPERLINK("https://klasma.github.io/Logging_NYKOPING/kartor/A 29320-2020.png", "A 29320-2020")</f>
        <v/>
      </c>
      <c r="V74">
        <f>HYPERLINK("https://klasma.github.io/Logging_NYKOPING/klagomål/A 29320-2020.docx", "A 29320-2020")</f>
        <v/>
      </c>
      <c r="W74">
        <f>HYPERLINK("https://klasma.github.io/Logging_NYKOPING/klagomålsmail/A 29320-2020.docx", "A 29320-2020")</f>
        <v/>
      </c>
      <c r="X74">
        <f>HYPERLINK("https://klasma.github.io/Logging_NYKOPING/tillsyn/A 29320-2020.docx", "A 29320-2020")</f>
        <v/>
      </c>
      <c r="Y74">
        <f>HYPERLINK("https://klasma.github.io/Logging_NYKOPING/tillsynsmail/A 29320-2020.docx", "A 29320-2020")</f>
        <v/>
      </c>
    </row>
    <row r="75" ht="15" customHeight="1">
      <c r="A75" t="inlineStr">
        <is>
          <t>A 29400-2020</t>
        </is>
      </c>
      <c r="B75" s="1" t="n">
        <v>44004</v>
      </c>
      <c r="C75" s="1" t="n">
        <v>45192</v>
      </c>
      <c r="D75" t="inlineStr">
        <is>
          <t>SÖDERMANLANDS LÄN</t>
        </is>
      </c>
      <c r="E75" t="inlineStr">
        <is>
          <t>NYKÖPING</t>
        </is>
      </c>
      <c r="G75" t="n">
        <v>7.7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HYPERLINK("https://klasma.github.io/Logging_NYKOPING/artfynd/A 29400-2020.xlsx", "A 29400-2020")</f>
        <v/>
      </c>
      <c r="T75">
        <f>HYPERLINK("https://klasma.github.io/Logging_NYKOPING/kartor/A 29400-2020.png", "A 29400-2020")</f>
        <v/>
      </c>
      <c r="V75">
        <f>HYPERLINK("https://klasma.github.io/Logging_NYKOPING/klagomål/A 29400-2020.docx", "A 29400-2020")</f>
        <v/>
      </c>
      <c r="W75">
        <f>HYPERLINK("https://klasma.github.io/Logging_NYKOPING/klagomålsmail/A 29400-2020.docx", "A 29400-2020")</f>
        <v/>
      </c>
      <c r="X75">
        <f>HYPERLINK("https://klasma.github.io/Logging_NYKOPING/tillsyn/A 29400-2020.docx", "A 29400-2020")</f>
        <v/>
      </c>
      <c r="Y75">
        <f>HYPERLINK("https://klasma.github.io/Logging_NYKOPING/tillsynsmail/A 29400-2020.docx", "A 29400-2020")</f>
        <v/>
      </c>
    </row>
    <row r="76" ht="15" customHeight="1">
      <c r="A76" t="inlineStr">
        <is>
          <t>A 29402-2020</t>
        </is>
      </c>
      <c r="B76" s="1" t="n">
        <v>44004</v>
      </c>
      <c r="C76" s="1" t="n">
        <v>45192</v>
      </c>
      <c r="D76" t="inlineStr">
        <is>
          <t>SÖDERMANLANDS LÄN</t>
        </is>
      </c>
      <c r="E76" t="inlineStr">
        <is>
          <t>NYKÖPING</t>
        </is>
      </c>
      <c r="G76" t="n">
        <v>1.7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Flodsångare</t>
        </is>
      </c>
      <c r="S76">
        <f>HYPERLINK("https://klasma.github.io/Logging_NYKOPING/artfynd/A 29402-2020.xlsx", "A 29402-2020")</f>
        <v/>
      </c>
      <c r="T76">
        <f>HYPERLINK("https://klasma.github.io/Logging_NYKOPING/kartor/A 29402-2020.png", "A 29402-2020")</f>
        <v/>
      </c>
      <c r="V76">
        <f>HYPERLINK("https://klasma.github.io/Logging_NYKOPING/klagomål/A 29402-2020.docx", "A 29402-2020")</f>
        <v/>
      </c>
      <c r="W76">
        <f>HYPERLINK("https://klasma.github.io/Logging_NYKOPING/klagomålsmail/A 29402-2020.docx", "A 29402-2020")</f>
        <v/>
      </c>
      <c r="X76">
        <f>HYPERLINK("https://klasma.github.io/Logging_NYKOPING/tillsyn/A 29402-2020.docx", "A 29402-2020")</f>
        <v/>
      </c>
      <c r="Y76">
        <f>HYPERLINK("https://klasma.github.io/Logging_NYKOPING/tillsynsmail/A 29402-2020.docx", "A 29402-2020")</f>
        <v/>
      </c>
    </row>
    <row r="77" ht="15" customHeight="1">
      <c r="A77" t="inlineStr">
        <is>
          <t>A 30887-2020</t>
        </is>
      </c>
      <c r="B77" s="1" t="n">
        <v>44008</v>
      </c>
      <c r="C77" s="1" t="n">
        <v>45192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Tallticka</t>
        </is>
      </c>
      <c r="S77">
        <f>HYPERLINK("https://klasma.github.io/Logging_NYKOPING/artfynd/A 30887-2020.xlsx", "A 30887-2020")</f>
        <v/>
      </c>
      <c r="T77">
        <f>HYPERLINK("https://klasma.github.io/Logging_NYKOPING/kartor/A 30887-2020.png", "A 30887-2020")</f>
        <v/>
      </c>
      <c r="V77">
        <f>HYPERLINK("https://klasma.github.io/Logging_NYKOPING/klagomål/A 30887-2020.docx", "A 30887-2020")</f>
        <v/>
      </c>
      <c r="W77">
        <f>HYPERLINK("https://klasma.github.io/Logging_NYKOPING/klagomålsmail/A 30887-2020.docx", "A 30887-2020")</f>
        <v/>
      </c>
      <c r="X77">
        <f>HYPERLINK("https://klasma.github.io/Logging_NYKOPING/tillsyn/A 30887-2020.docx", "A 30887-2020")</f>
        <v/>
      </c>
      <c r="Y77">
        <f>HYPERLINK("https://klasma.github.io/Logging_NYKOPING/tillsynsmail/A 30887-2020.docx", "A 30887-2020")</f>
        <v/>
      </c>
    </row>
    <row r="78" ht="15" customHeight="1">
      <c r="A78" t="inlineStr">
        <is>
          <t>A 44224-2020</t>
        </is>
      </c>
      <c r="B78" s="1" t="n">
        <v>44084</v>
      </c>
      <c r="C78" s="1" t="n">
        <v>45192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5.4</v>
      </c>
      <c r="H78" t="n">
        <v>1</v>
      </c>
      <c r="I78" t="n">
        <v>0</v>
      </c>
      <c r="J78" t="n">
        <v>0</v>
      </c>
      <c r="K78" t="n">
        <v>0</v>
      </c>
      <c r="L78" t="n">
        <v>1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Tornseglare</t>
        </is>
      </c>
      <c r="S78">
        <f>HYPERLINK("https://klasma.github.io/Logging_NYKOPING/artfynd/A 44224-2020.xlsx", "A 44224-2020")</f>
        <v/>
      </c>
      <c r="T78">
        <f>HYPERLINK("https://klasma.github.io/Logging_NYKOPING/kartor/A 44224-2020.png", "A 44224-2020")</f>
        <v/>
      </c>
      <c r="V78">
        <f>HYPERLINK("https://klasma.github.io/Logging_NYKOPING/klagomål/A 44224-2020.docx", "A 44224-2020")</f>
        <v/>
      </c>
      <c r="W78">
        <f>HYPERLINK("https://klasma.github.io/Logging_NYKOPING/klagomålsmail/A 44224-2020.docx", "A 44224-2020")</f>
        <v/>
      </c>
      <c r="X78">
        <f>HYPERLINK("https://klasma.github.io/Logging_NYKOPING/tillsyn/A 44224-2020.docx", "A 44224-2020")</f>
        <v/>
      </c>
      <c r="Y78">
        <f>HYPERLINK("https://klasma.github.io/Logging_NYKOPING/tillsynsmail/A 44224-2020.docx", "A 44224-2020")</f>
        <v/>
      </c>
    </row>
    <row r="79" ht="15" customHeight="1">
      <c r="A79" t="inlineStr">
        <is>
          <t>A 44227-2020</t>
        </is>
      </c>
      <c r="B79" s="1" t="n">
        <v>44084</v>
      </c>
      <c r="C79" s="1" t="n">
        <v>45192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3.8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Skogsknipprot</t>
        </is>
      </c>
      <c r="S79">
        <f>HYPERLINK("https://klasma.github.io/Logging_NYKOPING/artfynd/A 44227-2020.xlsx", "A 44227-2020")</f>
        <v/>
      </c>
      <c r="T79">
        <f>HYPERLINK("https://klasma.github.io/Logging_NYKOPING/kartor/A 44227-2020.png", "A 44227-2020")</f>
        <v/>
      </c>
      <c r="V79">
        <f>HYPERLINK("https://klasma.github.io/Logging_NYKOPING/klagomål/A 44227-2020.docx", "A 44227-2020")</f>
        <v/>
      </c>
      <c r="W79">
        <f>HYPERLINK("https://klasma.github.io/Logging_NYKOPING/klagomålsmail/A 44227-2020.docx", "A 44227-2020")</f>
        <v/>
      </c>
      <c r="X79">
        <f>HYPERLINK("https://klasma.github.io/Logging_NYKOPING/tillsyn/A 44227-2020.docx", "A 44227-2020")</f>
        <v/>
      </c>
      <c r="Y79">
        <f>HYPERLINK("https://klasma.github.io/Logging_NYKOPING/tillsynsmail/A 44227-2020.docx", "A 44227-2020")</f>
        <v/>
      </c>
    </row>
    <row r="80" ht="15" customHeight="1">
      <c r="A80" t="inlineStr">
        <is>
          <t>A 7130-2021</t>
        </is>
      </c>
      <c r="B80" s="1" t="n">
        <v>44238</v>
      </c>
      <c r="C80" s="1" t="n">
        <v>45192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4.1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Stor aspticka</t>
        </is>
      </c>
      <c r="S80">
        <f>HYPERLINK("https://klasma.github.io/Logging_NYKOPING/artfynd/A 7130-2021.xlsx", "A 7130-2021")</f>
        <v/>
      </c>
      <c r="T80">
        <f>HYPERLINK("https://klasma.github.io/Logging_NYKOPING/kartor/A 7130-2021.png", "A 7130-2021")</f>
        <v/>
      </c>
      <c r="V80">
        <f>HYPERLINK("https://klasma.github.io/Logging_NYKOPING/klagomål/A 7130-2021.docx", "A 7130-2021")</f>
        <v/>
      </c>
      <c r="W80">
        <f>HYPERLINK("https://klasma.github.io/Logging_NYKOPING/klagomålsmail/A 7130-2021.docx", "A 7130-2021")</f>
        <v/>
      </c>
      <c r="X80">
        <f>HYPERLINK("https://klasma.github.io/Logging_NYKOPING/tillsyn/A 7130-2021.docx", "A 7130-2021")</f>
        <v/>
      </c>
      <c r="Y80">
        <f>HYPERLINK("https://klasma.github.io/Logging_NYKOPING/tillsynsmail/A 7130-2021.docx", "A 7130-2021")</f>
        <v/>
      </c>
    </row>
    <row r="81" ht="15" customHeight="1">
      <c r="A81" t="inlineStr">
        <is>
          <t>A 11354-2021</t>
        </is>
      </c>
      <c r="B81" s="1" t="n">
        <v>44263</v>
      </c>
      <c r="C81" s="1" t="n">
        <v>45192</v>
      </c>
      <c r="D81" t="inlineStr">
        <is>
          <t>SÖDERMANLANDS LÄN</t>
        </is>
      </c>
      <c r="E81" t="inlineStr">
        <is>
          <t>NYKÖPING</t>
        </is>
      </c>
      <c r="G81" t="n">
        <v>4.2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Mellanlummer</t>
        </is>
      </c>
      <c r="S81">
        <f>HYPERLINK("https://klasma.github.io/Logging_NYKOPING/artfynd/A 11354-2021.xlsx", "A 11354-2021")</f>
        <v/>
      </c>
      <c r="T81">
        <f>HYPERLINK("https://klasma.github.io/Logging_NYKOPING/kartor/A 11354-2021.png", "A 11354-2021")</f>
        <v/>
      </c>
      <c r="V81">
        <f>HYPERLINK("https://klasma.github.io/Logging_NYKOPING/klagomål/A 11354-2021.docx", "A 11354-2021")</f>
        <v/>
      </c>
      <c r="W81">
        <f>HYPERLINK("https://klasma.github.io/Logging_NYKOPING/klagomålsmail/A 11354-2021.docx", "A 11354-2021")</f>
        <v/>
      </c>
      <c r="X81">
        <f>HYPERLINK("https://klasma.github.io/Logging_NYKOPING/tillsyn/A 11354-2021.docx", "A 11354-2021")</f>
        <v/>
      </c>
      <c r="Y81">
        <f>HYPERLINK("https://klasma.github.io/Logging_NYKOPING/tillsynsmail/A 11354-2021.docx", "A 11354-2021")</f>
        <v/>
      </c>
    </row>
    <row r="82" ht="15" customHeight="1">
      <c r="A82" t="inlineStr">
        <is>
          <t>A 30155-2021</t>
        </is>
      </c>
      <c r="B82" s="1" t="n">
        <v>44363</v>
      </c>
      <c r="C82" s="1" t="n">
        <v>45192</v>
      </c>
      <c r="D82" t="inlineStr">
        <is>
          <t>SÖDERMANLANDS LÄN</t>
        </is>
      </c>
      <c r="E82" t="inlineStr">
        <is>
          <t>NYKÖPING</t>
        </is>
      </c>
      <c r="G82" t="n">
        <v>8.5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Havsörn</t>
        </is>
      </c>
      <c r="S82">
        <f>HYPERLINK("https://klasma.github.io/Logging_NYKOPING/artfynd/A 30155-2021.xlsx", "A 30155-2021")</f>
        <v/>
      </c>
      <c r="T82">
        <f>HYPERLINK("https://klasma.github.io/Logging_NYKOPING/kartor/A 30155-2021.png", "A 30155-2021")</f>
        <v/>
      </c>
      <c r="V82">
        <f>HYPERLINK("https://klasma.github.io/Logging_NYKOPING/klagomål/A 30155-2021.docx", "A 30155-2021")</f>
        <v/>
      </c>
      <c r="W82">
        <f>HYPERLINK("https://klasma.github.io/Logging_NYKOPING/klagomålsmail/A 30155-2021.docx", "A 30155-2021")</f>
        <v/>
      </c>
      <c r="X82">
        <f>HYPERLINK("https://klasma.github.io/Logging_NYKOPING/tillsyn/A 30155-2021.docx", "A 30155-2021")</f>
        <v/>
      </c>
      <c r="Y82">
        <f>HYPERLINK("https://klasma.github.io/Logging_NYKOPING/tillsynsmail/A 30155-2021.docx", "A 30155-2021")</f>
        <v/>
      </c>
    </row>
    <row r="83" ht="15" customHeight="1">
      <c r="A83" t="inlineStr">
        <is>
          <t>A 37879-2021</t>
        </is>
      </c>
      <c r="B83" s="1" t="n">
        <v>44403</v>
      </c>
      <c r="C83" s="1" t="n">
        <v>45192</v>
      </c>
      <c r="D83" t="inlineStr">
        <is>
          <t>SÖDERMANLANDS LÄN</t>
        </is>
      </c>
      <c r="E83" t="inlineStr">
        <is>
          <t>NYKÖPING</t>
        </is>
      </c>
      <c r="G83" t="n">
        <v>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Persiljespindling</t>
        </is>
      </c>
      <c r="S83">
        <f>HYPERLINK("https://klasma.github.io/Logging_NYKOPING/artfynd/A 37879-2021.xlsx", "A 37879-2021")</f>
        <v/>
      </c>
      <c r="T83">
        <f>HYPERLINK("https://klasma.github.io/Logging_NYKOPING/kartor/A 37879-2021.png", "A 37879-2021")</f>
        <v/>
      </c>
      <c r="V83">
        <f>HYPERLINK("https://klasma.github.io/Logging_NYKOPING/klagomål/A 37879-2021.docx", "A 37879-2021")</f>
        <v/>
      </c>
      <c r="W83">
        <f>HYPERLINK("https://klasma.github.io/Logging_NYKOPING/klagomålsmail/A 37879-2021.docx", "A 37879-2021")</f>
        <v/>
      </c>
      <c r="X83">
        <f>HYPERLINK("https://klasma.github.io/Logging_NYKOPING/tillsyn/A 37879-2021.docx", "A 37879-2021")</f>
        <v/>
      </c>
      <c r="Y83">
        <f>HYPERLINK("https://klasma.github.io/Logging_NYKOPING/tillsynsmail/A 37879-2021.docx", "A 37879-2021")</f>
        <v/>
      </c>
    </row>
    <row r="84" ht="15" customHeight="1">
      <c r="A84" t="inlineStr">
        <is>
          <t>A 38366-2021</t>
        </is>
      </c>
      <c r="B84" s="1" t="n">
        <v>44406</v>
      </c>
      <c r="C84" s="1" t="n">
        <v>45192</v>
      </c>
      <c r="D84" t="inlineStr">
        <is>
          <t>SÖDERMANLANDS LÄN</t>
        </is>
      </c>
      <c r="E84" t="inlineStr">
        <is>
          <t>NYKÖPING</t>
        </is>
      </c>
      <c r="F84" t="inlineStr">
        <is>
          <t>Holmen skog AB</t>
        </is>
      </c>
      <c r="G84" t="n">
        <v>2.6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Skogsklocka</t>
        </is>
      </c>
      <c r="S84">
        <f>HYPERLINK("https://klasma.github.io/Logging_NYKOPING/artfynd/A 38366-2021.xlsx", "A 38366-2021")</f>
        <v/>
      </c>
      <c r="T84">
        <f>HYPERLINK("https://klasma.github.io/Logging_NYKOPING/kartor/A 38366-2021.png", "A 38366-2021")</f>
        <v/>
      </c>
      <c r="V84">
        <f>HYPERLINK("https://klasma.github.io/Logging_NYKOPING/klagomål/A 38366-2021.docx", "A 38366-2021")</f>
        <v/>
      </c>
      <c r="W84">
        <f>HYPERLINK("https://klasma.github.io/Logging_NYKOPING/klagomålsmail/A 38366-2021.docx", "A 38366-2021")</f>
        <v/>
      </c>
      <c r="X84">
        <f>HYPERLINK("https://klasma.github.io/Logging_NYKOPING/tillsyn/A 38366-2021.docx", "A 38366-2021")</f>
        <v/>
      </c>
      <c r="Y84">
        <f>HYPERLINK("https://klasma.github.io/Logging_NYKOPING/tillsynsmail/A 38366-2021.docx", "A 38366-2021")</f>
        <v/>
      </c>
    </row>
    <row r="85" ht="15" customHeight="1">
      <c r="A85" t="inlineStr">
        <is>
          <t>A 42903-2021</t>
        </is>
      </c>
      <c r="B85" s="1" t="n">
        <v>44430</v>
      </c>
      <c r="C85" s="1" t="n">
        <v>45192</v>
      </c>
      <c r="D85" t="inlineStr">
        <is>
          <t>SÖDERMANLANDS LÄN</t>
        </is>
      </c>
      <c r="E85" t="inlineStr">
        <is>
          <t>NYKÖPING</t>
        </is>
      </c>
      <c r="G85" t="n">
        <v>20.2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Gullklöver</t>
        </is>
      </c>
      <c r="S85">
        <f>HYPERLINK("https://klasma.github.io/Logging_NYKOPING/artfynd/A 42903-2021.xlsx", "A 42903-2021")</f>
        <v/>
      </c>
      <c r="T85">
        <f>HYPERLINK("https://klasma.github.io/Logging_NYKOPING/kartor/A 42903-2021.png", "A 42903-2021")</f>
        <v/>
      </c>
      <c r="V85">
        <f>HYPERLINK("https://klasma.github.io/Logging_NYKOPING/klagomål/A 42903-2021.docx", "A 42903-2021")</f>
        <v/>
      </c>
      <c r="W85">
        <f>HYPERLINK("https://klasma.github.io/Logging_NYKOPING/klagomålsmail/A 42903-2021.docx", "A 42903-2021")</f>
        <v/>
      </c>
      <c r="X85">
        <f>HYPERLINK("https://klasma.github.io/Logging_NYKOPING/tillsyn/A 42903-2021.docx", "A 42903-2021")</f>
        <v/>
      </c>
      <c r="Y85">
        <f>HYPERLINK("https://klasma.github.io/Logging_NYKOPING/tillsynsmail/A 42903-2021.docx", "A 42903-2021")</f>
        <v/>
      </c>
    </row>
    <row r="86" ht="15" customHeight="1">
      <c r="A86" t="inlineStr">
        <is>
          <t>A 47095-2021</t>
        </is>
      </c>
      <c r="B86" s="1" t="n">
        <v>44446</v>
      </c>
      <c r="C86" s="1" t="n">
        <v>45192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1.4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Kricka</t>
        </is>
      </c>
      <c r="S86">
        <f>HYPERLINK("https://klasma.github.io/Logging_NYKOPING/artfynd/A 47095-2021.xlsx", "A 47095-2021")</f>
        <v/>
      </c>
      <c r="T86">
        <f>HYPERLINK("https://klasma.github.io/Logging_NYKOPING/kartor/A 47095-2021.png", "A 47095-2021")</f>
        <v/>
      </c>
      <c r="V86">
        <f>HYPERLINK("https://klasma.github.io/Logging_NYKOPING/klagomål/A 47095-2021.docx", "A 47095-2021")</f>
        <v/>
      </c>
      <c r="W86">
        <f>HYPERLINK("https://klasma.github.io/Logging_NYKOPING/klagomålsmail/A 47095-2021.docx", "A 47095-2021")</f>
        <v/>
      </c>
      <c r="X86">
        <f>HYPERLINK("https://klasma.github.io/Logging_NYKOPING/tillsyn/A 47095-2021.docx", "A 47095-2021")</f>
        <v/>
      </c>
      <c r="Y86">
        <f>HYPERLINK("https://klasma.github.io/Logging_NYKOPING/tillsynsmail/A 47095-2021.docx", "A 47095-2021")</f>
        <v/>
      </c>
    </row>
    <row r="87" ht="15" customHeight="1">
      <c r="A87" t="inlineStr">
        <is>
          <t>A 47107-2021</t>
        </is>
      </c>
      <c r="B87" s="1" t="n">
        <v>44446</v>
      </c>
      <c r="C87" s="1" t="n">
        <v>45192</v>
      </c>
      <c r="D87" t="inlineStr">
        <is>
          <t>SÖDERMANLANDS LÄN</t>
        </is>
      </c>
      <c r="E87" t="inlineStr">
        <is>
          <t>NYKÖPING</t>
        </is>
      </c>
      <c r="F87" t="inlineStr">
        <is>
          <t>Kommuner</t>
        </is>
      </c>
      <c r="G87" t="n">
        <v>4.9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Lopplummer</t>
        </is>
      </c>
      <c r="S87">
        <f>HYPERLINK("https://klasma.github.io/Logging_NYKOPING/artfynd/A 47107-2021.xlsx", "A 47107-2021")</f>
        <v/>
      </c>
      <c r="T87">
        <f>HYPERLINK("https://klasma.github.io/Logging_NYKOPING/kartor/A 47107-2021.png", "A 47107-2021")</f>
        <v/>
      </c>
      <c r="V87">
        <f>HYPERLINK("https://klasma.github.io/Logging_NYKOPING/klagomål/A 47107-2021.docx", "A 47107-2021")</f>
        <v/>
      </c>
      <c r="W87">
        <f>HYPERLINK("https://klasma.github.io/Logging_NYKOPING/klagomålsmail/A 47107-2021.docx", "A 47107-2021")</f>
        <v/>
      </c>
      <c r="X87">
        <f>HYPERLINK("https://klasma.github.io/Logging_NYKOPING/tillsyn/A 47107-2021.docx", "A 47107-2021")</f>
        <v/>
      </c>
      <c r="Y87">
        <f>HYPERLINK("https://klasma.github.io/Logging_NYKOPING/tillsynsmail/A 47107-2021.docx", "A 47107-2021")</f>
        <v/>
      </c>
    </row>
    <row r="88" ht="15" customHeight="1">
      <c r="A88" t="inlineStr">
        <is>
          <t>A 56420-2021</t>
        </is>
      </c>
      <c r="B88" s="1" t="n">
        <v>44480</v>
      </c>
      <c r="C88" s="1" t="n">
        <v>45192</v>
      </c>
      <c r="D88" t="inlineStr">
        <is>
          <t>SÖDERMANLANDS LÄN</t>
        </is>
      </c>
      <c r="E88" t="inlineStr">
        <is>
          <t>NYKÖPING</t>
        </is>
      </c>
      <c r="F88" t="inlineStr">
        <is>
          <t>Holmen skog AB</t>
        </is>
      </c>
      <c r="G88" t="n">
        <v>2.8</v>
      </c>
      <c r="H88" t="n">
        <v>1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Björktrast</t>
        </is>
      </c>
      <c r="S88">
        <f>HYPERLINK("https://klasma.github.io/Logging_NYKOPING/artfynd/A 56420-2021.xlsx", "A 56420-2021")</f>
        <v/>
      </c>
      <c r="T88">
        <f>HYPERLINK("https://klasma.github.io/Logging_NYKOPING/kartor/A 56420-2021.png", "A 56420-2021")</f>
        <v/>
      </c>
      <c r="V88">
        <f>HYPERLINK("https://klasma.github.io/Logging_NYKOPING/klagomål/A 56420-2021.docx", "A 56420-2021")</f>
        <v/>
      </c>
      <c r="W88">
        <f>HYPERLINK("https://klasma.github.io/Logging_NYKOPING/klagomålsmail/A 56420-2021.docx", "A 56420-2021")</f>
        <v/>
      </c>
      <c r="X88">
        <f>HYPERLINK("https://klasma.github.io/Logging_NYKOPING/tillsyn/A 56420-2021.docx", "A 56420-2021")</f>
        <v/>
      </c>
      <c r="Y88">
        <f>HYPERLINK("https://klasma.github.io/Logging_NYKOPING/tillsynsmail/A 56420-2021.docx", "A 56420-2021")</f>
        <v/>
      </c>
    </row>
    <row r="89" ht="15" customHeight="1">
      <c r="A89" t="inlineStr">
        <is>
          <t>A 61071-2021</t>
        </is>
      </c>
      <c r="B89" s="1" t="n">
        <v>44497</v>
      </c>
      <c r="C89" s="1" t="n">
        <v>45192</v>
      </c>
      <c r="D89" t="inlineStr">
        <is>
          <t>SÖDERMANLANDS LÄN</t>
        </is>
      </c>
      <c r="E89" t="inlineStr">
        <is>
          <t>NYKÖPING</t>
        </is>
      </c>
      <c r="G89" t="n">
        <v>3.8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Bronshjon</t>
        </is>
      </c>
      <c r="S89">
        <f>HYPERLINK("https://klasma.github.io/Logging_NYKOPING/artfynd/A 61071-2021.xlsx", "A 61071-2021")</f>
        <v/>
      </c>
      <c r="T89">
        <f>HYPERLINK("https://klasma.github.io/Logging_NYKOPING/kartor/A 61071-2021.png", "A 61071-2021")</f>
        <v/>
      </c>
      <c r="V89">
        <f>HYPERLINK("https://klasma.github.io/Logging_NYKOPING/klagomål/A 61071-2021.docx", "A 61071-2021")</f>
        <v/>
      </c>
      <c r="W89">
        <f>HYPERLINK("https://klasma.github.io/Logging_NYKOPING/klagomålsmail/A 61071-2021.docx", "A 61071-2021")</f>
        <v/>
      </c>
      <c r="X89">
        <f>HYPERLINK("https://klasma.github.io/Logging_NYKOPING/tillsyn/A 61071-2021.docx", "A 61071-2021")</f>
        <v/>
      </c>
      <c r="Y89">
        <f>HYPERLINK("https://klasma.github.io/Logging_NYKOPING/tillsynsmail/A 61071-2021.docx", "A 61071-2021")</f>
        <v/>
      </c>
    </row>
    <row r="90" ht="15" customHeight="1">
      <c r="A90" t="inlineStr">
        <is>
          <t>A 62716-2021</t>
        </is>
      </c>
      <c r="B90" s="1" t="n">
        <v>44503</v>
      </c>
      <c r="C90" s="1" t="n">
        <v>45192</v>
      </c>
      <c r="D90" t="inlineStr">
        <is>
          <t>SÖDERMANLANDS LÄN</t>
        </is>
      </c>
      <c r="E90" t="inlineStr">
        <is>
          <t>NYKÖPING</t>
        </is>
      </c>
      <c r="G90" t="n">
        <v>2.4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62716-2021.xlsx", "A 62716-2021")</f>
        <v/>
      </c>
      <c r="T90">
        <f>HYPERLINK("https://klasma.github.io/Logging_NYKOPING/kartor/A 62716-2021.png", "A 62716-2021")</f>
        <v/>
      </c>
      <c r="V90">
        <f>HYPERLINK("https://klasma.github.io/Logging_NYKOPING/klagomål/A 62716-2021.docx", "A 62716-2021")</f>
        <v/>
      </c>
      <c r="W90">
        <f>HYPERLINK("https://klasma.github.io/Logging_NYKOPING/klagomålsmail/A 62716-2021.docx", "A 62716-2021")</f>
        <v/>
      </c>
      <c r="X90">
        <f>HYPERLINK("https://klasma.github.io/Logging_NYKOPING/tillsyn/A 62716-2021.docx", "A 62716-2021")</f>
        <v/>
      </c>
      <c r="Y90">
        <f>HYPERLINK("https://klasma.github.io/Logging_NYKOPING/tillsynsmail/A 62716-2021.docx", "A 62716-2021")</f>
        <v/>
      </c>
    </row>
    <row r="91" ht="15" customHeight="1">
      <c r="A91" t="inlineStr">
        <is>
          <t>A 65889-2021</t>
        </is>
      </c>
      <c r="B91" s="1" t="n">
        <v>44517</v>
      </c>
      <c r="C91" s="1" t="n">
        <v>45192</v>
      </c>
      <c r="D91" t="inlineStr">
        <is>
          <t>SÖDERMANLANDS LÄN</t>
        </is>
      </c>
      <c r="E91" t="inlineStr">
        <is>
          <t>NYKÖPING</t>
        </is>
      </c>
      <c r="G91" t="n">
        <v>4.8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HYPERLINK("https://klasma.github.io/Logging_NYKOPING/artfynd/A 65889-2021.xlsx", "A 65889-2021")</f>
        <v/>
      </c>
      <c r="T91">
        <f>HYPERLINK("https://klasma.github.io/Logging_NYKOPING/kartor/A 65889-2021.png", "A 65889-2021")</f>
        <v/>
      </c>
      <c r="V91">
        <f>HYPERLINK("https://klasma.github.io/Logging_NYKOPING/klagomål/A 65889-2021.docx", "A 65889-2021")</f>
        <v/>
      </c>
      <c r="W91">
        <f>HYPERLINK("https://klasma.github.io/Logging_NYKOPING/klagomålsmail/A 65889-2021.docx", "A 65889-2021")</f>
        <v/>
      </c>
      <c r="X91">
        <f>HYPERLINK("https://klasma.github.io/Logging_NYKOPING/tillsyn/A 65889-2021.docx", "A 65889-2021")</f>
        <v/>
      </c>
      <c r="Y91">
        <f>HYPERLINK("https://klasma.github.io/Logging_NYKOPING/tillsynsmail/A 65889-2021.docx", "A 65889-2021")</f>
        <v/>
      </c>
    </row>
    <row r="92" ht="15" customHeight="1">
      <c r="A92" t="inlineStr">
        <is>
          <t>A 65892-2021</t>
        </is>
      </c>
      <c r="B92" s="1" t="n">
        <v>44517</v>
      </c>
      <c r="C92" s="1" t="n">
        <v>45192</v>
      </c>
      <c r="D92" t="inlineStr">
        <is>
          <t>SÖDERMANLANDS LÄN</t>
        </is>
      </c>
      <c r="E92" t="inlineStr">
        <is>
          <t>NYKÖPING</t>
        </is>
      </c>
      <c r="G92" t="n">
        <v>1.9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Mattlummer</t>
        </is>
      </c>
      <c r="S92">
        <f>HYPERLINK("https://klasma.github.io/Logging_NYKOPING/artfynd/A 65892-2021.xlsx", "A 65892-2021")</f>
        <v/>
      </c>
      <c r="T92">
        <f>HYPERLINK("https://klasma.github.io/Logging_NYKOPING/kartor/A 65892-2021.png", "A 65892-2021")</f>
        <v/>
      </c>
      <c r="V92">
        <f>HYPERLINK("https://klasma.github.io/Logging_NYKOPING/klagomål/A 65892-2021.docx", "A 65892-2021")</f>
        <v/>
      </c>
      <c r="W92">
        <f>HYPERLINK("https://klasma.github.io/Logging_NYKOPING/klagomålsmail/A 65892-2021.docx", "A 65892-2021")</f>
        <v/>
      </c>
      <c r="X92">
        <f>HYPERLINK("https://klasma.github.io/Logging_NYKOPING/tillsyn/A 65892-2021.docx", "A 65892-2021")</f>
        <v/>
      </c>
      <c r="Y92">
        <f>HYPERLINK("https://klasma.github.io/Logging_NYKOPING/tillsynsmail/A 65892-2021.docx", "A 65892-2021")</f>
        <v/>
      </c>
    </row>
    <row r="93" ht="15" customHeight="1">
      <c r="A93" t="inlineStr">
        <is>
          <t>A 67819-2021</t>
        </is>
      </c>
      <c r="B93" s="1" t="n">
        <v>44525</v>
      </c>
      <c r="C93" s="1" t="n">
        <v>45192</v>
      </c>
      <c r="D93" t="inlineStr">
        <is>
          <t>SÖDERMANLANDS LÄN</t>
        </is>
      </c>
      <c r="E93" t="inlineStr">
        <is>
          <t>NYKÖPING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Svedjenäva</t>
        </is>
      </c>
      <c r="S93">
        <f>HYPERLINK("https://klasma.github.io/Logging_NYKOPING/artfynd/A 67819-2021.xlsx", "A 67819-2021")</f>
        <v/>
      </c>
      <c r="T93">
        <f>HYPERLINK("https://klasma.github.io/Logging_NYKOPING/kartor/A 67819-2021.png", "A 67819-2021")</f>
        <v/>
      </c>
      <c r="V93">
        <f>HYPERLINK("https://klasma.github.io/Logging_NYKOPING/klagomål/A 67819-2021.docx", "A 67819-2021")</f>
        <v/>
      </c>
      <c r="W93">
        <f>HYPERLINK("https://klasma.github.io/Logging_NYKOPING/klagomålsmail/A 67819-2021.docx", "A 67819-2021")</f>
        <v/>
      </c>
      <c r="X93">
        <f>HYPERLINK("https://klasma.github.io/Logging_NYKOPING/tillsyn/A 67819-2021.docx", "A 67819-2021")</f>
        <v/>
      </c>
      <c r="Y93">
        <f>HYPERLINK("https://klasma.github.io/Logging_NYKOPING/tillsynsmail/A 67819-2021.docx", "A 67819-2021")</f>
        <v/>
      </c>
    </row>
    <row r="94" ht="15" customHeight="1">
      <c r="A94" t="inlineStr">
        <is>
          <t>A 9973-2022</t>
        </is>
      </c>
      <c r="B94" s="1" t="n">
        <v>44621</v>
      </c>
      <c r="C94" s="1" t="n">
        <v>45192</v>
      </c>
      <c r="D94" t="inlineStr">
        <is>
          <t>SÖDERMANLANDS LÄN</t>
        </is>
      </c>
      <c r="E94" t="inlineStr">
        <is>
          <t>NYKÖPING</t>
        </is>
      </c>
      <c r="G94" t="n">
        <v>18.3</v>
      </c>
      <c r="H94" t="n">
        <v>1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Grön sköldmossa</t>
        </is>
      </c>
      <c r="S94">
        <f>HYPERLINK("https://klasma.github.io/Logging_NYKOPING/artfynd/A 9973-2022.xlsx", "A 9973-2022")</f>
        <v/>
      </c>
      <c r="T94">
        <f>HYPERLINK("https://klasma.github.io/Logging_NYKOPING/kartor/A 9973-2022.png", "A 9973-2022")</f>
        <v/>
      </c>
      <c r="V94">
        <f>HYPERLINK("https://klasma.github.io/Logging_NYKOPING/klagomål/A 9973-2022.docx", "A 9973-2022")</f>
        <v/>
      </c>
      <c r="W94">
        <f>HYPERLINK("https://klasma.github.io/Logging_NYKOPING/klagomålsmail/A 9973-2022.docx", "A 9973-2022")</f>
        <v/>
      </c>
      <c r="X94">
        <f>HYPERLINK("https://klasma.github.io/Logging_NYKOPING/tillsyn/A 9973-2022.docx", "A 9973-2022")</f>
        <v/>
      </c>
      <c r="Y94">
        <f>HYPERLINK("https://klasma.github.io/Logging_NYKOPING/tillsynsmail/A 9973-2022.docx", "A 9973-2022")</f>
        <v/>
      </c>
    </row>
    <row r="95" ht="15" customHeight="1">
      <c r="A95" t="inlineStr">
        <is>
          <t>A 11751-2022</t>
        </is>
      </c>
      <c r="B95" s="1" t="n">
        <v>44634</v>
      </c>
      <c r="C95" s="1" t="n">
        <v>45192</v>
      </c>
      <c r="D95" t="inlineStr">
        <is>
          <t>SÖDERMANLANDS LÄN</t>
        </is>
      </c>
      <c r="E95" t="inlineStr">
        <is>
          <t>NYKÖPING</t>
        </is>
      </c>
      <c r="G95" t="n">
        <v>2.3</v>
      </c>
      <c r="H95" t="n">
        <v>0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Ljungögontröst</t>
        </is>
      </c>
      <c r="S95">
        <f>HYPERLINK("https://klasma.github.io/Logging_NYKOPING/artfynd/A 11751-2022.xlsx", "A 11751-2022")</f>
        <v/>
      </c>
      <c r="T95">
        <f>HYPERLINK("https://klasma.github.io/Logging_NYKOPING/kartor/A 11751-2022.png", "A 11751-2022")</f>
        <v/>
      </c>
      <c r="V95">
        <f>HYPERLINK("https://klasma.github.io/Logging_NYKOPING/klagomål/A 11751-2022.docx", "A 11751-2022")</f>
        <v/>
      </c>
      <c r="W95">
        <f>HYPERLINK("https://klasma.github.io/Logging_NYKOPING/klagomålsmail/A 11751-2022.docx", "A 11751-2022")</f>
        <v/>
      </c>
      <c r="X95">
        <f>HYPERLINK("https://klasma.github.io/Logging_NYKOPING/tillsyn/A 11751-2022.docx", "A 11751-2022")</f>
        <v/>
      </c>
      <c r="Y95">
        <f>HYPERLINK("https://klasma.github.io/Logging_NYKOPING/tillsynsmail/A 11751-2022.docx", "A 11751-2022")</f>
        <v/>
      </c>
    </row>
    <row r="96" ht="15" customHeight="1">
      <c r="A96" t="inlineStr">
        <is>
          <t>A 13464-2022</t>
        </is>
      </c>
      <c r="B96" s="1" t="n">
        <v>44645</v>
      </c>
      <c r="C96" s="1" t="n">
        <v>45192</v>
      </c>
      <c r="D96" t="inlineStr">
        <is>
          <t>SÖDERMANLANDS LÄN</t>
        </is>
      </c>
      <c r="E96" t="inlineStr">
        <is>
          <t>NYKÖPING</t>
        </is>
      </c>
      <c r="G96" t="n">
        <v>12.6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Grönpyrola</t>
        </is>
      </c>
      <c r="S96">
        <f>HYPERLINK("https://klasma.github.io/Logging_NYKOPING/artfynd/A 13464-2022.xlsx", "A 13464-2022")</f>
        <v/>
      </c>
      <c r="T96">
        <f>HYPERLINK("https://klasma.github.io/Logging_NYKOPING/kartor/A 13464-2022.png", "A 13464-2022")</f>
        <v/>
      </c>
      <c r="V96">
        <f>HYPERLINK("https://klasma.github.io/Logging_NYKOPING/klagomål/A 13464-2022.docx", "A 13464-2022")</f>
        <v/>
      </c>
      <c r="W96">
        <f>HYPERLINK("https://klasma.github.io/Logging_NYKOPING/klagomålsmail/A 13464-2022.docx", "A 13464-2022")</f>
        <v/>
      </c>
      <c r="X96">
        <f>HYPERLINK("https://klasma.github.io/Logging_NYKOPING/tillsyn/A 13464-2022.docx", "A 13464-2022")</f>
        <v/>
      </c>
      <c r="Y96">
        <f>HYPERLINK("https://klasma.github.io/Logging_NYKOPING/tillsynsmail/A 13464-2022.docx", "A 13464-2022")</f>
        <v/>
      </c>
    </row>
    <row r="97" ht="15" customHeight="1">
      <c r="A97" t="inlineStr">
        <is>
          <t>A 36996-2022</t>
        </is>
      </c>
      <c r="B97" s="1" t="n">
        <v>44806</v>
      </c>
      <c r="C97" s="1" t="n">
        <v>45192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1.8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Vågbandad barkbock</t>
        </is>
      </c>
      <c r="S97">
        <f>HYPERLINK("https://klasma.github.io/Logging_NYKOPING/artfynd/A 36996-2022.xlsx", "A 36996-2022")</f>
        <v/>
      </c>
      <c r="T97">
        <f>HYPERLINK("https://klasma.github.io/Logging_NYKOPING/kartor/A 36996-2022.png", "A 36996-2022")</f>
        <v/>
      </c>
      <c r="V97">
        <f>HYPERLINK("https://klasma.github.io/Logging_NYKOPING/klagomål/A 36996-2022.docx", "A 36996-2022")</f>
        <v/>
      </c>
      <c r="W97">
        <f>HYPERLINK("https://klasma.github.io/Logging_NYKOPING/klagomålsmail/A 36996-2022.docx", "A 36996-2022")</f>
        <v/>
      </c>
      <c r="X97">
        <f>HYPERLINK("https://klasma.github.io/Logging_NYKOPING/tillsyn/A 36996-2022.docx", "A 36996-2022")</f>
        <v/>
      </c>
      <c r="Y97">
        <f>HYPERLINK("https://klasma.github.io/Logging_NYKOPING/tillsynsmail/A 36996-2022.docx", "A 36996-2022")</f>
        <v/>
      </c>
    </row>
    <row r="98" ht="15" customHeight="1">
      <c r="A98" t="inlineStr">
        <is>
          <t>A 39740-2022</t>
        </is>
      </c>
      <c r="B98" s="1" t="n">
        <v>44817</v>
      </c>
      <c r="C98" s="1" t="n">
        <v>45192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3.4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Blåsippa</t>
        </is>
      </c>
      <c r="S98">
        <f>HYPERLINK("https://klasma.github.io/Logging_NYKOPING/artfynd/A 39740-2022.xlsx", "A 39740-2022")</f>
        <v/>
      </c>
      <c r="T98">
        <f>HYPERLINK("https://klasma.github.io/Logging_NYKOPING/kartor/A 39740-2022.png", "A 39740-2022")</f>
        <v/>
      </c>
      <c r="V98">
        <f>HYPERLINK("https://klasma.github.io/Logging_NYKOPING/klagomål/A 39740-2022.docx", "A 39740-2022")</f>
        <v/>
      </c>
      <c r="W98">
        <f>HYPERLINK("https://klasma.github.io/Logging_NYKOPING/klagomålsmail/A 39740-2022.docx", "A 39740-2022")</f>
        <v/>
      </c>
      <c r="X98">
        <f>HYPERLINK("https://klasma.github.io/Logging_NYKOPING/tillsyn/A 39740-2022.docx", "A 39740-2022")</f>
        <v/>
      </c>
      <c r="Y98">
        <f>HYPERLINK("https://klasma.github.io/Logging_NYKOPING/tillsynsmail/A 39740-2022.docx", "A 39740-2022")</f>
        <v/>
      </c>
    </row>
    <row r="99" ht="15" customHeight="1">
      <c r="A99" t="inlineStr">
        <is>
          <t>A 2842-2023</t>
        </is>
      </c>
      <c r="B99" s="1" t="n">
        <v>44945</v>
      </c>
      <c r="C99" s="1" t="n">
        <v>45192</v>
      </c>
      <c r="D99" t="inlineStr">
        <is>
          <t>SÖDERMANLANDS LÄN</t>
        </is>
      </c>
      <c r="E99" t="inlineStr">
        <is>
          <t>NYKÖPING</t>
        </is>
      </c>
      <c r="G99" t="n">
        <v>6.7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Svavelriska</t>
        </is>
      </c>
      <c r="S99">
        <f>HYPERLINK("https://klasma.github.io/Logging_NYKOPING/artfynd/A 2842-2023.xlsx", "A 2842-2023")</f>
        <v/>
      </c>
      <c r="T99">
        <f>HYPERLINK("https://klasma.github.io/Logging_NYKOPING/kartor/A 2842-2023.png", "A 2842-2023")</f>
        <v/>
      </c>
      <c r="V99">
        <f>HYPERLINK("https://klasma.github.io/Logging_NYKOPING/klagomål/A 2842-2023.docx", "A 2842-2023")</f>
        <v/>
      </c>
      <c r="W99">
        <f>HYPERLINK("https://klasma.github.io/Logging_NYKOPING/klagomålsmail/A 2842-2023.docx", "A 2842-2023")</f>
        <v/>
      </c>
      <c r="X99">
        <f>HYPERLINK("https://klasma.github.io/Logging_NYKOPING/tillsyn/A 2842-2023.docx", "A 2842-2023")</f>
        <v/>
      </c>
      <c r="Y99">
        <f>HYPERLINK("https://klasma.github.io/Logging_NYKOPING/tillsynsmail/A 2842-2023.docx", "A 2842-2023")</f>
        <v/>
      </c>
    </row>
    <row r="100" ht="15" customHeight="1">
      <c r="A100" t="inlineStr">
        <is>
          <t>A 12891-2023</t>
        </is>
      </c>
      <c r="B100" s="1" t="n">
        <v>45001</v>
      </c>
      <c r="C100" s="1" t="n">
        <v>45192</v>
      </c>
      <c r="D100" t="inlineStr">
        <is>
          <t>SÖDERMANLANDS LÄN</t>
        </is>
      </c>
      <c r="E100" t="inlineStr">
        <is>
          <t>NYKÖPING</t>
        </is>
      </c>
      <c r="F100" t="inlineStr">
        <is>
          <t>Holmen skog AB</t>
        </is>
      </c>
      <c r="G100" t="n">
        <v>6.9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Revlummer</t>
        </is>
      </c>
      <c r="S100">
        <f>HYPERLINK("https://klasma.github.io/Logging_NYKOPING/artfynd/A 12891-2023.xlsx", "A 12891-2023")</f>
        <v/>
      </c>
      <c r="T100">
        <f>HYPERLINK("https://klasma.github.io/Logging_NYKOPING/kartor/A 12891-2023.png", "A 12891-2023")</f>
        <v/>
      </c>
      <c r="V100">
        <f>HYPERLINK("https://klasma.github.io/Logging_NYKOPING/klagomål/A 12891-2023.docx", "A 12891-2023")</f>
        <v/>
      </c>
      <c r="W100">
        <f>HYPERLINK("https://klasma.github.io/Logging_NYKOPING/klagomålsmail/A 12891-2023.docx", "A 12891-2023")</f>
        <v/>
      </c>
      <c r="X100">
        <f>HYPERLINK("https://klasma.github.io/Logging_NYKOPING/tillsyn/A 12891-2023.docx", "A 12891-2023")</f>
        <v/>
      </c>
      <c r="Y100">
        <f>HYPERLINK("https://klasma.github.io/Logging_NYKOPING/tillsynsmail/A 12891-2023.docx", "A 12891-2023")</f>
        <v/>
      </c>
    </row>
    <row r="101" ht="15" customHeight="1">
      <c r="A101" t="inlineStr">
        <is>
          <t>A 20325-2023</t>
        </is>
      </c>
      <c r="B101" s="1" t="n">
        <v>45056</v>
      </c>
      <c r="C101" s="1" t="n">
        <v>45192</v>
      </c>
      <c r="D101" t="inlineStr">
        <is>
          <t>SÖDERMANLANDS LÄN</t>
        </is>
      </c>
      <c r="E101" t="inlineStr">
        <is>
          <t>NYKÖPING</t>
        </is>
      </c>
      <c r="G101" t="n">
        <v>0.2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Kamjordstjärna</t>
        </is>
      </c>
      <c r="S101">
        <f>HYPERLINK("https://klasma.github.io/Logging_NYKOPING/artfynd/A 20325-2023.xlsx", "A 20325-2023")</f>
        <v/>
      </c>
      <c r="T101">
        <f>HYPERLINK("https://klasma.github.io/Logging_NYKOPING/kartor/A 20325-2023.png", "A 20325-2023")</f>
        <v/>
      </c>
      <c r="V101">
        <f>HYPERLINK("https://klasma.github.io/Logging_NYKOPING/klagomål/A 20325-2023.docx", "A 20325-2023")</f>
        <v/>
      </c>
      <c r="W101">
        <f>HYPERLINK("https://klasma.github.io/Logging_NYKOPING/klagomålsmail/A 20325-2023.docx", "A 20325-2023")</f>
        <v/>
      </c>
      <c r="X101">
        <f>HYPERLINK("https://klasma.github.io/Logging_NYKOPING/tillsyn/A 20325-2023.docx", "A 20325-2023")</f>
        <v/>
      </c>
      <c r="Y101">
        <f>HYPERLINK("https://klasma.github.io/Logging_NYKOPING/tillsynsmail/A 20325-2023.docx", "A 20325-2023")</f>
        <v/>
      </c>
    </row>
    <row r="102" ht="15" customHeight="1">
      <c r="A102" t="inlineStr">
        <is>
          <t>A 28542-2023</t>
        </is>
      </c>
      <c r="B102" s="1" t="n">
        <v>45103</v>
      </c>
      <c r="C102" s="1" t="n">
        <v>45192</v>
      </c>
      <c r="D102" t="inlineStr">
        <is>
          <t>SÖDERMANLANDS LÄN</t>
        </is>
      </c>
      <c r="E102" t="inlineStr">
        <is>
          <t>NYKÖPING</t>
        </is>
      </c>
      <c r="G102" t="n">
        <v>2.8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HYPERLINK("https://klasma.github.io/Logging_NYKOPING/artfynd/A 28542-2023.xlsx", "A 28542-2023")</f>
        <v/>
      </c>
      <c r="T102">
        <f>HYPERLINK("https://klasma.github.io/Logging_NYKOPING/kartor/A 28542-2023.png", "A 28542-2023")</f>
        <v/>
      </c>
      <c r="U102">
        <f>HYPERLINK("https://klasma.github.io/Logging_NYKOPING/knärot/A 28542-2023.png", "A 28542-2023")</f>
        <v/>
      </c>
      <c r="V102">
        <f>HYPERLINK("https://klasma.github.io/Logging_NYKOPING/klagomål/A 28542-2023.docx", "A 28542-2023")</f>
        <v/>
      </c>
      <c r="W102">
        <f>HYPERLINK("https://klasma.github.io/Logging_NYKOPING/klagomålsmail/A 28542-2023.docx", "A 28542-2023")</f>
        <v/>
      </c>
      <c r="X102">
        <f>HYPERLINK("https://klasma.github.io/Logging_NYKOPING/tillsyn/A 28542-2023.docx", "A 28542-2023")</f>
        <v/>
      </c>
      <c r="Y102">
        <f>HYPERLINK("https://klasma.github.io/Logging_NYKOPING/tillsynsmail/A 28542-2023.docx", "A 28542-2023")</f>
        <v/>
      </c>
    </row>
    <row r="103" ht="15" customHeight="1">
      <c r="A103" t="inlineStr">
        <is>
          <t>A 35122-2023</t>
        </is>
      </c>
      <c r="B103" s="1" t="n">
        <v>45145</v>
      </c>
      <c r="C103" s="1" t="n">
        <v>45192</v>
      </c>
      <c r="D103" t="inlineStr">
        <is>
          <t>SÖDERMANLANDS LÄN</t>
        </is>
      </c>
      <c r="E103" t="inlineStr">
        <is>
          <t>NYKÖPING</t>
        </is>
      </c>
      <c r="G103" t="n">
        <v>3.2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Blåsippa</t>
        </is>
      </c>
      <c r="S103">
        <f>HYPERLINK("https://klasma.github.io/Logging_NYKOPING/artfynd/A 35122-2023.xlsx", "A 35122-2023")</f>
        <v/>
      </c>
      <c r="T103">
        <f>HYPERLINK("https://klasma.github.io/Logging_NYKOPING/kartor/A 35122-2023.png", "A 35122-2023")</f>
        <v/>
      </c>
      <c r="V103">
        <f>HYPERLINK("https://klasma.github.io/Logging_NYKOPING/klagomål/A 35122-2023.docx", "A 35122-2023")</f>
        <v/>
      </c>
      <c r="W103">
        <f>HYPERLINK("https://klasma.github.io/Logging_NYKOPING/klagomålsmail/A 35122-2023.docx", "A 35122-2023")</f>
        <v/>
      </c>
      <c r="X103">
        <f>HYPERLINK("https://klasma.github.io/Logging_NYKOPING/tillsyn/A 35122-2023.docx", "A 35122-2023")</f>
        <v/>
      </c>
      <c r="Y103">
        <f>HYPERLINK("https://klasma.github.io/Logging_NYKOPING/tillsynsmail/A 35122-2023.docx", "A 35122-2023")</f>
        <v/>
      </c>
    </row>
    <row r="104" ht="15" customHeight="1">
      <c r="A104" t="inlineStr">
        <is>
          <t>A 39019-2023</t>
        </is>
      </c>
      <c r="B104" s="1" t="n">
        <v>45163</v>
      </c>
      <c r="C104" s="1" t="n">
        <v>45192</v>
      </c>
      <c r="D104" t="inlineStr">
        <is>
          <t>SÖDERMANLANDS LÄN</t>
        </is>
      </c>
      <c r="E104" t="inlineStr">
        <is>
          <t>NYKÖPING</t>
        </is>
      </c>
      <c r="F104" t="inlineStr">
        <is>
          <t>Kommuner</t>
        </is>
      </c>
      <c r="G104" t="n">
        <v>12.3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Mindre hackspett</t>
        </is>
      </c>
      <c r="S104">
        <f>HYPERLINK("https://klasma.github.io/Logging_NYKOPING/artfynd/A 39019-2023.xlsx", "A 39019-2023")</f>
        <v/>
      </c>
      <c r="T104">
        <f>HYPERLINK("https://klasma.github.io/Logging_NYKOPING/kartor/A 39019-2023.png", "A 39019-2023")</f>
        <v/>
      </c>
      <c r="V104">
        <f>HYPERLINK("https://klasma.github.io/Logging_NYKOPING/klagomål/A 39019-2023.docx", "A 39019-2023")</f>
        <v/>
      </c>
      <c r="W104">
        <f>HYPERLINK("https://klasma.github.io/Logging_NYKOPING/klagomålsmail/A 39019-2023.docx", "A 39019-2023")</f>
        <v/>
      </c>
      <c r="X104">
        <f>HYPERLINK("https://klasma.github.io/Logging_NYKOPING/tillsyn/A 39019-2023.docx", "A 39019-2023")</f>
        <v/>
      </c>
      <c r="Y104">
        <f>HYPERLINK("https://klasma.github.io/Logging_NYKOPING/tillsynsmail/A 39019-2023.docx", "A 39019-2023")</f>
        <v/>
      </c>
    </row>
    <row r="105" ht="15" customHeight="1">
      <c r="A105" t="inlineStr">
        <is>
          <t>A 38799-2018</t>
        </is>
      </c>
      <c r="B105" s="1" t="n">
        <v>43340</v>
      </c>
      <c r="C105" s="1" t="n">
        <v>45192</v>
      </c>
      <c r="D105" t="inlineStr">
        <is>
          <t>SÖDERMANLANDS LÄN</t>
        </is>
      </c>
      <c r="E105" t="inlineStr">
        <is>
          <t>NYKÖPING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40788-2018</t>
        </is>
      </c>
      <c r="B106" s="1" t="n">
        <v>43347</v>
      </c>
      <c r="C106" s="1" t="n">
        <v>45192</v>
      </c>
      <c r="D106" t="inlineStr">
        <is>
          <t>SÖDERMANLANDS LÄN</t>
        </is>
      </c>
      <c r="E106" t="inlineStr">
        <is>
          <t>NYKÖPING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41857-2018</t>
        </is>
      </c>
      <c r="B107" s="1" t="n">
        <v>43348</v>
      </c>
      <c r="C107" s="1" t="n">
        <v>45192</v>
      </c>
      <c r="D107" t="inlineStr">
        <is>
          <t>SÖDERMANLANDS LÄN</t>
        </is>
      </c>
      <c r="E107" t="inlineStr">
        <is>
          <t>NYKÖPING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43476-2018</t>
        </is>
      </c>
      <c r="B108" s="1" t="n">
        <v>43353</v>
      </c>
      <c r="C108" s="1" t="n">
        <v>45192</v>
      </c>
      <c r="D108" t="inlineStr">
        <is>
          <t>SÖDERMANLANDS LÄN</t>
        </is>
      </c>
      <c r="E108" t="inlineStr">
        <is>
          <t>NYKÖPING</t>
        </is>
      </c>
      <c r="G108" t="n">
        <v>10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47950-2018</t>
        </is>
      </c>
      <c r="B109" s="1" t="n">
        <v>43368</v>
      </c>
      <c r="C109" s="1" t="n">
        <v>45192</v>
      </c>
      <c r="D109" t="inlineStr">
        <is>
          <t>SÖDERMANLANDS LÄN</t>
        </is>
      </c>
      <c r="E109" t="inlineStr">
        <is>
          <t>NYKÖPING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48232-2018</t>
        </is>
      </c>
      <c r="B110" s="1" t="n">
        <v>43371</v>
      </c>
      <c r="C110" s="1" t="n">
        <v>45192</v>
      </c>
      <c r="D110" t="inlineStr">
        <is>
          <t>SÖDERMANLANDS LÄN</t>
        </is>
      </c>
      <c r="E110" t="inlineStr">
        <is>
          <t>NYKÖPING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49172-2018</t>
        </is>
      </c>
      <c r="B111" s="1" t="n">
        <v>43375</v>
      </c>
      <c r="C111" s="1" t="n">
        <v>45192</v>
      </c>
      <c r="D111" t="inlineStr">
        <is>
          <t>SÖDERMANLANDS LÄN</t>
        </is>
      </c>
      <c r="E111" t="inlineStr">
        <is>
          <t>NYKÖPING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52370-2018</t>
        </is>
      </c>
      <c r="B112" s="1" t="n">
        <v>43383</v>
      </c>
      <c r="C112" s="1" t="n">
        <v>45192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20.9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52356-2018</t>
        </is>
      </c>
      <c r="B113" s="1" t="n">
        <v>43383</v>
      </c>
      <c r="C113" s="1" t="n">
        <v>45192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54814-2018</t>
        </is>
      </c>
      <c r="B114" s="1" t="n">
        <v>43395</v>
      </c>
      <c r="C114" s="1" t="n">
        <v>45192</v>
      </c>
      <c r="D114" t="inlineStr">
        <is>
          <t>SÖDERMANLANDS LÄN</t>
        </is>
      </c>
      <c r="E114" t="inlineStr">
        <is>
          <t>NYKÖPING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54815-2018</t>
        </is>
      </c>
      <c r="B115" s="1" t="n">
        <v>43395</v>
      </c>
      <c r="C115" s="1" t="n">
        <v>45192</v>
      </c>
      <c r="D115" t="inlineStr">
        <is>
          <t>SÖDERMANLANDS LÄN</t>
        </is>
      </c>
      <c r="E115" t="inlineStr">
        <is>
          <t>NYKÖPING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57853-2018</t>
        </is>
      </c>
      <c r="B116" s="1" t="n">
        <v>43397</v>
      </c>
      <c r="C116" s="1" t="n">
        <v>45192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Kyrkan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62955-2018</t>
        </is>
      </c>
      <c r="B117" s="1" t="n">
        <v>43417</v>
      </c>
      <c r="C117" s="1" t="n">
        <v>45192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62958-2018</t>
        </is>
      </c>
      <c r="B118" s="1" t="n">
        <v>43417</v>
      </c>
      <c r="C118" s="1" t="n">
        <v>45192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Övriga Aktiebolag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63056-2018</t>
        </is>
      </c>
      <c r="B119" s="1" t="n">
        <v>43418</v>
      </c>
      <c r="C119" s="1" t="n">
        <v>45192</v>
      </c>
      <c r="D119" t="inlineStr">
        <is>
          <t>SÖDERMANLANDS LÄN</t>
        </is>
      </c>
      <c r="E119" t="inlineStr">
        <is>
          <t>NYKÖPING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63916-2018</t>
        </is>
      </c>
      <c r="B120" s="1" t="n">
        <v>43418</v>
      </c>
      <c r="C120" s="1" t="n">
        <v>45192</v>
      </c>
      <c r="D120" t="inlineStr">
        <is>
          <t>SÖDERMANLANDS LÄN</t>
        </is>
      </c>
      <c r="E120" t="inlineStr">
        <is>
          <t>NYKÖPING</t>
        </is>
      </c>
      <c r="F120" t="inlineStr">
        <is>
          <t>Allmännings- och besparingsskogar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59570-2018</t>
        </is>
      </c>
      <c r="B121" s="1" t="n">
        <v>43419</v>
      </c>
      <c r="C121" s="1" t="n">
        <v>45192</v>
      </c>
      <c r="D121" t="inlineStr">
        <is>
          <t>SÖDERMANLANDS LÄN</t>
        </is>
      </c>
      <c r="E121" t="inlineStr">
        <is>
          <t>NYKÖPING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59561-2018</t>
        </is>
      </c>
      <c r="B122" s="1" t="n">
        <v>43419</v>
      </c>
      <c r="C122" s="1" t="n">
        <v>45192</v>
      </c>
      <c r="D122" t="inlineStr">
        <is>
          <t>SÖDERMANLANDS LÄN</t>
        </is>
      </c>
      <c r="E122" t="inlineStr">
        <is>
          <t>NYKÖPING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61053-2018</t>
        </is>
      </c>
      <c r="B123" s="1" t="n">
        <v>43423</v>
      </c>
      <c r="C123" s="1" t="n">
        <v>45192</v>
      </c>
      <c r="D123" t="inlineStr">
        <is>
          <t>SÖDERMANLANDS LÄN</t>
        </is>
      </c>
      <c r="E123" t="inlineStr">
        <is>
          <t>NYKÖPING</t>
        </is>
      </c>
      <c r="G123" t="n">
        <v>5.6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61379-2018</t>
        </is>
      </c>
      <c r="B124" s="1" t="n">
        <v>43424</v>
      </c>
      <c r="C124" s="1" t="n">
        <v>45192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Övriga Aktiebolag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65623-2018</t>
        </is>
      </c>
      <c r="B125" s="1" t="n">
        <v>43425</v>
      </c>
      <c r="C125" s="1" t="n">
        <v>45192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67254-2018</t>
        </is>
      </c>
      <c r="B126" s="1" t="n">
        <v>43432</v>
      </c>
      <c r="C126" s="1" t="n">
        <v>45192</v>
      </c>
      <c r="D126" t="inlineStr">
        <is>
          <t>SÖDERMANLANDS LÄN</t>
        </is>
      </c>
      <c r="E126" t="inlineStr">
        <is>
          <t>NYKÖPING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67283-2018</t>
        </is>
      </c>
      <c r="B127" s="1" t="n">
        <v>43432</v>
      </c>
      <c r="C127" s="1" t="n">
        <v>45192</v>
      </c>
      <c r="D127" t="inlineStr">
        <is>
          <t>SÖDERMANLANDS LÄN</t>
        </is>
      </c>
      <c r="E127" t="inlineStr">
        <is>
          <t>NYKÖPING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67285-2018</t>
        </is>
      </c>
      <c r="B128" s="1" t="n">
        <v>43432</v>
      </c>
      <c r="C128" s="1" t="n">
        <v>45192</v>
      </c>
      <c r="D128" t="inlineStr">
        <is>
          <t>SÖDERMANLANDS LÄN</t>
        </is>
      </c>
      <c r="E128" t="inlineStr">
        <is>
          <t>NYKÖPING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67276-2018</t>
        </is>
      </c>
      <c r="B129" s="1" t="n">
        <v>43432</v>
      </c>
      <c r="C129" s="1" t="n">
        <v>45192</v>
      </c>
      <c r="D129" t="inlineStr">
        <is>
          <t>SÖDERMANLANDS LÄN</t>
        </is>
      </c>
      <c r="E129" t="inlineStr">
        <is>
          <t>NYKÖPING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66165-2018</t>
        </is>
      </c>
      <c r="B130" s="1" t="n">
        <v>43434</v>
      </c>
      <c r="C130" s="1" t="n">
        <v>45192</v>
      </c>
      <c r="D130" t="inlineStr">
        <is>
          <t>SÖDERMANLANDS LÄN</t>
        </is>
      </c>
      <c r="E130" t="inlineStr">
        <is>
          <t>NYKÖPING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66166-2018</t>
        </is>
      </c>
      <c r="B131" s="1" t="n">
        <v>43434</v>
      </c>
      <c r="C131" s="1" t="n">
        <v>45192</v>
      </c>
      <c r="D131" t="inlineStr">
        <is>
          <t>SÖDERMANLANDS LÄN</t>
        </is>
      </c>
      <c r="E131" t="inlineStr">
        <is>
          <t>NYKÖPING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67053-2018</t>
        </is>
      </c>
      <c r="B132" s="1" t="n">
        <v>43438</v>
      </c>
      <c r="C132" s="1" t="n">
        <v>45192</v>
      </c>
      <c r="D132" t="inlineStr">
        <is>
          <t>SÖDERMANLANDS LÄN</t>
        </is>
      </c>
      <c r="E132" t="inlineStr">
        <is>
          <t>NYKÖPING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68268-2018</t>
        </is>
      </c>
      <c r="B133" s="1" t="n">
        <v>43441</v>
      </c>
      <c r="C133" s="1" t="n">
        <v>45192</v>
      </c>
      <c r="D133" t="inlineStr">
        <is>
          <t>SÖDERMANLANDS LÄN</t>
        </is>
      </c>
      <c r="E133" t="inlineStr">
        <is>
          <t>NYKÖPING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68192-2018</t>
        </is>
      </c>
      <c r="B134" s="1" t="n">
        <v>43441</v>
      </c>
      <c r="C134" s="1" t="n">
        <v>45192</v>
      </c>
      <c r="D134" t="inlineStr">
        <is>
          <t>SÖDERMANLANDS LÄN</t>
        </is>
      </c>
      <c r="E134" t="inlineStr">
        <is>
          <t>NYKÖPING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71086-2018</t>
        </is>
      </c>
      <c r="B135" s="1" t="n">
        <v>43452</v>
      </c>
      <c r="C135" s="1" t="n">
        <v>45192</v>
      </c>
      <c r="D135" t="inlineStr">
        <is>
          <t>SÖDERMANLANDS LÄN</t>
        </is>
      </c>
      <c r="E135" t="inlineStr">
        <is>
          <t>NYKÖPING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71087-2018</t>
        </is>
      </c>
      <c r="B136" s="1" t="n">
        <v>43452</v>
      </c>
      <c r="C136" s="1" t="n">
        <v>45192</v>
      </c>
      <c r="D136" t="inlineStr">
        <is>
          <t>SÖDERMANLANDS LÄN</t>
        </is>
      </c>
      <c r="E136" t="inlineStr">
        <is>
          <t>NYKÖPING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71331-2018</t>
        </is>
      </c>
      <c r="B137" s="1" t="n">
        <v>43453</v>
      </c>
      <c r="C137" s="1" t="n">
        <v>45192</v>
      </c>
      <c r="D137" t="inlineStr">
        <is>
          <t>SÖDERMANLANDS LÄN</t>
        </is>
      </c>
      <c r="E137" t="inlineStr">
        <is>
          <t>NYKÖPING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1630-2019</t>
        </is>
      </c>
      <c r="B138" s="1" t="n">
        <v>43461</v>
      </c>
      <c r="C138" s="1" t="n">
        <v>45192</v>
      </c>
      <c r="D138" t="inlineStr">
        <is>
          <t>SÖDERMANLANDS LÄN</t>
        </is>
      </c>
      <c r="E138" t="inlineStr">
        <is>
          <t>NYKÖPING</t>
        </is>
      </c>
      <c r="F138" t="inlineStr">
        <is>
          <t>Allmännings- och besparingsskogar</t>
        </is>
      </c>
      <c r="G138" t="n">
        <v>31.1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205-2019</t>
        </is>
      </c>
      <c r="B139" s="1" t="n">
        <v>43467</v>
      </c>
      <c r="C139" s="1" t="n">
        <v>45192</v>
      </c>
      <c r="D139" t="inlineStr">
        <is>
          <t>SÖDERMANLANDS LÄN</t>
        </is>
      </c>
      <c r="E139" t="inlineStr">
        <is>
          <t>NYKÖPING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892-2019</t>
        </is>
      </c>
      <c r="B140" s="1" t="n">
        <v>43472</v>
      </c>
      <c r="C140" s="1" t="n">
        <v>45192</v>
      </c>
      <c r="D140" t="inlineStr">
        <is>
          <t>SÖDERMANLANDS LÄN</t>
        </is>
      </c>
      <c r="E140" t="inlineStr">
        <is>
          <t>NYKÖPING</t>
        </is>
      </c>
      <c r="G140" t="n">
        <v>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1781-2019</t>
        </is>
      </c>
      <c r="B141" s="1" t="n">
        <v>43474</v>
      </c>
      <c r="C141" s="1" t="n">
        <v>45192</v>
      </c>
      <c r="D141" t="inlineStr">
        <is>
          <t>SÖDERMANLANDS LÄN</t>
        </is>
      </c>
      <c r="E141" t="inlineStr">
        <is>
          <t>NYKÖPING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4609-2019</t>
        </is>
      </c>
      <c r="B142" s="1" t="n">
        <v>43486</v>
      </c>
      <c r="C142" s="1" t="n">
        <v>45192</v>
      </c>
      <c r="D142" t="inlineStr">
        <is>
          <t>SÖDERMANLANDS LÄN</t>
        </is>
      </c>
      <c r="E142" t="inlineStr">
        <is>
          <t>NYKÖPING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6786-2019</t>
        </is>
      </c>
      <c r="B143" s="1" t="n">
        <v>43488</v>
      </c>
      <c r="C143" s="1" t="n">
        <v>45192</v>
      </c>
      <c r="D143" t="inlineStr">
        <is>
          <t>SÖDERMANLANDS LÄN</t>
        </is>
      </c>
      <c r="E143" t="inlineStr">
        <is>
          <t>NYKÖPING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5558-2019</t>
        </is>
      </c>
      <c r="B144" s="1" t="n">
        <v>43489</v>
      </c>
      <c r="C144" s="1" t="n">
        <v>45192</v>
      </c>
      <c r="D144" t="inlineStr">
        <is>
          <t>SÖDERMANLANDS LÄN</t>
        </is>
      </c>
      <c r="E144" t="inlineStr">
        <is>
          <t>NYKÖPING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5564-2019</t>
        </is>
      </c>
      <c r="B145" s="1" t="n">
        <v>43489</v>
      </c>
      <c r="C145" s="1" t="n">
        <v>45192</v>
      </c>
      <c r="D145" t="inlineStr">
        <is>
          <t>SÖDERMANLANDS LÄN</t>
        </is>
      </c>
      <c r="E145" t="inlineStr">
        <is>
          <t>NYKÖPING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6351-2019</t>
        </is>
      </c>
      <c r="B146" s="1" t="n">
        <v>43493</v>
      </c>
      <c r="C146" s="1" t="n">
        <v>45192</v>
      </c>
      <c r="D146" t="inlineStr">
        <is>
          <t>SÖDERMANLANDS LÄN</t>
        </is>
      </c>
      <c r="E146" t="inlineStr">
        <is>
          <t>NYKÖPING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7172-2019</t>
        </is>
      </c>
      <c r="B147" s="1" t="n">
        <v>43496</v>
      </c>
      <c r="C147" s="1" t="n">
        <v>45192</v>
      </c>
      <c r="D147" t="inlineStr">
        <is>
          <t>SÖDERMANLANDS LÄN</t>
        </is>
      </c>
      <c r="E147" t="inlineStr">
        <is>
          <t>NYKÖPING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7532-2019</t>
        </is>
      </c>
      <c r="B148" s="1" t="n">
        <v>43497</v>
      </c>
      <c r="C148" s="1" t="n">
        <v>45192</v>
      </c>
      <c r="D148" t="inlineStr">
        <is>
          <t>SÖDERMANLANDS LÄN</t>
        </is>
      </c>
      <c r="E148" t="inlineStr">
        <is>
          <t>NYKÖPING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7914-2019</t>
        </is>
      </c>
      <c r="B149" s="1" t="n">
        <v>43501</v>
      </c>
      <c r="C149" s="1" t="n">
        <v>45192</v>
      </c>
      <c r="D149" t="inlineStr">
        <is>
          <t>SÖDERMANLANDS LÄN</t>
        </is>
      </c>
      <c r="E149" t="inlineStr">
        <is>
          <t>NYKÖPING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7920-2019</t>
        </is>
      </c>
      <c r="B150" s="1" t="n">
        <v>43501</v>
      </c>
      <c r="C150" s="1" t="n">
        <v>45192</v>
      </c>
      <c r="D150" t="inlineStr">
        <is>
          <t>SÖDERMANLANDS LÄN</t>
        </is>
      </c>
      <c r="E150" t="inlineStr">
        <is>
          <t>NYKÖPING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7913-2019</t>
        </is>
      </c>
      <c r="B151" s="1" t="n">
        <v>43501</v>
      </c>
      <c r="C151" s="1" t="n">
        <v>45192</v>
      </c>
      <c r="D151" t="inlineStr">
        <is>
          <t>SÖDERMANLANDS LÄN</t>
        </is>
      </c>
      <c r="E151" t="inlineStr">
        <is>
          <t>NYKÖPING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7927-2019</t>
        </is>
      </c>
      <c r="B152" s="1" t="n">
        <v>43501</v>
      </c>
      <c r="C152" s="1" t="n">
        <v>45192</v>
      </c>
      <c r="D152" t="inlineStr">
        <is>
          <t>SÖDERMANLANDS LÄN</t>
        </is>
      </c>
      <c r="E152" t="inlineStr">
        <is>
          <t>NYKÖPING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9419-2019</t>
        </is>
      </c>
      <c r="B153" s="1" t="n">
        <v>43507</v>
      </c>
      <c r="C153" s="1" t="n">
        <v>45192</v>
      </c>
      <c r="D153" t="inlineStr">
        <is>
          <t>SÖDERMANLANDS LÄN</t>
        </is>
      </c>
      <c r="E153" t="inlineStr">
        <is>
          <t>NYKÖPING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10813-2019</t>
        </is>
      </c>
      <c r="B154" s="1" t="n">
        <v>43514</v>
      </c>
      <c r="C154" s="1" t="n">
        <v>45192</v>
      </c>
      <c r="D154" t="inlineStr">
        <is>
          <t>SÖDERMANLANDS LÄN</t>
        </is>
      </c>
      <c r="E154" t="inlineStr">
        <is>
          <t>NYKÖPING</t>
        </is>
      </c>
      <c r="G154" t="n">
        <v>13.2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11019-2019</t>
        </is>
      </c>
      <c r="B155" s="1" t="n">
        <v>43515</v>
      </c>
      <c r="C155" s="1" t="n">
        <v>45192</v>
      </c>
      <c r="D155" t="inlineStr">
        <is>
          <t>SÖDERMANLANDS LÄN</t>
        </is>
      </c>
      <c r="E155" t="inlineStr">
        <is>
          <t>NYKÖPING</t>
        </is>
      </c>
      <c r="G155" t="n">
        <v>7.8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11087-2019</t>
        </is>
      </c>
      <c r="B156" s="1" t="n">
        <v>43516</v>
      </c>
      <c r="C156" s="1" t="n">
        <v>45192</v>
      </c>
      <c r="D156" t="inlineStr">
        <is>
          <t>SÖDERMANLANDS LÄN</t>
        </is>
      </c>
      <c r="E156" t="inlineStr">
        <is>
          <t>NYKÖPING</t>
        </is>
      </c>
      <c r="G156" t="n">
        <v>13.9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11846-2019</t>
        </is>
      </c>
      <c r="B157" s="1" t="n">
        <v>43521</v>
      </c>
      <c r="C157" s="1" t="n">
        <v>45192</v>
      </c>
      <c r="D157" t="inlineStr">
        <is>
          <t>SÖDERMANLANDS LÄN</t>
        </is>
      </c>
      <c r="E157" t="inlineStr">
        <is>
          <t>NYKÖPING</t>
        </is>
      </c>
      <c r="G157" t="n">
        <v>11.9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12205-2019</t>
        </is>
      </c>
      <c r="B158" s="1" t="n">
        <v>43522</v>
      </c>
      <c r="C158" s="1" t="n">
        <v>45192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Holmen skog AB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12304-2019</t>
        </is>
      </c>
      <c r="B159" s="1" t="n">
        <v>43523</v>
      </c>
      <c r="C159" s="1" t="n">
        <v>45192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12374-2019</t>
        </is>
      </c>
      <c r="B160" s="1" t="n">
        <v>43523</v>
      </c>
      <c r="C160" s="1" t="n">
        <v>45192</v>
      </c>
      <c r="D160" t="inlineStr">
        <is>
          <t>SÖDERMANLANDS LÄN</t>
        </is>
      </c>
      <c r="E160" t="inlineStr">
        <is>
          <t>NYKÖPING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12880-2019</t>
        </is>
      </c>
      <c r="B161" s="1" t="n">
        <v>43525</v>
      </c>
      <c r="C161" s="1" t="n">
        <v>45192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24.1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12890-2019</t>
        </is>
      </c>
      <c r="B162" s="1" t="n">
        <v>43525</v>
      </c>
      <c r="C162" s="1" t="n">
        <v>45192</v>
      </c>
      <c r="D162" t="inlineStr">
        <is>
          <t>SÖDERMANLANDS LÄN</t>
        </is>
      </c>
      <c r="E162" t="inlineStr">
        <is>
          <t>NYKÖPING</t>
        </is>
      </c>
      <c r="F162" t="inlineStr">
        <is>
          <t>Kyrkan</t>
        </is>
      </c>
      <c r="G162" t="n">
        <v>9.300000000000001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13001-2019</t>
        </is>
      </c>
      <c r="B163" s="1" t="n">
        <v>43528</v>
      </c>
      <c r="C163" s="1" t="n">
        <v>45192</v>
      </c>
      <c r="D163" t="inlineStr">
        <is>
          <t>SÖDERMANLANDS LÄN</t>
        </is>
      </c>
      <c r="E163" t="inlineStr">
        <is>
          <t>NYKÖPING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13201-2019</t>
        </is>
      </c>
      <c r="B164" s="1" t="n">
        <v>43528</v>
      </c>
      <c r="C164" s="1" t="n">
        <v>45192</v>
      </c>
      <c r="D164" t="inlineStr">
        <is>
          <t>SÖDERMANLANDS LÄN</t>
        </is>
      </c>
      <c r="E164" t="inlineStr">
        <is>
          <t>NYKÖPING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15024-2019</t>
        </is>
      </c>
      <c r="B165" s="1" t="n">
        <v>43537</v>
      </c>
      <c r="C165" s="1" t="n">
        <v>45192</v>
      </c>
      <c r="D165" t="inlineStr">
        <is>
          <t>SÖDERMANLANDS LÄN</t>
        </is>
      </c>
      <c r="E165" t="inlineStr">
        <is>
          <t>NYKÖPING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15166-2019</t>
        </is>
      </c>
      <c r="B166" s="1" t="n">
        <v>43538</v>
      </c>
      <c r="C166" s="1" t="n">
        <v>45192</v>
      </c>
      <c r="D166" t="inlineStr">
        <is>
          <t>SÖDERMANLANDS LÄN</t>
        </is>
      </c>
      <c r="E166" t="inlineStr">
        <is>
          <t>NYKÖPING</t>
        </is>
      </c>
      <c r="G166" t="n">
        <v>5.7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15149-2019</t>
        </is>
      </c>
      <c r="B167" s="1" t="n">
        <v>43538</v>
      </c>
      <c r="C167" s="1" t="n">
        <v>45192</v>
      </c>
      <c r="D167" t="inlineStr">
        <is>
          <t>SÖDERMANLANDS LÄN</t>
        </is>
      </c>
      <c r="E167" t="inlineStr">
        <is>
          <t>NYKÖPING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15172-2019</t>
        </is>
      </c>
      <c r="B168" s="1" t="n">
        <v>43538</v>
      </c>
      <c r="C168" s="1" t="n">
        <v>45192</v>
      </c>
      <c r="D168" t="inlineStr">
        <is>
          <t>SÖDERMANLANDS LÄN</t>
        </is>
      </c>
      <c r="E168" t="inlineStr">
        <is>
          <t>NYKÖPING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15144-2019</t>
        </is>
      </c>
      <c r="B169" s="1" t="n">
        <v>43538</v>
      </c>
      <c r="C169" s="1" t="n">
        <v>45192</v>
      </c>
      <c r="D169" t="inlineStr">
        <is>
          <t>SÖDERMANLANDS LÄN</t>
        </is>
      </c>
      <c r="E169" t="inlineStr">
        <is>
          <t>NYKÖPING</t>
        </is>
      </c>
      <c r="G169" t="n">
        <v>10.6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14350-2019</t>
        </is>
      </c>
      <c r="B170" s="1" t="n">
        <v>43538</v>
      </c>
      <c r="C170" s="1" t="n">
        <v>45192</v>
      </c>
      <c r="D170" t="inlineStr">
        <is>
          <t>SÖDERMANLANDS LÄN</t>
        </is>
      </c>
      <c r="E170" t="inlineStr">
        <is>
          <t>NYKÖPING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15536-2019</t>
        </is>
      </c>
      <c r="B171" s="1" t="n">
        <v>43542</v>
      </c>
      <c r="C171" s="1" t="n">
        <v>45192</v>
      </c>
      <c r="D171" t="inlineStr">
        <is>
          <t>SÖDERMANLANDS LÄN</t>
        </is>
      </c>
      <c r="E171" t="inlineStr">
        <is>
          <t>NYKÖPING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15207-2019</t>
        </is>
      </c>
      <c r="B172" s="1" t="n">
        <v>43542</v>
      </c>
      <c r="C172" s="1" t="n">
        <v>45192</v>
      </c>
      <c r="D172" t="inlineStr">
        <is>
          <t>SÖDERMANLANDS LÄN</t>
        </is>
      </c>
      <c r="E172" t="inlineStr">
        <is>
          <t>NYKÖPING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15681-2019</t>
        </is>
      </c>
      <c r="B173" s="1" t="n">
        <v>43543</v>
      </c>
      <c r="C173" s="1" t="n">
        <v>45192</v>
      </c>
      <c r="D173" t="inlineStr">
        <is>
          <t>SÖDERMANLANDS LÄN</t>
        </is>
      </c>
      <c r="E173" t="inlineStr">
        <is>
          <t>NYKÖPING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16116-2019</t>
        </is>
      </c>
      <c r="B174" s="1" t="n">
        <v>43544</v>
      </c>
      <c r="C174" s="1" t="n">
        <v>45192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16105-2019</t>
        </is>
      </c>
      <c r="B175" s="1" t="n">
        <v>43544</v>
      </c>
      <c r="C175" s="1" t="n">
        <v>45192</v>
      </c>
      <c r="D175" t="inlineStr">
        <is>
          <t>SÖDERMANLANDS LÄN</t>
        </is>
      </c>
      <c r="E175" t="inlineStr">
        <is>
          <t>NYKÖPING</t>
        </is>
      </c>
      <c r="F175" t="inlineStr">
        <is>
          <t>Holmen skog AB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16226-2019</t>
        </is>
      </c>
      <c r="B176" s="1" t="n">
        <v>43545</v>
      </c>
      <c r="C176" s="1" t="n">
        <v>45192</v>
      </c>
      <c r="D176" t="inlineStr">
        <is>
          <t>SÖDERMANLANDS LÄN</t>
        </is>
      </c>
      <c r="E176" t="inlineStr">
        <is>
          <t>NYKÖPING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16595-2019</t>
        </is>
      </c>
      <c r="B177" s="1" t="n">
        <v>43546</v>
      </c>
      <c r="C177" s="1" t="n">
        <v>45192</v>
      </c>
      <c r="D177" t="inlineStr">
        <is>
          <t>SÖDERMANLANDS LÄN</t>
        </is>
      </c>
      <c r="E177" t="inlineStr">
        <is>
          <t>NYKÖPING</t>
        </is>
      </c>
      <c r="G177" t="n">
        <v>5.4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17434-2019</t>
        </is>
      </c>
      <c r="B178" s="1" t="n">
        <v>43553</v>
      </c>
      <c r="C178" s="1" t="n">
        <v>45192</v>
      </c>
      <c r="D178" t="inlineStr">
        <is>
          <t>SÖDERMANLANDS LÄN</t>
        </is>
      </c>
      <c r="E178" t="inlineStr">
        <is>
          <t>NYKÖPING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17423-2019</t>
        </is>
      </c>
      <c r="B179" s="1" t="n">
        <v>43553</v>
      </c>
      <c r="C179" s="1" t="n">
        <v>45192</v>
      </c>
      <c r="D179" t="inlineStr">
        <is>
          <t>SÖDERMANLANDS LÄN</t>
        </is>
      </c>
      <c r="E179" t="inlineStr">
        <is>
          <t>NYKÖPING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17436-2019</t>
        </is>
      </c>
      <c r="B180" s="1" t="n">
        <v>43553</v>
      </c>
      <c r="C180" s="1" t="n">
        <v>45192</v>
      </c>
      <c r="D180" t="inlineStr">
        <is>
          <t>SÖDERMANLANDS LÄN</t>
        </is>
      </c>
      <c r="E180" t="inlineStr">
        <is>
          <t>NYKÖPING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17815-2019</t>
        </is>
      </c>
      <c r="B181" s="1" t="n">
        <v>43556</v>
      </c>
      <c r="C181" s="1" t="n">
        <v>45192</v>
      </c>
      <c r="D181" t="inlineStr">
        <is>
          <t>SÖDERMANLANDS LÄN</t>
        </is>
      </c>
      <c r="E181" t="inlineStr">
        <is>
          <t>NYKÖPING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17823-2019</t>
        </is>
      </c>
      <c r="B182" s="1" t="n">
        <v>43556</v>
      </c>
      <c r="C182" s="1" t="n">
        <v>45192</v>
      </c>
      <c r="D182" t="inlineStr">
        <is>
          <t>SÖDERMANLANDS LÄN</t>
        </is>
      </c>
      <c r="E182" t="inlineStr">
        <is>
          <t>NYKÖPING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17818-2019</t>
        </is>
      </c>
      <c r="B183" s="1" t="n">
        <v>43556</v>
      </c>
      <c r="C183" s="1" t="n">
        <v>45192</v>
      </c>
      <c r="D183" t="inlineStr">
        <is>
          <t>SÖDERMANLANDS LÄN</t>
        </is>
      </c>
      <c r="E183" t="inlineStr">
        <is>
          <t>NYKÖPING</t>
        </is>
      </c>
      <c r="G183" t="n">
        <v>9.9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18334-2019</t>
        </is>
      </c>
      <c r="B184" s="1" t="n">
        <v>43558</v>
      </c>
      <c r="C184" s="1" t="n">
        <v>45192</v>
      </c>
      <c r="D184" t="inlineStr">
        <is>
          <t>SÖDERMANLANDS LÄN</t>
        </is>
      </c>
      <c r="E184" t="inlineStr">
        <is>
          <t>NYKÖPING</t>
        </is>
      </c>
      <c r="G184" t="n">
        <v>13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18740-2019</t>
        </is>
      </c>
      <c r="B185" s="1" t="n">
        <v>43560</v>
      </c>
      <c r="C185" s="1" t="n">
        <v>45192</v>
      </c>
      <c r="D185" t="inlineStr">
        <is>
          <t>SÖDERMANLANDS LÄN</t>
        </is>
      </c>
      <c r="E185" t="inlineStr">
        <is>
          <t>NYKÖPING</t>
        </is>
      </c>
      <c r="F185" t="inlineStr">
        <is>
          <t>Sveaskog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18793-2019</t>
        </is>
      </c>
      <c r="B186" s="1" t="n">
        <v>43562</v>
      </c>
      <c r="C186" s="1" t="n">
        <v>45192</v>
      </c>
      <c r="D186" t="inlineStr">
        <is>
          <t>SÖDERMANLANDS LÄN</t>
        </is>
      </c>
      <c r="E186" t="inlineStr">
        <is>
          <t>NYKÖPING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18786-2019</t>
        </is>
      </c>
      <c r="B187" s="1" t="n">
        <v>43562</v>
      </c>
      <c r="C187" s="1" t="n">
        <v>45192</v>
      </c>
      <c r="D187" t="inlineStr">
        <is>
          <t>SÖDERMANLANDS LÄN</t>
        </is>
      </c>
      <c r="E187" t="inlineStr">
        <is>
          <t>NYKÖPING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19476-2019</t>
        </is>
      </c>
      <c r="B188" s="1" t="n">
        <v>43565</v>
      </c>
      <c r="C188" s="1" t="n">
        <v>45192</v>
      </c>
      <c r="D188" t="inlineStr">
        <is>
          <t>SÖDERMANLANDS LÄN</t>
        </is>
      </c>
      <c r="E188" t="inlineStr">
        <is>
          <t>NYKÖPING</t>
        </is>
      </c>
      <c r="G188" t="n">
        <v>7.5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19511-2019</t>
        </is>
      </c>
      <c r="B189" s="1" t="n">
        <v>43565</v>
      </c>
      <c r="C189" s="1" t="n">
        <v>45192</v>
      </c>
      <c r="D189" t="inlineStr">
        <is>
          <t>SÖDERMANLANDS LÄN</t>
        </is>
      </c>
      <c r="E189" t="inlineStr">
        <is>
          <t>NYKÖPING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19427-2019</t>
        </is>
      </c>
      <c r="B190" s="1" t="n">
        <v>43565</v>
      </c>
      <c r="C190" s="1" t="n">
        <v>45192</v>
      </c>
      <c r="D190" t="inlineStr">
        <is>
          <t>SÖDERMANLANDS LÄN</t>
        </is>
      </c>
      <c r="E190" t="inlineStr">
        <is>
          <t>NYKÖPING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19469-2019</t>
        </is>
      </c>
      <c r="B191" s="1" t="n">
        <v>43565</v>
      </c>
      <c r="C191" s="1" t="n">
        <v>45192</v>
      </c>
      <c r="D191" t="inlineStr">
        <is>
          <t>SÖDERMANLANDS LÄN</t>
        </is>
      </c>
      <c r="E191" t="inlineStr">
        <is>
          <t>NYKÖPING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19692-2019</t>
        </is>
      </c>
      <c r="B192" s="1" t="n">
        <v>43566</v>
      </c>
      <c r="C192" s="1" t="n">
        <v>45192</v>
      </c>
      <c r="D192" t="inlineStr">
        <is>
          <t>SÖDERMANLANDS LÄN</t>
        </is>
      </c>
      <c r="E192" t="inlineStr">
        <is>
          <t>NYKÖPING</t>
        </is>
      </c>
      <c r="F192" t="inlineStr">
        <is>
          <t>Kyrkan</t>
        </is>
      </c>
      <c r="G192" t="n">
        <v>9.199999999999999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19980-2019</t>
        </is>
      </c>
      <c r="B193" s="1" t="n">
        <v>43570</v>
      </c>
      <c r="C193" s="1" t="n">
        <v>45192</v>
      </c>
      <c r="D193" t="inlineStr">
        <is>
          <t>SÖDERMANLANDS LÄN</t>
        </is>
      </c>
      <c r="E193" t="inlineStr">
        <is>
          <t>NYKÖPING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21585-2019</t>
        </is>
      </c>
      <c r="B194" s="1" t="n">
        <v>43580</v>
      </c>
      <c r="C194" s="1" t="n">
        <v>45192</v>
      </c>
      <c r="D194" t="inlineStr">
        <is>
          <t>SÖDERMANLANDS LÄN</t>
        </is>
      </c>
      <c r="E194" t="inlineStr">
        <is>
          <t>NYKÖPING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21694-2019</t>
        </is>
      </c>
      <c r="B195" s="1" t="n">
        <v>43581</v>
      </c>
      <c r="C195" s="1" t="n">
        <v>45192</v>
      </c>
      <c r="D195" t="inlineStr">
        <is>
          <t>SÖDERMANLANDS LÄN</t>
        </is>
      </c>
      <c r="E195" t="inlineStr">
        <is>
          <t>NYKÖPING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23053-2019</t>
        </is>
      </c>
      <c r="B196" s="1" t="n">
        <v>43591</v>
      </c>
      <c r="C196" s="1" t="n">
        <v>45192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23055-2019</t>
        </is>
      </c>
      <c r="B197" s="1" t="n">
        <v>43591</v>
      </c>
      <c r="C197" s="1" t="n">
        <v>45192</v>
      </c>
      <c r="D197" t="inlineStr">
        <is>
          <t>SÖDERMANLANDS LÄN</t>
        </is>
      </c>
      <c r="E197" t="inlineStr">
        <is>
          <t>NYKÖPING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23553-2019</t>
        </is>
      </c>
      <c r="B198" s="1" t="n">
        <v>43594</v>
      </c>
      <c r="C198" s="1" t="n">
        <v>45192</v>
      </c>
      <c r="D198" t="inlineStr">
        <is>
          <t>SÖDERMANLANDS LÄN</t>
        </is>
      </c>
      <c r="E198" t="inlineStr">
        <is>
          <t>NYKÖPING</t>
        </is>
      </c>
      <c r="F198" t="inlineStr">
        <is>
          <t>Sveaskog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24069-2019</t>
        </is>
      </c>
      <c r="B199" s="1" t="n">
        <v>43598</v>
      </c>
      <c r="C199" s="1" t="n">
        <v>45192</v>
      </c>
      <c r="D199" t="inlineStr">
        <is>
          <t>SÖDERMANLANDS LÄN</t>
        </is>
      </c>
      <c r="E199" t="inlineStr">
        <is>
          <t>NYKÖPING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24368-2019</t>
        </is>
      </c>
      <c r="B200" s="1" t="n">
        <v>43599</v>
      </c>
      <c r="C200" s="1" t="n">
        <v>45192</v>
      </c>
      <c r="D200" t="inlineStr">
        <is>
          <t>SÖDERMANLANDS LÄN</t>
        </is>
      </c>
      <c r="E200" t="inlineStr">
        <is>
          <t>NYKÖPING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24622-2019</t>
        </is>
      </c>
      <c r="B201" s="1" t="n">
        <v>43601</v>
      </c>
      <c r="C201" s="1" t="n">
        <v>45192</v>
      </c>
      <c r="D201" t="inlineStr">
        <is>
          <t>SÖDERMANLANDS LÄN</t>
        </is>
      </c>
      <c r="E201" t="inlineStr">
        <is>
          <t>NYKÖPING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24616-2019</t>
        </is>
      </c>
      <c r="B202" s="1" t="n">
        <v>43601</v>
      </c>
      <c r="C202" s="1" t="n">
        <v>45192</v>
      </c>
      <c r="D202" t="inlineStr">
        <is>
          <t>SÖDERMANLANDS LÄN</t>
        </is>
      </c>
      <c r="E202" t="inlineStr">
        <is>
          <t>NYKÖPING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26542-2019</t>
        </is>
      </c>
      <c r="B203" s="1" t="n">
        <v>43612</v>
      </c>
      <c r="C203" s="1" t="n">
        <v>45192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Kommuner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27545-2019</t>
        </is>
      </c>
      <c r="B204" s="1" t="n">
        <v>43619</v>
      </c>
      <c r="C204" s="1" t="n">
        <v>45192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6.1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28025-2019</t>
        </is>
      </c>
      <c r="B205" s="1" t="n">
        <v>43621</v>
      </c>
      <c r="C205" s="1" t="n">
        <v>45192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28029-2019</t>
        </is>
      </c>
      <c r="B206" s="1" t="n">
        <v>43621</v>
      </c>
      <c r="C206" s="1" t="n">
        <v>45192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28035-2019</t>
        </is>
      </c>
      <c r="B207" s="1" t="n">
        <v>43621</v>
      </c>
      <c r="C207" s="1" t="n">
        <v>45192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Övriga Aktiebolag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28568-2019</t>
        </is>
      </c>
      <c r="B208" s="1" t="n">
        <v>43626</v>
      </c>
      <c r="C208" s="1" t="n">
        <v>45192</v>
      </c>
      <c r="D208" t="inlineStr">
        <is>
          <t>SÖDERMANLANDS LÄN</t>
        </is>
      </c>
      <c r="E208" t="inlineStr">
        <is>
          <t>NYKÖPING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28401-2019</t>
        </is>
      </c>
      <c r="B209" s="1" t="n">
        <v>43626</v>
      </c>
      <c r="C209" s="1" t="n">
        <v>45192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28405-2019</t>
        </is>
      </c>
      <c r="B210" s="1" t="n">
        <v>43626</v>
      </c>
      <c r="C210" s="1" t="n">
        <v>45192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28400-2019</t>
        </is>
      </c>
      <c r="B211" s="1" t="n">
        <v>43626</v>
      </c>
      <c r="C211" s="1" t="n">
        <v>45192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28404-2019</t>
        </is>
      </c>
      <c r="B212" s="1" t="n">
        <v>43626</v>
      </c>
      <c r="C212" s="1" t="n">
        <v>45192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28402-2019</t>
        </is>
      </c>
      <c r="B213" s="1" t="n">
        <v>43626</v>
      </c>
      <c r="C213" s="1" t="n">
        <v>45192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Sveaskog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28567-2019</t>
        </is>
      </c>
      <c r="B214" s="1" t="n">
        <v>43626</v>
      </c>
      <c r="C214" s="1" t="n">
        <v>45192</v>
      </c>
      <c r="D214" t="inlineStr">
        <is>
          <t>SÖDERMANLANDS LÄN</t>
        </is>
      </c>
      <c r="E214" t="inlineStr">
        <is>
          <t>NYKÖPING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28719-2019</t>
        </is>
      </c>
      <c r="B215" s="1" t="n">
        <v>43627</v>
      </c>
      <c r="C215" s="1" t="n">
        <v>45192</v>
      </c>
      <c r="D215" t="inlineStr">
        <is>
          <t>SÖDERMANLANDS LÄN</t>
        </is>
      </c>
      <c r="E215" t="inlineStr">
        <is>
          <t>NYKÖPING</t>
        </is>
      </c>
      <c r="G215" t="n">
        <v>14.7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30025-2019</t>
        </is>
      </c>
      <c r="B216" s="1" t="n">
        <v>43630</v>
      </c>
      <c r="C216" s="1" t="n">
        <v>45192</v>
      </c>
      <c r="D216" t="inlineStr">
        <is>
          <t>SÖDERMANLANDS LÄN</t>
        </is>
      </c>
      <c r="E216" t="inlineStr">
        <is>
          <t>NYKÖPING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30982-2019</t>
        </is>
      </c>
      <c r="B217" s="1" t="n">
        <v>43640</v>
      </c>
      <c r="C217" s="1" t="n">
        <v>45192</v>
      </c>
      <c r="D217" t="inlineStr">
        <is>
          <t>SÖDERMANLANDS LÄN</t>
        </is>
      </c>
      <c r="E217" t="inlineStr">
        <is>
          <t>NYKÖPING</t>
        </is>
      </c>
      <c r="F217" t="inlineStr">
        <is>
          <t>Sveaskog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32804-2019</t>
        </is>
      </c>
      <c r="B218" s="1" t="n">
        <v>43643</v>
      </c>
      <c r="C218" s="1" t="n">
        <v>45192</v>
      </c>
      <c r="D218" t="inlineStr">
        <is>
          <t>SÖDERMANLANDS LÄN</t>
        </is>
      </c>
      <c r="E218" t="inlineStr">
        <is>
          <t>NYKÖPING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32926-2019</t>
        </is>
      </c>
      <c r="B219" s="1" t="n">
        <v>43643</v>
      </c>
      <c r="C219" s="1" t="n">
        <v>45192</v>
      </c>
      <c r="D219" t="inlineStr">
        <is>
          <t>SÖDERMANLANDS LÄN</t>
        </is>
      </c>
      <c r="E219" t="inlineStr">
        <is>
          <t>NYKÖPING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32931-2019</t>
        </is>
      </c>
      <c r="B220" s="1" t="n">
        <v>43643</v>
      </c>
      <c r="C220" s="1" t="n">
        <v>45192</v>
      </c>
      <c r="D220" t="inlineStr">
        <is>
          <t>SÖDERMANLANDS LÄN</t>
        </is>
      </c>
      <c r="E220" t="inlineStr">
        <is>
          <t>NYKÖPING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32353-2019</t>
        </is>
      </c>
      <c r="B221" s="1" t="n">
        <v>43644</v>
      </c>
      <c r="C221" s="1" t="n">
        <v>45192</v>
      </c>
      <c r="D221" t="inlineStr">
        <is>
          <t>SÖDERMANLANDS LÄN</t>
        </is>
      </c>
      <c r="E221" t="inlineStr">
        <is>
          <t>NYKÖPING</t>
        </is>
      </c>
      <c r="G221" t="n">
        <v>10.2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33315-2019</t>
        </is>
      </c>
      <c r="B222" s="1" t="n">
        <v>43650</v>
      </c>
      <c r="C222" s="1" t="n">
        <v>45192</v>
      </c>
      <c r="D222" t="inlineStr">
        <is>
          <t>SÖDERMANLANDS LÄN</t>
        </is>
      </c>
      <c r="E222" t="inlineStr">
        <is>
          <t>NYKÖPING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33364-2019</t>
        </is>
      </c>
      <c r="B223" s="1" t="n">
        <v>43650</v>
      </c>
      <c r="C223" s="1" t="n">
        <v>45192</v>
      </c>
      <c r="D223" t="inlineStr">
        <is>
          <t>SÖDERMANLANDS LÄN</t>
        </is>
      </c>
      <c r="E223" t="inlineStr">
        <is>
          <t>NYKÖPING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35468-2019</t>
        </is>
      </c>
      <c r="B224" s="1" t="n">
        <v>43651</v>
      </c>
      <c r="C224" s="1" t="n">
        <v>45192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Kommuner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33968-2019</t>
        </is>
      </c>
      <c r="B225" s="1" t="n">
        <v>43654</v>
      </c>
      <c r="C225" s="1" t="n">
        <v>45192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34606-2019</t>
        </is>
      </c>
      <c r="B226" s="1" t="n">
        <v>43657</v>
      </c>
      <c r="C226" s="1" t="n">
        <v>45192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Kommuner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35145-2019</t>
        </is>
      </c>
      <c r="B227" s="1" t="n">
        <v>43661</v>
      </c>
      <c r="C227" s="1" t="n">
        <v>45192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35155-2019</t>
        </is>
      </c>
      <c r="B228" s="1" t="n">
        <v>43661</v>
      </c>
      <c r="C228" s="1" t="n">
        <v>45192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35140-2019</t>
        </is>
      </c>
      <c r="B229" s="1" t="n">
        <v>43661</v>
      </c>
      <c r="C229" s="1" t="n">
        <v>45192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Övriga Aktiebolag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35590-2019</t>
        </is>
      </c>
      <c r="B230" s="1" t="n">
        <v>43664</v>
      </c>
      <c r="C230" s="1" t="n">
        <v>45192</v>
      </c>
      <c r="D230" t="inlineStr">
        <is>
          <t>SÖDERMANLANDS LÄN</t>
        </is>
      </c>
      <c r="E230" t="inlineStr">
        <is>
          <t>NYKÖPING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36582-2019</t>
        </is>
      </c>
      <c r="B231" s="1" t="n">
        <v>43669</v>
      </c>
      <c r="C231" s="1" t="n">
        <v>45192</v>
      </c>
      <c r="D231" t="inlineStr">
        <is>
          <t>SÖDERMANLANDS LÄN</t>
        </is>
      </c>
      <c r="E231" t="inlineStr">
        <is>
          <t>NYKÖPING</t>
        </is>
      </c>
      <c r="G231" t="n">
        <v>6.1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37344-2019</t>
        </is>
      </c>
      <c r="B232" s="1" t="n">
        <v>43678</v>
      </c>
      <c r="C232" s="1" t="n">
        <v>45192</v>
      </c>
      <c r="D232" t="inlineStr">
        <is>
          <t>SÖDERMANLANDS LÄN</t>
        </is>
      </c>
      <c r="E232" t="inlineStr">
        <is>
          <t>NYKÖPING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37416-2019</t>
        </is>
      </c>
      <c r="B233" s="1" t="n">
        <v>43678</v>
      </c>
      <c r="C233" s="1" t="n">
        <v>45192</v>
      </c>
      <c r="D233" t="inlineStr">
        <is>
          <t>SÖDERMANLANDS LÄN</t>
        </is>
      </c>
      <c r="E233" t="inlineStr">
        <is>
          <t>NYKÖPING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37744-2019</t>
        </is>
      </c>
      <c r="B234" s="1" t="n">
        <v>43682</v>
      </c>
      <c r="C234" s="1" t="n">
        <v>45192</v>
      </c>
      <c r="D234" t="inlineStr">
        <is>
          <t>SÖDERMANLANDS LÄN</t>
        </is>
      </c>
      <c r="E234" t="inlineStr">
        <is>
          <t>NYKÖPING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37940-2019</t>
        </is>
      </c>
      <c r="B235" s="1" t="n">
        <v>43683</v>
      </c>
      <c r="C235" s="1" t="n">
        <v>45192</v>
      </c>
      <c r="D235" t="inlineStr">
        <is>
          <t>SÖDERMANLANDS LÄN</t>
        </is>
      </c>
      <c r="E235" t="inlineStr">
        <is>
          <t>NYKÖPING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38046-2019</t>
        </is>
      </c>
      <c r="B236" s="1" t="n">
        <v>43683</v>
      </c>
      <c r="C236" s="1" t="n">
        <v>45192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Sveaskog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38736-2019</t>
        </is>
      </c>
      <c r="B237" s="1" t="n">
        <v>43686</v>
      </c>
      <c r="C237" s="1" t="n">
        <v>45192</v>
      </c>
      <c r="D237" t="inlineStr">
        <is>
          <t>SÖDERMANLANDS LÄN</t>
        </is>
      </c>
      <c r="E237" t="inlineStr">
        <is>
          <t>NYKÖPING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38593-2019</t>
        </is>
      </c>
      <c r="B238" s="1" t="n">
        <v>43686</v>
      </c>
      <c r="C238" s="1" t="n">
        <v>45192</v>
      </c>
      <c r="D238" t="inlineStr">
        <is>
          <t>SÖDERMANLANDS LÄN</t>
        </is>
      </c>
      <c r="E238" t="inlineStr">
        <is>
          <t>NYKÖPING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39166-2019</t>
        </is>
      </c>
      <c r="B239" s="1" t="n">
        <v>43690</v>
      </c>
      <c r="C239" s="1" t="n">
        <v>45192</v>
      </c>
      <c r="D239" t="inlineStr">
        <is>
          <t>SÖDERMANLANDS LÄN</t>
        </is>
      </c>
      <c r="E239" t="inlineStr">
        <is>
          <t>NYKÖPING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39247-2019</t>
        </is>
      </c>
      <c r="B240" s="1" t="n">
        <v>43690</v>
      </c>
      <c r="C240" s="1" t="n">
        <v>45192</v>
      </c>
      <c r="D240" t="inlineStr">
        <is>
          <t>SÖDERMANLANDS LÄN</t>
        </is>
      </c>
      <c r="E240" t="inlineStr">
        <is>
          <t>NYKÖPING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39335-2019</t>
        </is>
      </c>
      <c r="B241" s="1" t="n">
        <v>43690</v>
      </c>
      <c r="C241" s="1" t="n">
        <v>45192</v>
      </c>
      <c r="D241" t="inlineStr">
        <is>
          <t>SÖDERMANLANDS LÄN</t>
        </is>
      </c>
      <c r="E241" t="inlineStr">
        <is>
          <t>NYKÖPING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39228-2019</t>
        </is>
      </c>
      <c r="B242" s="1" t="n">
        <v>43690</v>
      </c>
      <c r="C242" s="1" t="n">
        <v>45192</v>
      </c>
      <c r="D242" t="inlineStr">
        <is>
          <t>SÖDERMANLANDS LÄN</t>
        </is>
      </c>
      <c r="E242" t="inlineStr">
        <is>
          <t>NYKÖPING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39245-2019</t>
        </is>
      </c>
      <c r="B243" s="1" t="n">
        <v>43690</v>
      </c>
      <c r="C243" s="1" t="n">
        <v>45192</v>
      </c>
      <c r="D243" t="inlineStr">
        <is>
          <t>SÖDERMANLANDS LÄN</t>
        </is>
      </c>
      <c r="E243" t="inlineStr">
        <is>
          <t>NYKÖPING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40620-2019</t>
        </is>
      </c>
      <c r="B244" s="1" t="n">
        <v>43691</v>
      </c>
      <c r="C244" s="1" t="n">
        <v>45192</v>
      </c>
      <c r="D244" t="inlineStr">
        <is>
          <t>SÖDERMANLANDS LÄN</t>
        </is>
      </c>
      <c r="E244" t="inlineStr">
        <is>
          <t>NYKÖPING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41149-2019</t>
        </is>
      </c>
      <c r="B245" s="1" t="n">
        <v>43698</v>
      </c>
      <c r="C245" s="1" t="n">
        <v>45192</v>
      </c>
      <c r="D245" t="inlineStr">
        <is>
          <t>SÖDERMANLANDS LÄN</t>
        </is>
      </c>
      <c r="E245" t="inlineStr">
        <is>
          <t>NYKÖPING</t>
        </is>
      </c>
      <c r="G245" t="n">
        <v>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41167-2019</t>
        </is>
      </c>
      <c r="B246" s="1" t="n">
        <v>43698</v>
      </c>
      <c r="C246" s="1" t="n">
        <v>45192</v>
      </c>
      <c r="D246" t="inlineStr">
        <is>
          <t>SÖDERMANLANDS LÄN</t>
        </is>
      </c>
      <c r="E246" t="inlineStr">
        <is>
          <t>NYKÖPING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41154-2019</t>
        </is>
      </c>
      <c r="B247" s="1" t="n">
        <v>43698</v>
      </c>
      <c r="C247" s="1" t="n">
        <v>45192</v>
      </c>
      <c r="D247" t="inlineStr">
        <is>
          <t>SÖDERMANLANDS LÄN</t>
        </is>
      </c>
      <c r="E247" t="inlineStr">
        <is>
          <t>NYKÖPING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41244-2019</t>
        </is>
      </c>
      <c r="B248" s="1" t="n">
        <v>43698</v>
      </c>
      <c r="C248" s="1" t="n">
        <v>45192</v>
      </c>
      <c r="D248" t="inlineStr">
        <is>
          <t>SÖDERMANLANDS LÄN</t>
        </is>
      </c>
      <c r="E248" t="inlineStr">
        <is>
          <t>NYKÖPING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42324-2019</t>
        </is>
      </c>
      <c r="B249" s="1" t="n">
        <v>43703</v>
      </c>
      <c r="C249" s="1" t="n">
        <v>45192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42336-2019</t>
        </is>
      </c>
      <c r="B250" s="1" t="n">
        <v>43703</v>
      </c>
      <c r="C250" s="1" t="n">
        <v>45192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42343-2019</t>
        </is>
      </c>
      <c r="B251" s="1" t="n">
        <v>43703</v>
      </c>
      <c r="C251" s="1" t="n">
        <v>45192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42234-2019</t>
        </is>
      </c>
      <c r="B252" s="1" t="n">
        <v>43703</v>
      </c>
      <c r="C252" s="1" t="n">
        <v>45192</v>
      </c>
      <c r="D252" t="inlineStr">
        <is>
          <t>SÖDERMANLANDS LÄN</t>
        </is>
      </c>
      <c r="E252" t="inlineStr">
        <is>
          <t>NYKÖPING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42328-2019</t>
        </is>
      </c>
      <c r="B253" s="1" t="n">
        <v>43703</v>
      </c>
      <c r="C253" s="1" t="n">
        <v>45192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42338-2019</t>
        </is>
      </c>
      <c r="B254" s="1" t="n">
        <v>43703</v>
      </c>
      <c r="C254" s="1" t="n">
        <v>45192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42488-2019</t>
        </is>
      </c>
      <c r="B255" s="1" t="n">
        <v>43704</v>
      </c>
      <c r="C255" s="1" t="n">
        <v>45192</v>
      </c>
      <c r="D255" t="inlineStr">
        <is>
          <t>SÖDERMANLANDS LÄN</t>
        </is>
      </c>
      <c r="E255" t="inlineStr">
        <is>
          <t>NYKÖPING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42496-2019</t>
        </is>
      </c>
      <c r="B256" s="1" t="n">
        <v>43704</v>
      </c>
      <c r="C256" s="1" t="n">
        <v>45192</v>
      </c>
      <c r="D256" t="inlineStr">
        <is>
          <t>SÖDERMANLANDS LÄN</t>
        </is>
      </c>
      <c r="E256" t="inlineStr">
        <is>
          <t>NYKÖPING</t>
        </is>
      </c>
      <c r="G256" t="n">
        <v>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42491-2019</t>
        </is>
      </c>
      <c r="B257" s="1" t="n">
        <v>43704</v>
      </c>
      <c r="C257" s="1" t="n">
        <v>45192</v>
      </c>
      <c r="D257" t="inlineStr">
        <is>
          <t>SÖDERMANLANDS LÄN</t>
        </is>
      </c>
      <c r="E257" t="inlineStr">
        <is>
          <t>NYKÖPING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43063-2019</t>
        </is>
      </c>
      <c r="B258" s="1" t="n">
        <v>43705</v>
      </c>
      <c r="C258" s="1" t="n">
        <v>45192</v>
      </c>
      <c r="D258" t="inlineStr">
        <is>
          <t>SÖDERMANLANDS LÄN</t>
        </is>
      </c>
      <c r="E258" t="inlineStr">
        <is>
          <t>NYKÖPING</t>
        </is>
      </c>
      <c r="G258" t="n">
        <v>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44309-2019</t>
        </is>
      </c>
      <c r="B259" s="1" t="n">
        <v>43710</v>
      </c>
      <c r="C259" s="1" t="n">
        <v>45192</v>
      </c>
      <c r="D259" t="inlineStr">
        <is>
          <t>SÖDERMANLANDS LÄN</t>
        </is>
      </c>
      <c r="E259" t="inlineStr">
        <is>
          <t>NYKÖPING</t>
        </is>
      </c>
      <c r="G259" t="n">
        <v>16.3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46504-2019</t>
        </is>
      </c>
      <c r="B260" s="1" t="n">
        <v>43717</v>
      </c>
      <c r="C260" s="1" t="n">
        <v>45192</v>
      </c>
      <c r="D260" t="inlineStr">
        <is>
          <t>SÖDERMANLANDS LÄN</t>
        </is>
      </c>
      <c r="E260" t="inlineStr">
        <is>
          <t>NYKÖPING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46078-2019</t>
        </is>
      </c>
      <c r="B261" s="1" t="n">
        <v>43718</v>
      </c>
      <c r="C261" s="1" t="n">
        <v>45192</v>
      </c>
      <c r="D261" t="inlineStr">
        <is>
          <t>SÖDERMANLANDS LÄN</t>
        </is>
      </c>
      <c r="E261" t="inlineStr">
        <is>
          <t>NYKÖPING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47034-2019</t>
        </is>
      </c>
      <c r="B262" s="1" t="n">
        <v>43720</v>
      </c>
      <c r="C262" s="1" t="n">
        <v>45192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47122-2019</t>
        </is>
      </c>
      <c r="B263" s="1" t="n">
        <v>43721</v>
      </c>
      <c r="C263" s="1" t="n">
        <v>45192</v>
      </c>
      <c r="D263" t="inlineStr">
        <is>
          <t>SÖDERMANLANDS LÄN</t>
        </is>
      </c>
      <c r="E263" t="inlineStr">
        <is>
          <t>NYKÖPING</t>
        </is>
      </c>
      <c r="F263" t="inlineStr">
        <is>
          <t>Övriga Aktiebolag</t>
        </is>
      </c>
      <c r="G263" t="n">
        <v>8.5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47127-2019</t>
        </is>
      </c>
      <c r="B264" s="1" t="n">
        <v>43721</v>
      </c>
      <c r="C264" s="1" t="n">
        <v>45192</v>
      </c>
      <c r="D264" t="inlineStr">
        <is>
          <t>SÖDERMANLANDS LÄN</t>
        </is>
      </c>
      <c r="E264" t="inlineStr">
        <is>
          <t>NYKÖPING</t>
        </is>
      </c>
      <c r="G264" t="n">
        <v>49.7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47128-2019</t>
        </is>
      </c>
      <c r="B265" s="1" t="n">
        <v>43721</v>
      </c>
      <c r="C265" s="1" t="n">
        <v>45192</v>
      </c>
      <c r="D265" t="inlineStr">
        <is>
          <t>SÖDERMANLANDS LÄN</t>
        </is>
      </c>
      <c r="E265" t="inlineStr">
        <is>
          <t>NYKÖPING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47431-2019</t>
        </is>
      </c>
      <c r="B266" s="1" t="n">
        <v>43723</v>
      </c>
      <c r="C266" s="1" t="n">
        <v>45192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Övriga Aktiebolag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48452-2019</t>
        </is>
      </c>
      <c r="B267" s="1" t="n">
        <v>43727</v>
      </c>
      <c r="C267" s="1" t="n">
        <v>45192</v>
      </c>
      <c r="D267" t="inlineStr">
        <is>
          <t>SÖDERMANLANDS LÄN</t>
        </is>
      </c>
      <c r="E267" t="inlineStr">
        <is>
          <t>NYKÖPING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48726-2019</t>
        </is>
      </c>
      <c r="B268" s="1" t="n">
        <v>43728</v>
      </c>
      <c r="C268" s="1" t="n">
        <v>45192</v>
      </c>
      <c r="D268" t="inlineStr">
        <is>
          <t>SÖDERMANLANDS LÄN</t>
        </is>
      </c>
      <c r="E268" t="inlineStr">
        <is>
          <t>NYKÖPING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48848-2019</t>
        </is>
      </c>
      <c r="B269" s="1" t="n">
        <v>43728</v>
      </c>
      <c r="C269" s="1" t="n">
        <v>45192</v>
      </c>
      <c r="D269" t="inlineStr">
        <is>
          <t>SÖDERMANLANDS LÄN</t>
        </is>
      </c>
      <c r="E269" t="inlineStr">
        <is>
          <t>NYKÖPING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50046-2019</t>
        </is>
      </c>
      <c r="B270" s="1" t="n">
        <v>43733</v>
      </c>
      <c r="C270" s="1" t="n">
        <v>45192</v>
      </c>
      <c r="D270" t="inlineStr">
        <is>
          <t>SÖDERMANLANDS LÄN</t>
        </is>
      </c>
      <c r="E270" t="inlineStr">
        <is>
          <t>NYKÖPING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50149-2019</t>
        </is>
      </c>
      <c r="B271" s="1" t="n">
        <v>43734</v>
      </c>
      <c r="C271" s="1" t="n">
        <v>45192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Holmen skog AB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50869-2019</t>
        </is>
      </c>
      <c r="B272" s="1" t="n">
        <v>43738</v>
      </c>
      <c r="C272" s="1" t="n">
        <v>45192</v>
      </c>
      <c r="D272" t="inlineStr">
        <is>
          <t>SÖDERMANLANDS LÄN</t>
        </is>
      </c>
      <c r="E272" t="inlineStr">
        <is>
          <t>NYKÖPING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51298-2019</t>
        </is>
      </c>
      <c r="B273" s="1" t="n">
        <v>43739</v>
      </c>
      <c r="C273" s="1" t="n">
        <v>45192</v>
      </c>
      <c r="D273" t="inlineStr">
        <is>
          <t>SÖDERMANLANDS LÄN</t>
        </is>
      </c>
      <c r="E273" t="inlineStr">
        <is>
          <t>NYKÖPING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51296-2019</t>
        </is>
      </c>
      <c r="B274" s="1" t="n">
        <v>43739</v>
      </c>
      <c r="C274" s="1" t="n">
        <v>45192</v>
      </c>
      <c r="D274" t="inlineStr">
        <is>
          <t>SÖDERMANLANDS LÄN</t>
        </is>
      </c>
      <c r="E274" t="inlineStr">
        <is>
          <t>NYKÖPING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52676-2019</t>
        </is>
      </c>
      <c r="B275" s="1" t="n">
        <v>43746</v>
      </c>
      <c r="C275" s="1" t="n">
        <v>45192</v>
      </c>
      <c r="D275" t="inlineStr">
        <is>
          <t>SÖDERMANLANDS LÄN</t>
        </is>
      </c>
      <c r="E275" t="inlineStr">
        <is>
          <t>NYKÖPING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53786-2019</t>
        </is>
      </c>
      <c r="B276" s="1" t="n">
        <v>43751</v>
      </c>
      <c r="C276" s="1" t="n">
        <v>45192</v>
      </c>
      <c r="D276" t="inlineStr">
        <is>
          <t>SÖDERMANLANDS LÄN</t>
        </is>
      </c>
      <c r="E276" t="inlineStr">
        <is>
          <t>NYKÖPING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54208-2019</t>
        </is>
      </c>
      <c r="B277" s="1" t="n">
        <v>43753</v>
      </c>
      <c r="C277" s="1" t="n">
        <v>45192</v>
      </c>
      <c r="D277" t="inlineStr">
        <is>
          <t>SÖDERMANLANDS LÄN</t>
        </is>
      </c>
      <c r="E277" t="inlineStr">
        <is>
          <t>NYKÖPING</t>
        </is>
      </c>
      <c r="F277" t="inlineStr">
        <is>
          <t>Sveaskog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54244-2019</t>
        </is>
      </c>
      <c r="B278" s="1" t="n">
        <v>43753</v>
      </c>
      <c r="C278" s="1" t="n">
        <v>45192</v>
      </c>
      <c r="D278" t="inlineStr">
        <is>
          <t>SÖDERMANLANDS LÄN</t>
        </is>
      </c>
      <c r="E278" t="inlineStr">
        <is>
          <t>NYKÖPING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56842-2019</t>
        </is>
      </c>
      <c r="B279" s="1" t="n">
        <v>43765</v>
      </c>
      <c r="C279" s="1" t="n">
        <v>45192</v>
      </c>
      <c r="D279" t="inlineStr">
        <is>
          <t>SÖDERMANLANDS LÄN</t>
        </is>
      </c>
      <c r="E279" t="inlineStr">
        <is>
          <t>NYKÖPING</t>
        </is>
      </c>
      <c r="G279" t="n">
        <v>10.8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56843-2019</t>
        </is>
      </c>
      <c r="B280" s="1" t="n">
        <v>43765</v>
      </c>
      <c r="C280" s="1" t="n">
        <v>45192</v>
      </c>
      <c r="D280" t="inlineStr">
        <is>
          <t>SÖDERMANLANDS LÄN</t>
        </is>
      </c>
      <c r="E280" t="inlineStr">
        <is>
          <t>NYKÖPING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58108-2019</t>
        </is>
      </c>
      <c r="B281" s="1" t="n">
        <v>43766</v>
      </c>
      <c r="C281" s="1" t="n">
        <v>45192</v>
      </c>
      <c r="D281" t="inlineStr">
        <is>
          <t>SÖDERMANLANDS LÄN</t>
        </is>
      </c>
      <c r="E281" t="inlineStr">
        <is>
          <t>NYKÖPING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58109-2019</t>
        </is>
      </c>
      <c r="B282" s="1" t="n">
        <v>43766</v>
      </c>
      <c r="C282" s="1" t="n">
        <v>45192</v>
      </c>
      <c r="D282" t="inlineStr">
        <is>
          <t>SÖDERMANLANDS LÄN</t>
        </is>
      </c>
      <c r="E282" t="inlineStr">
        <is>
          <t>NYKÖPING</t>
        </is>
      </c>
      <c r="G282" t="n">
        <v>6.9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57407-2019</t>
        </is>
      </c>
      <c r="B283" s="1" t="n">
        <v>43767</v>
      </c>
      <c r="C283" s="1" t="n">
        <v>45192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Sveaskog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61821-2019</t>
        </is>
      </c>
      <c r="B284" s="1" t="n">
        <v>43786</v>
      </c>
      <c r="C284" s="1" t="n">
        <v>45192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61822-2019</t>
        </is>
      </c>
      <c r="B285" s="1" t="n">
        <v>43786</v>
      </c>
      <c r="C285" s="1" t="n">
        <v>45192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61843-2019</t>
        </is>
      </c>
      <c r="B286" s="1" t="n">
        <v>43786</v>
      </c>
      <c r="C286" s="1" t="n">
        <v>45192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Övriga Aktiebolag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61876-2019</t>
        </is>
      </c>
      <c r="B287" s="1" t="n">
        <v>43787</v>
      </c>
      <c r="C287" s="1" t="n">
        <v>45192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62324-2019</t>
        </is>
      </c>
      <c r="B288" s="1" t="n">
        <v>43788</v>
      </c>
      <c r="C288" s="1" t="n">
        <v>45192</v>
      </c>
      <c r="D288" t="inlineStr">
        <is>
          <t>SÖDERMANLANDS LÄN</t>
        </is>
      </c>
      <c r="E288" t="inlineStr">
        <is>
          <t>NYKÖPING</t>
        </is>
      </c>
      <c r="G288" t="n">
        <v>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62272-2019</t>
        </is>
      </c>
      <c r="B289" s="1" t="n">
        <v>43788</v>
      </c>
      <c r="C289" s="1" t="n">
        <v>45192</v>
      </c>
      <c r="D289" t="inlineStr">
        <is>
          <t>SÖDERMANLANDS LÄN</t>
        </is>
      </c>
      <c r="E289" t="inlineStr">
        <is>
          <t>NYKÖPING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63822-2019</t>
        </is>
      </c>
      <c r="B290" s="1" t="n">
        <v>43795</v>
      </c>
      <c r="C290" s="1" t="n">
        <v>45192</v>
      </c>
      <c r="D290" t="inlineStr">
        <is>
          <t>SÖDERMANLANDS LÄN</t>
        </is>
      </c>
      <c r="E290" t="inlineStr">
        <is>
          <t>NYKÖPING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45192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45192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45192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45192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45192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45192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45192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45192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45192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45192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45192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45192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45192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45192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45192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45192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45192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45192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45192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45192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45192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45192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45192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45192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45192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45192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45192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45192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45192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45192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45192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45192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45192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45192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45192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45192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45192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45192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45192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45192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45192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45192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45192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45192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45192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45192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45192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45192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45192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45192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45192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45192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45192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45192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45192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45192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45192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45192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45192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45192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45192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45192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45192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45192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45192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45192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45192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45192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45192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45192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45192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45192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45192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45192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45192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45192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45192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45192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45192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45192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45192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45192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45192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45192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45192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45192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45192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45192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45192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45192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45192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45192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45192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45192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45192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45192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45192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45192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45192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45192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45192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45192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45192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45192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45192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45192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45192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45192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45192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45192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45192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45192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45192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45192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45192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45192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45192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45192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45192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45192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45192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45192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45192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45192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45192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45192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45192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45192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45192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45192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45192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45192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45192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45192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45192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45192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45192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45192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45192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45192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45192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45192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45192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45192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45192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45192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45192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45192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45192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45192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45192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45192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45192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45192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45192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45192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45192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45192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45192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45192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45192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45192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45192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45192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45192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45192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45192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45192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45192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45192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45192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45192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45192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45192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45192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45192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45192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45192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45192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45192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45192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45192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45192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45192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45192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45192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45192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45192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45192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45192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45192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45192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45192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45192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45192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45192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45192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45192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45192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45192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45192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45192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45192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45192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45192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45192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45192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45192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45192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45192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45192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45192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45192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45192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45192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45192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45192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45192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45192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45192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45192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45192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45192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45192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45192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45192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45192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45192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45192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45192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45192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45192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45192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45192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45192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45192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45192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45192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45192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45192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45192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45192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45192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45192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45192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45192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45192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45192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45192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45192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45192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45192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45192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45192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45192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45192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45192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45192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45192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45192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45192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45192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45192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45192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45192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45192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45192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45192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45192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45192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45192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45192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45192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45192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45192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45192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45192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45192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45192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45192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45192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45192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45192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45192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45192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45192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45192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45192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45192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45192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45192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45192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45192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45192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45192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45192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45192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45192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45192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45192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45192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45192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45192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45192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45192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45192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45192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45192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45192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45192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45192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45192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45192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45192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45192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45192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45192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45192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45192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45192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45192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45192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45192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45192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45192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45192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45192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45192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45192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45192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45192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45192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45192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45192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45192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45192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45192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45192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45192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45192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45192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45192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45192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45192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45192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45192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45192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45192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45192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45192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45192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45192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45192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45192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45192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45192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45192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45192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45192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45192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45192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45192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45192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45192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45192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45192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45192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45192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45192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45192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45192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45192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45192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45192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45192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45192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45192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45192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45192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45192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45192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45192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45192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45192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45192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45192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45192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45192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45192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45192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45192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45192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45192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45192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45192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45192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45192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45192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45192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45192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45192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45192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45192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45192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45192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45192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45192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45192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45192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45192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45192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45192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45192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45192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45192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45192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45192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45192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45192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45192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45192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45192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45192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45192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45192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45192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45192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45192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45192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45192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45192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45192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45192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45192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45192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45192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45192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45192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45192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45192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45192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45192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45192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45192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45192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45192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45192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45192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45192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45192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45192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45192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45192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45192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45192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45192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45192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45192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45192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45192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45192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45192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45192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45192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45192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45192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45192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45192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45192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45192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45192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45192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45192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45192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45192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45192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45192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45192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45192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45192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45192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45192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45192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45192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45192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45192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45192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45192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45192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45192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45192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45192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45192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45192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45192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45192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45192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45192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45192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45192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45192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45192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45192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45192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45192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45192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45192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45192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45192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45192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45192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45192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45192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45192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45192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45192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45192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45192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45192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45192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45192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45192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45192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45192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45192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45192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45192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45192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45192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45192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45192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45192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45192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45192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45192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45192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45192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45192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45192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45192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45192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45192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45192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45192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45192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45192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45192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45192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45192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45192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45192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45192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45192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45192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45192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45192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45192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45192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45192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45192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45192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45192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45192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45192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45192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45192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45192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45192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45192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45192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45192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45192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45192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45192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45192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45192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45192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45192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45192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45192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45192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45192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45192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45192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45192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45192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45192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45192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45192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45192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45192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45192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45192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45192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45192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45192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45192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45192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45192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45192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45192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45192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45192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45192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45192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45192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45192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45192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45192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45192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45192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45192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45192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45192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45192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45192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45192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45192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45192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45192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45192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45192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45192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45192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45192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45192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45192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45192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45192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45192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45192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45192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45192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45192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45192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45192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45192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45192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45192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45192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45192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45192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45192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45192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45192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45192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45192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45192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45192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45192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45192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45192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45192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45192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45192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45192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45192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45192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45192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45192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45192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45192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45192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45192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45192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45192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45192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45192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45192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45192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45192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45192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45192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45192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45192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45192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45192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45192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45192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45192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45192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45192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45192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45192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45192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45192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45192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45192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45192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45192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45192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45192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45192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45192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45192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45192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45192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45192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45192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45192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45192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45192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45192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45192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45192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45192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45192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45192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45192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45192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45192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45192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45192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45192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45192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45192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45192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45192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45192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45192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45192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45192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45192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45192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45192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45192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45192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45192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45192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45192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45192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45192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45192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45192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45192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45192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45192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45192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45192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45192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45192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45192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45192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45192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45192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45192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45192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45192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45192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45192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45192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45192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45192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45192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45192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45192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45192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45192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45192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45192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45192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45192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45192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45192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45192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45192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45192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45192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45192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45192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45192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45192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45192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45192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45192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45192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45192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45192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45192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45192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45192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45192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45192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45192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45192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45192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45192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45192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45192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45192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45192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45192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45192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45192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45192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45192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45192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45192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45192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45192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45192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45192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45192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45192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45192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45192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45192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45192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45192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45192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45192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45192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45192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45192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45192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45192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45192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45192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45192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45192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45192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45192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45192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45192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45192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45192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45192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45192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45192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45192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45192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45192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45192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45192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45192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45192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45192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45192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45192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45192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45192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45192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45192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45192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45192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45192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45192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45192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45192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45192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45192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45192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45192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45192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45192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45192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45192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45192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45192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45192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45192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45192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45192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45192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45192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45192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45192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45192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45192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45192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45192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45192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45192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45192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45192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45192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45192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45192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45192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45192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45192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45192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45192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45192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45192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45192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45192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45192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45192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45192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45192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45192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45192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45192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45192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45192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45192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>
      <c r="A1188" t="inlineStr">
        <is>
          <t>A 42760-2023</t>
        </is>
      </c>
      <c r="B1188" s="1" t="n">
        <v>45181</v>
      </c>
      <c r="C1188" s="1" t="n">
        <v>45192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2023-09-23T07:09:47Z</dcterms:created>
  <dcterms:modified xmlns:dcterms="http://purl.org/dc/terms/" xmlns:xsi="http://www.w3.org/2001/XMLSchema-instance" xsi:type="dcterms:W3CDTF">2023-09-23T07:09:48Z</dcterms:modified>
</cp:coreProperties>
</file>